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300" windowWidth="12120" windowHeight="7530" tabRatio="899" firstSheet="13" activeTab="17"/>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办公" sheetId="78" r:id="rId22"/>
    <sheet name="收益法-工业" sheetId="15" r:id="rId23"/>
    <sheet name="收益法 (元)" sheetId="67" state="hidden" r:id="rId24"/>
    <sheet name="收益法（汇总）" sheetId="70"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r:id="rId34"/>
    <sheet name="基准地价修正" sheetId="43" state="hidden" r:id="rId35"/>
    <sheet name="修正" sheetId="45" state="hidden" r:id="rId36"/>
    <sheet name="容积率修正" sheetId="46" state="hidden" r:id="rId37"/>
    <sheet name="基准地价（汇总）" sheetId="76" state="hidden" r:id="rId38"/>
    <sheet name="地价" sheetId="71"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土地案例" sheetId="79" r:id="rId46"/>
    <sheet name="Sheet1" sheetId="77" r:id="rId47"/>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 (元)'!$A$1:$AK$69</definedName>
    <definedName name="_xlnm.Print_Area" localSheetId="21">'收益法-办公'!$A$1:$AK$69</definedName>
    <definedName name="_xlnm.Print_Area" localSheetId="22">'收益法-工业'!$A$1:$AK$69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22" i="77" l="1"/>
  <c r="I21" i="77"/>
  <c r="I20" i="77"/>
  <c r="I17" i="77"/>
  <c r="I16" i="77"/>
  <c r="I12" i="77"/>
  <c r="I9" i="77"/>
  <c r="J18" i="77" l="1"/>
  <c r="J25" i="77" s="1"/>
  <c r="I18" i="77"/>
  <c r="I19" i="77" s="1"/>
  <c r="N14" i="1" s="1"/>
  <c r="H18" i="77"/>
  <c r="H25" i="77"/>
  <c r="H14" i="77"/>
  <c r="J14" i="77"/>
  <c r="C44" i="40" l="1"/>
  <c r="L12" i="40"/>
  <c r="A3" i="3"/>
  <c r="I13" i="77" l="1"/>
  <c r="AB3" i="79"/>
  <c r="AB4" i="79"/>
  <c r="AB5" i="79"/>
  <c r="AB6" i="79"/>
  <c r="AB7" i="79"/>
  <c r="AB8" i="79"/>
  <c r="AB9" i="79"/>
  <c r="AB10" i="79"/>
  <c r="AB11" i="79"/>
  <c r="AB12" i="79"/>
  <c r="AB13" i="79"/>
  <c r="AB14" i="79"/>
  <c r="AB15" i="79"/>
  <c r="AB16" i="79"/>
  <c r="AB17" i="79"/>
  <c r="AB18" i="79"/>
  <c r="AB19" i="79"/>
  <c r="AB20" i="79"/>
  <c r="AB21" i="79"/>
  <c r="AB22" i="79"/>
  <c r="AB23" i="79"/>
  <c r="AB24" i="79"/>
  <c r="AB25" i="79"/>
  <c r="AB26" i="79"/>
  <c r="AB27" i="79"/>
  <c r="AB28" i="79"/>
  <c r="AB2" i="79"/>
  <c r="I11" i="77"/>
  <c r="I24" i="77"/>
  <c r="I23" i="77"/>
  <c r="I10" i="77"/>
  <c r="I8" i="77"/>
  <c r="I14" i="77" s="1"/>
  <c r="I15" i="77" s="1"/>
  <c r="N6" i="1" l="1"/>
  <c r="Y6" i="1" s="1"/>
  <c r="G19" i="6"/>
  <c r="G20" i="6"/>
  <c r="AL24" i="3"/>
  <c r="M26" i="3"/>
  <c r="K26" i="3" s="1"/>
  <c r="I25" i="77" l="1"/>
  <c r="I26" i="77" s="1"/>
  <c r="N7" i="1" s="1"/>
  <c r="Y7" i="1" s="1"/>
  <c r="Q72" i="78"/>
  <c r="Q59" i="78"/>
  <c r="K59" i="78"/>
  <c r="P74" i="78" s="1"/>
  <c r="F59" i="78"/>
  <c r="Q58" i="78"/>
  <c r="Q51" i="78"/>
  <c r="J50" i="78"/>
  <c r="J51" i="78" s="1"/>
  <c r="M47" i="78"/>
  <c r="D46" i="78"/>
  <c r="F34" i="78"/>
  <c r="F62" i="78" s="1"/>
  <c r="F33" i="78"/>
  <c r="F61" i="78" s="1"/>
  <c r="F31" i="78"/>
  <c r="F23" i="78"/>
  <c r="F21" i="78"/>
  <c r="M20" i="78"/>
  <c r="F20" i="78"/>
  <c r="M19" i="78"/>
  <c r="F18" i="78"/>
  <c r="M17" i="78"/>
  <c r="F17" i="78"/>
  <c r="F15" i="78"/>
  <c r="G1" i="78"/>
  <c r="D23" i="78" l="1"/>
  <c r="D22" i="78"/>
  <c r="D24" i="78"/>
  <c r="P61" i="78"/>
  <c r="F38" i="78"/>
  <c r="F6" i="78"/>
  <c r="F26" i="78"/>
  <c r="L47" i="78"/>
  <c r="M6" i="78"/>
  <c r="M22" i="78"/>
  <c r="F9" i="78"/>
  <c r="M26" i="78"/>
  <c r="J15" i="78"/>
  <c r="F13" i="78"/>
  <c r="C76" i="78"/>
  <c r="F40" i="78"/>
  <c r="M24" i="78"/>
  <c r="F42" i="78"/>
  <c r="M28" i="78"/>
  <c r="F36" i="78"/>
  <c r="M23" i="78"/>
  <c r="M27" i="78"/>
  <c r="F16" i="78"/>
  <c r="F37" i="78"/>
  <c r="F8" i="78"/>
  <c r="M8" i="78"/>
  <c r="M9" i="78"/>
  <c r="F65" i="78" l="1"/>
  <c r="F66" i="78"/>
  <c r="N59" i="78"/>
  <c r="L59" i="78"/>
  <c r="M59" i="78"/>
  <c r="Q71" i="78"/>
  <c r="C27" i="78"/>
  <c r="F64" i="78"/>
  <c r="F51" i="78"/>
  <c r="F68" i="78"/>
  <c r="Q61" i="78" l="1"/>
  <c r="Q74" i="78"/>
  <c r="E38" i="6" l="1"/>
  <c r="E37" i="6"/>
  <c r="F37" i="6" l="1"/>
  <c r="E66" i="40"/>
  <c r="F66" i="40" s="1"/>
  <c r="G66" i="40" s="1"/>
  <c r="H66" i="40" s="1"/>
  <c r="I66" i="40" s="1"/>
  <c r="J66" i="40" s="1"/>
  <c r="K66" i="40" s="1"/>
  <c r="L66" i="40" s="1"/>
  <c r="M66" i="40" s="1"/>
  <c r="N66" i="40" s="1"/>
  <c r="O66" i="40" s="1"/>
  <c r="D66" i="40"/>
  <c r="AD5" i="71" l="1"/>
  <c r="AH5" i="71"/>
  <c r="AG5" i="71"/>
  <c r="AE5" i="71"/>
  <c r="AF5" i="71" s="1"/>
  <c r="Q5" i="71"/>
  <c r="P5" i="71"/>
  <c r="O5" i="71"/>
  <c r="N5" i="71"/>
  <c r="C41" i="43" l="1"/>
  <c r="G20" i="43"/>
  <c r="E41" i="43"/>
  <c r="L3" i="71"/>
  <c r="AH3" i="71" s="1"/>
  <c r="K3" i="71"/>
  <c r="J3" i="71"/>
  <c r="AE3" i="71" s="1"/>
  <c r="I3" i="71"/>
  <c r="AH6" i="71"/>
  <c r="AG6" i="71"/>
  <c r="AE6" i="71"/>
  <c r="AF6" i="71" s="1"/>
  <c r="AD6" i="71"/>
  <c r="Q6" i="71"/>
  <c r="AB5" i="71" s="1"/>
  <c r="Q7" i="71"/>
  <c r="AB6" i="71"/>
  <c r="P6" i="71"/>
  <c r="AA5" i="71" s="1"/>
  <c r="P7" i="71"/>
  <c r="AA6" i="71"/>
  <c r="O6" i="71"/>
  <c r="O7" i="71"/>
  <c r="Y6" i="71"/>
  <c r="Z6" i="71" s="1"/>
  <c r="N6" i="71"/>
  <c r="X5" i="71" s="1"/>
  <c r="N7" i="71"/>
  <c r="X6" i="71"/>
  <c r="F7" i="71"/>
  <c r="E7" i="71"/>
  <c r="C7" i="71"/>
  <c r="B7" i="71"/>
  <c r="B6" i="71"/>
  <c r="B5" i="71" s="1"/>
  <c r="N8" i="71"/>
  <c r="X7" i="71"/>
  <c r="AH7" i="71"/>
  <c r="AG7" i="71"/>
  <c r="AE7" i="71"/>
  <c r="AF7" i="71"/>
  <c r="AD7" i="71"/>
  <c r="Q8" i="71"/>
  <c r="AB7" i="71"/>
  <c r="P8" i="71"/>
  <c r="AA7" i="71"/>
  <c r="O8" i="71"/>
  <c r="Y7" i="71"/>
  <c r="Z7" i="71"/>
  <c r="F8" i="71"/>
  <c r="E8" i="71"/>
  <c r="C8" i="71"/>
  <c r="D7" i="71"/>
  <c r="B8" i="71"/>
  <c r="D8" i="71"/>
  <c r="M19" i="43"/>
  <c r="J53" i="67"/>
  <c r="D10" i="71"/>
  <c r="AH8" i="71"/>
  <c r="AG8" i="71"/>
  <c r="AE8" i="71"/>
  <c r="AF8" i="71"/>
  <c r="AD8" i="71"/>
  <c r="AD9" i="71"/>
  <c r="AG9" i="71"/>
  <c r="AH9" i="71"/>
  <c r="AE9" i="71"/>
  <c r="AF9" i="71"/>
  <c r="N9" i="71"/>
  <c r="X8" i="71"/>
  <c r="Q9" i="71"/>
  <c r="AB8" i="71"/>
  <c r="P9" i="71"/>
  <c r="AA8" i="71"/>
  <c r="O9" i="71"/>
  <c r="Y8" i="71"/>
  <c r="Z8" i="71"/>
  <c r="C9" i="71"/>
  <c r="T9" i="71"/>
  <c r="Q10" i="71"/>
  <c r="F9" i="71"/>
  <c r="P10" i="71"/>
  <c r="E9" i="71"/>
  <c r="O10" i="71"/>
  <c r="N10" i="71"/>
  <c r="B9" i="71"/>
  <c r="S9" i="71"/>
  <c r="V9" i="71"/>
  <c r="D9" i="71"/>
  <c r="U9" i="71"/>
  <c r="AB9" i="71"/>
  <c r="Y9" i="71"/>
  <c r="Z9" i="71"/>
  <c r="X9" i="71"/>
  <c r="AA9" i="71"/>
  <c r="A2" i="53"/>
  <c r="K59" i="67"/>
  <c r="P61" i="67"/>
  <c r="K59" i="15"/>
  <c r="P74" i="15" s="1"/>
  <c r="P74" i="67"/>
  <c r="D116" i="39"/>
  <c r="E116" i="39"/>
  <c r="F116" i="39"/>
  <c r="G116" i="39"/>
  <c r="H116" i="39"/>
  <c r="I116" i="39"/>
  <c r="J116" i="39"/>
  <c r="K116" i="39"/>
  <c r="L116" i="39"/>
  <c r="M116" i="39"/>
  <c r="C116" i="39"/>
  <c r="A21" i="62"/>
  <c r="A20" i="62"/>
  <c r="B66" i="72" s="1"/>
  <c r="A22" i="51"/>
  <c r="A21" i="51"/>
  <c r="A20" i="51"/>
  <c r="A14" i="62"/>
  <c r="A13" i="62"/>
  <c r="A19" i="62"/>
  <c r="A12" i="62"/>
  <c r="B58" i="72" s="1"/>
  <c r="A120" i="9"/>
  <c r="H2" i="52"/>
  <c r="A1" i="52"/>
  <c r="A3" i="53"/>
  <c r="Q11" i="71"/>
  <c r="P11" i="71"/>
  <c r="O11" i="71"/>
  <c r="N11" i="71"/>
  <c r="A15" i="51"/>
  <c r="B12" i="72" s="1"/>
  <c r="C76" i="9"/>
  <c r="I107" i="40"/>
  <c r="K6" i="4"/>
  <c r="M56" i="9" s="1"/>
  <c r="B22" i="31"/>
  <c r="N56" i="9"/>
  <c r="E15" i="74"/>
  <c r="F15" i="74"/>
  <c r="E16" i="74"/>
  <c r="F16" i="74"/>
  <c r="E17" i="74"/>
  <c r="F17" i="74"/>
  <c r="E18" i="74"/>
  <c r="F18" i="74"/>
  <c r="E19" i="74"/>
  <c r="F19" i="74"/>
  <c r="E20" i="74"/>
  <c r="F20" i="74"/>
  <c r="E21" i="74"/>
  <c r="F21" i="74"/>
  <c r="E22" i="74"/>
  <c r="F22" i="74"/>
  <c r="E23" i="74"/>
  <c r="F23" i="74"/>
  <c r="B3" i="74"/>
  <c r="C91" i="9"/>
  <c r="B8" i="72"/>
  <c r="O12" i="71"/>
  <c r="P12" i="71"/>
  <c r="Q12" i="71"/>
  <c r="N12" i="71"/>
  <c r="AG3"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H24" i="71"/>
  <c r="AG24" i="71"/>
  <c r="AE24" i="71"/>
  <c r="AF24" i="71"/>
  <c r="AD24" i="71"/>
  <c r="AD25" i="71"/>
  <c r="AE25" i="71"/>
  <c r="AF25" i="71"/>
  <c r="AG25" i="71"/>
  <c r="AH25"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c r="E109" i="9"/>
  <c r="A124" i="9"/>
  <c r="B44" i="72"/>
  <c r="B42" i="72"/>
  <c r="B69" i="72"/>
  <c r="B68" i="72"/>
  <c r="B63" i="72"/>
  <c r="B62" i="72"/>
  <c r="B16" i="72"/>
  <c r="B65" i="72"/>
  <c r="B60" i="72"/>
  <c r="B59" i="72"/>
  <c r="B67" i="72"/>
  <c r="B10" i="72"/>
  <c r="C53" i="10"/>
  <c r="B51" i="10"/>
  <c r="B19" i="72"/>
  <c r="A18" i="51"/>
  <c r="B13" i="72" s="1"/>
  <c r="B49" i="48"/>
  <c r="B5" i="72" s="1"/>
  <c r="I19" i="43"/>
  <c r="D74" i="71"/>
  <c r="F73" i="71"/>
  <c r="E73" i="71"/>
  <c r="E72" i="71"/>
  <c r="E71" i="71"/>
  <c r="C73" i="71"/>
  <c r="D73" i="71"/>
  <c r="B73" i="71"/>
  <c r="F72" i="71"/>
  <c r="F71" i="71"/>
  <c r="B72" i="71"/>
  <c r="B71" i="71"/>
  <c r="D70" i="71"/>
  <c r="F69" i="71"/>
  <c r="E69" i="71"/>
  <c r="E68" i="71"/>
  <c r="E67" i="71"/>
  <c r="C69" i="71"/>
  <c r="D69" i="71"/>
  <c r="B69" i="71"/>
  <c r="F68" i="71"/>
  <c r="F67" i="71"/>
  <c r="B68" i="71"/>
  <c r="B67"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Q57" i="71"/>
  <c r="P57" i="71"/>
  <c r="O57" i="71"/>
  <c r="N57" i="71"/>
  <c r="F57" i="71"/>
  <c r="V57" i="71"/>
  <c r="E57" i="71"/>
  <c r="U57" i="71"/>
  <c r="C57" i="71"/>
  <c r="T57" i="71"/>
  <c r="B57" i="71"/>
  <c r="S57" i="71"/>
  <c r="Q56" i="71"/>
  <c r="P56" i="71"/>
  <c r="O56" i="71"/>
  <c r="N56" i="71"/>
  <c r="F56" i="71"/>
  <c r="F55" i="71"/>
  <c r="B56" i="71"/>
  <c r="B55" i="71"/>
  <c r="Q55" i="71"/>
  <c r="P55" i="71"/>
  <c r="O55" i="71"/>
  <c r="N55" i="71"/>
  <c r="Q54" i="71"/>
  <c r="P54" i="71"/>
  <c r="O54" i="71"/>
  <c r="N54" i="71"/>
  <c r="D54" i="71"/>
  <c r="F53" i="71"/>
  <c r="V53" i="71"/>
  <c r="E53" i="71"/>
  <c r="P53" i="71"/>
  <c r="C53" i="71"/>
  <c r="B53" i="71"/>
  <c r="S53" i="71"/>
  <c r="F52" i="71"/>
  <c r="F51" i="71"/>
  <c r="Q51" i="71"/>
  <c r="B52" i="71"/>
  <c r="D50" i="71"/>
  <c r="Q49" i="71"/>
  <c r="P49" i="71"/>
  <c r="O49" i="71"/>
  <c r="N49" i="71"/>
  <c r="Q48" i="71"/>
  <c r="P48" i="71"/>
  <c r="O48" i="71"/>
  <c r="N48" i="71"/>
  <c r="Q47" i="71"/>
  <c r="P47" i="71"/>
  <c r="O47" i="71"/>
  <c r="N47" i="71"/>
  <c r="Q46" i="71"/>
  <c r="F47" i="71"/>
  <c r="F48" i="71"/>
  <c r="F49" i="71"/>
  <c r="V49" i="71"/>
  <c r="P46" i="71"/>
  <c r="E47" i="71"/>
  <c r="O46" i="71"/>
  <c r="C47" i="71"/>
  <c r="N46" i="71"/>
  <c r="B47" i="71"/>
  <c r="B48" i="71"/>
  <c r="B49" i="71"/>
  <c r="S49" i="71"/>
  <c r="D46" i="71"/>
  <c r="Q45" i="71"/>
  <c r="P45" i="71"/>
  <c r="O45" i="71"/>
  <c r="N45" i="71"/>
  <c r="Q44" i="71"/>
  <c r="P44" i="71"/>
  <c r="O44" i="71"/>
  <c r="N44" i="71"/>
  <c r="Q43" i="71"/>
  <c r="P43" i="71"/>
  <c r="O43" i="71"/>
  <c r="N43" i="71"/>
  <c r="Q42" i="71"/>
  <c r="F43" i="71"/>
  <c r="F44" i="71"/>
  <c r="F45" i="71"/>
  <c r="V45" i="71"/>
  <c r="P42" i="71"/>
  <c r="E43" i="71"/>
  <c r="O42" i="71"/>
  <c r="C43" i="71"/>
  <c r="N42" i="71"/>
  <c r="B43" i="71"/>
  <c r="B44" i="71"/>
  <c r="B45" i="71"/>
  <c r="S45" i="71"/>
  <c r="D42" i="71"/>
  <c r="Q41" i="71"/>
  <c r="P41" i="71"/>
  <c r="O41" i="71"/>
  <c r="N41" i="71"/>
  <c r="Q40" i="71"/>
  <c r="P40" i="71"/>
  <c r="O40" i="71"/>
  <c r="N40" i="71"/>
  <c r="Q39" i="71"/>
  <c r="P39" i="71"/>
  <c r="O39" i="71"/>
  <c r="N39" i="71"/>
  <c r="C39" i="71"/>
  <c r="Q38" i="71"/>
  <c r="F39" i="71"/>
  <c r="F40" i="71"/>
  <c r="F41" i="71"/>
  <c r="V41" i="71"/>
  <c r="P38" i="71"/>
  <c r="E39" i="71"/>
  <c r="O38" i="71"/>
  <c r="N38" i="71"/>
  <c r="B39" i="71"/>
  <c r="B40" i="71"/>
  <c r="B41" i="71"/>
  <c r="S41" i="71"/>
  <c r="D38" i="71"/>
  <c r="Q37" i="71"/>
  <c r="P37" i="71"/>
  <c r="O37" i="71"/>
  <c r="N37" i="71"/>
  <c r="Q36" i="71"/>
  <c r="P36" i="71"/>
  <c r="O36" i="71"/>
  <c r="N36" i="71"/>
  <c r="Q35" i="71"/>
  <c r="P35" i="71"/>
  <c r="O35" i="71"/>
  <c r="N35" i="71"/>
  <c r="Q34" i="71"/>
  <c r="F35" i="71"/>
  <c r="P34" i="71"/>
  <c r="E35" i="71"/>
  <c r="E36" i="71"/>
  <c r="E37" i="71"/>
  <c r="U37" i="71"/>
  <c r="O34" i="71"/>
  <c r="C35" i="71"/>
  <c r="N34" i="71"/>
  <c r="B35" i="71"/>
  <c r="B36" i="71"/>
  <c r="B37" i="71"/>
  <c r="S37" i="71"/>
  <c r="D34" i="71"/>
  <c r="T33" i="71"/>
  <c r="Q33" i="71"/>
  <c r="P33" i="71"/>
  <c r="O33" i="71"/>
  <c r="N33" i="71"/>
  <c r="D33" i="71"/>
  <c r="Q32" i="71"/>
  <c r="P32" i="71"/>
  <c r="O32" i="71"/>
  <c r="N32" i="71"/>
  <c r="Q31" i="71"/>
  <c r="P31" i="71"/>
  <c r="O31" i="71"/>
  <c r="N31" i="71"/>
  <c r="F31" i="71"/>
  <c r="F32" i="71"/>
  <c r="F33" i="71"/>
  <c r="V33" i="71"/>
  <c r="Q30" i="71"/>
  <c r="P30" i="71"/>
  <c r="E31" i="71"/>
  <c r="E32" i="71"/>
  <c r="E33" i="71"/>
  <c r="U33" i="71"/>
  <c r="O30" i="71"/>
  <c r="C31" i="71"/>
  <c r="N30" i="71"/>
  <c r="B31" i="71"/>
  <c r="B32" i="71"/>
  <c r="B33" i="71"/>
  <c r="S33" i="71"/>
  <c r="D30" i="71"/>
  <c r="Q29" i="71"/>
  <c r="P29" i="71"/>
  <c r="O29" i="71"/>
  <c r="N29" i="71"/>
  <c r="Q28" i="71"/>
  <c r="P28" i="71"/>
  <c r="O28" i="71"/>
  <c r="N28" i="71"/>
  <c r="Q27" i="71"/>
  <c r="P27" i="71"/>
  <c r="O27" i="71"/>
  <c r="N27" i="71"/>
  <c r="F27" i="71"/>
  <c r="F28" i="71"/>
  <c r="F29" i="71"/>
  <c r="V29" i="71"/>
  <c r="Q26" i="71"/>
  <c r="P26" i="71"/>
  <c r="E27" i="71"/>
  <c r="E28" i="71"/>
  <c r="E29" i="71"/>
  <c r="U29" i="71"/>
  <c r="O26" i="71"/>
  <c r="C27" i="71"/>
  <c r="N26" i="71"/>
  <c r="B27" i="71"/>
  <c r="B28" i="71"/>
  <c r="B29" i="71"/>
  <c r="S29" i="71"/>
  <c r="D26" i="71"/>
  <c r="Q25" i="71"/>
  <c r="P25" i="71"/>
  <c r="O25" i="71"/>
  <c r="N25" i="71"/>
  <c r="AB24" i="71"/>
  <c r="Q24" i="71"/>
  <c r="P24" i="71"/>
  <c r="AA24" i="71"/>
  <c r="O24" i="71"/>
  <c r="Y24" i="71"/>
  <c r="Z24" i="71"/>
  <c r="N24" i="71"/>
  <c r="X24" i="71"/>
  <c r="Q23" i="71"/>
  <c r="AB23" i="71"/>
  <c r="P23" i="71"/>
  <c r="O23" i="71"/>
  <c r="Y23" i="71"/>
  <c r="Z23" i="71"/>
  <c r="N23" i="71"/>
  <c r="F23" i="71"/>
  <c r="F24" i="71"/>
  <c r="F25" i="71"/>
  <c r="V25" i="71"/>
  <c r="Q22" i="71"/>
  <c r="P22" i="71"/>
  <c r="O22" i="71"/>
  <c r="N22" i="71"/>
  <c r="D22" i="71"/>
  <c r="Q21" i="71"/>
  <c r="AB21" i="71"/>
  <c r="P21" i="71"/>
  <c r="O21" i="71"/>
  <c r="Y21" i="71"/>
  <c r="Z21" i="71"/>
  <c r="N21" i="71"/>
  <c r="Q20" i="71"/>
  <c r="AB20" i="71"/>
  <c r="P20" i="71"/>
  <c r="O20" i="71"/>
  <c r="Y20" i="71"/>
  <c r="Z20" i="71"/>
  <c r="N20" i="71"/>
  <c r="Q19" i="71"/>
  <c r="AB19" i="71"/>
  <c r="P19" i="71"/>
  <c r="O19" i="71"/>
  <c r="Y19" i="71"/>
  <c r="Z19" i="71"/>
  <c r="N19" i="71"/>
  <c r="F19" i="71"/>
  <c r="F20" i="71"/>
  <c r="F21" i="71"/>
  <c r="V21" i="71"/>
  <c r="Q18" i="71"/>
  <c r="P18" i="71"/>
  <c r="O18" i="71"/>
  <c r="N18" i="71"/>
  <c r="D18" i="71"/>
  <c r="Q17" i="71"/>
  <c r="AB17" i="71"/>
  <c r="P17" i="71"/>
  <c r="O17" i="71"/>
  <c r="Y17" i="71"/>
  <c r="Z17" i="71"/>
  <c r="N17" i="71"/>
  <c r="Q16" i="71"/>
  <c r="AB16" i="71"/>
  <c r="P16" i="71"/>
  <c r="O16" i="71"/>
  <c r="Y16" i="71"/>
  <c r="Z16" i="71"/>
  <c r="N16" i="71"/>
  <c r="Q15" i="71"/>
  <c r="AB15" i="71"/>
  <c r="P15" i="71"/>
  <c r="O15" i="71"/>
  <c r="Y15" i="71"/>
  <c r="Z15" i="71"/>
  <c r="N15" i="71"/>
  <c r="F15" i="71"/>
  <c r="F16" i="71"/>
  <c r="F17" i="71"/>
  <c r="V17" i="71"/>
  <c r="Q14" i="71"/>
  <c r="P14" i="71"/>
  <c r="O14" i="71"/>
  <c r="N14" i="71"/>
  <c r="D14" i="71"/>
  <c r="O13" i="71"/>
  <c r="N13" i="71"/>
  <c r="B15" i="71"/>
  <c r="B16" i="71"/>
  <c r="B17" i="71"/>
  <c r="S17" i="71"/>
  <c r="X14" i="71"/>
  <c r="E15" i="71"/>
  <c r="E16" i="71"/>
  <c r="E17" i="71"/>
  <c r="U17" i="71"/>
  <c r="AA14" i="71"/>
  <c r="B19" i="71"/>
  <c r="B20" i="71"/>
  <c r="B21" i="71"/>
  <c r="S21" i="71"/>
  <c r="X18" i="71"/>
  <c r="B23" i="71"/>
  <c r="B24" i="71"/>
  <c r="B25" i="71"/>
  <c r="S25" i="71"/>
  <c r="X22" i="71"/>
  <c r="E23" i="71"/>
  <c r="E24" i="71"/>
  <c r="E25" i="71"/>
  <c r="U25" i="71"/>
  <c r="AA22" i="71"/>
  <c r="N53" i="71"/>
  <c r="E19" i="71"/>
  <c r="E20" i="71"/>
  <c r="E21" i="71"/>
  <c r="U21" i="71"/>
  <c r="AA18" i="71"/>
  <c r="C15" i="71"/>
  <c r="Y14" i="71"/>
  <c r="Z14" i="71"/>
  <c r="AB14" i="71"/>
  <c r="X15" i="71"/>
  <c r="AA15" i="71"/>
  <c r="X16" i="71"/>
  <c r="AA16" i="71"/>
  <c r="X17" i="71"/>
  <c r="AA17" i="71"/>
  <c r="C19" i="71"/>
  <c r="C20" i="71"/>
  <c r="Y18" i="71"/>
  <c r="Z18" i="71"/>
  <c r="AB18" i="71"/>
  <c r="X19" i="71"/>
  <c r="AA19" i="71"/>
  <c r="X20" i="71"/>
  <c r="AA20" i="71"/>
  <c r="X21" i="71"/>
  <c r="AA21" i="71"/>
  <c r="C23" i="71"/>
  <c r="Y22" i="71"/>
  <c r="Z22" i="71"/>
  <c r="AB22" i="71"/>
  <c r="X23" i="71"/>
  <c r="AA23" i="71"/>
  <c r="F36" i="71"/>
  <c r="F37" i="71"/>
  <c r="V37" i="71"/>
  <c r="C13" i="71"/>
  <c r="Y3" i="71"/>
  <c r="Z3" i="71" s="1"/>
  <c r="Y10" i="71"/>
  <c r="Z10" i="71"/>
  <c r="Y11" i="71"/>
  <c r="Z11" i="71"/>
  <c r="Y12" i="71"/>
  <c r="Z12" i="71"/>
  <c r="Y13" i="71"/>
  <c r="Z13" i="71"/>
  <c r="B13" i="71"/>
  <c r="B12" i="71"/>
  <c r="B11" i="71"/>
  <c r="X10" i="71"/>
  <c r="X11" i="71"/>
  <c r="X12" i="71"/>
  <c r="X13" i="71"/>
  <c r="C16" i="71"/>
  <c r="D15" i="71"/>
  <c r="D19" i="71"/>
  <c r="C24" i="71"/>
  <c r="D23" i="71"/>
  <c r="C28" i="71"/>
  <c r="D27" i="71"/>
  <c r="C32" i="71"/>
  <c r="D32" i="71"/>
  <c r="D31" i="71"/>
  <c r="C36" i="71"/>
  <c r="D35" i="71"/>
  <c r="P13" i="71"/>
  <c r="E40" i="71"/>
  <c r="E41" i="71"/>
  <c r="U41" i="71"/>
  <c r="E44" i="71"/>
  <c r="E45" i="71"/>
  <c r="U45" i="71"/>
  <c r="E48" i="71"/>
  <c r="E49" i="71"/>
  <c r="U49" i="71"/>
  <c r="Q50" i="71"/>
  <c r="U53" i="71"/>
  <c r="E52" i="71"/>
  <c r="Q13" i="71"/>
  <c r="C40" i="71"/>
  <c r="D39" i="71"/>
  <c r="C44" i="71"/>
  <c r="D43" i="71"/>
  <c r="C48" i="71"/>
  <c r="D47" i="71"/>
  <c r="N52" i="71"/>
  <c r="B51" i="71"/>
  <c r="Q52" i="71"/>
  <c r="T53" i="71"/>
  <c r="O53" i="71"/>
  <c r="D53" i="71"/>
  <c r="C52" i="71"/>
  <c r="Q53" i="71"/>
  <c r="C56" i="71"/>
  <c r="E56" i="71"/>
  <c r="E55" i="71"/>
  <c r="D57" i="71"/>
  <c r="C60" i="71"/>
  <c r="E60" i="71"/>
  <c r="E59" i="71"/>
  <c r="D61" i="71"/>
  <c r="C64" i="71"/>
  <c r="E64" i="71"/>
  <c r="E63" i="71"/>
  <c r="D65" i="71"/>
  <c r="C68" i="71"/>
  <c r="C72" i="71"/>
  <c r="T13" i="71"/>
  <c r="C12" i="71"/>
  <c r="S13" i="71"/>
  <c r="F13" i="71"/>
  <c r="F12" i="71"/>
  <c r="F11" i="71"/>
  <c r="AB10" i="71"/>
  <c r="AB11" i="71"/>
  <c r="AB12" i="71"/>
  <c r="AB13" i="71"/>
  <c r="E13" i="71"/>
  <c r="E12" i="71"/>
  <c r="E11" i="71"/>
  <c r="AA3" i="71"/>
  <c r="AA10" i="71"/>
  <c r="AA11" i="71"/>
  <c r="AA12" i="71"/>
  <c r="AA13" i="71"/>
  <c r="D13" i="71"/>
  <c r="U13" i="71"/>
  <c r="C51" i="71"/>
  <c r="O52" i="71"/>
  <c r="D52" i="71"/>
  <c r="C49" i="71"/>
  <c r="D48" i="71"/>
  <c r="D68" i="71"/>
  <c r="C67" i="71"/>
  <c r="D67" i="71"/>
  <c r="D60" i="71"/>
  <c r="C59" i="71"/>
  <c r="D59" i="71"/>
  <c r="N50" i="71"/>
  <c r="N51" i="71"/>
  <c r="D72" i="71"/>
  <c r="C71" i="71"/>
  <c r="D71" i="71"/>
  <c r="D64" i="71"/>
  <c r="C63" i="71"/>
  <c r="D63" i="71"/>
  <c r="D56" i="71"/>
  <c r="C55" i="71"/>
  <c r="D55" i="71"/>
  <c r="C45" i="71"/>
  <c r="D44" i="71"/>
  <c r="C41" i="71"/>
  <c r="D40" i="71"/>
  <c r="P52" i="71"/>
  <c r="E51" i="71"/>
  <c r="C37" i="71"/>
  <c r="D36" i="71"/>
  <c r="C29" i="71"/>
  <c r="D28" i="71"/>
  <c r="C25" i="71"/>
  <c r="D24" i="71"/>
  <c r="C21" i="71"/>
  <c r="D20" i="71"/>
  <c r="C17" i="71"/>
  <c r="D16" i="71"/>
  <c r="C11" i="71"/>
  <c r="D11" i="71"/>
  <c r="D12" i="71"/>
  <c r="V13" i="71"/>
  <c r="P50" i="71"/>
  <c r="P51" i="71"/>
  <c r="O51" i="71"/>
  <c r="D51" i="71"/>
  <c r="O50" i="71"/>
  <c r="T17" i="71"/>
  <c r="D17" i="71"/>
  <c r="T21" i="71"/>
  <c r="D21" i="71"/>
  <c r="T25" i="71"/>
  <c r="D25" i="71"/>
  <c r="T29" i="71"/>
  <c r="D29" i="71"/>
  <c r="T37" i="71"/>
  <c r="D37" i="71"/>
  <c r="T41" i="71"/>
  <c r="D41" i="71"/>
  <c r="T45" i="71"/>
  <c r="D45" i="71"/>
  <c r="T49" i="71"/>
  <c r="D49"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s="1"/>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9" i="39"/>
  <c r="S18" i="36"/>
  <c r="U18" i="36"/>
  <c r="S21" i="34"/>
  <c r="F103" i="39"/>
  <c r="H29" i="39"/>
  <c r="G103" i="39"/>
  <c r="J29" i="39"/>
  <c r="G66" i="36"/>
  <c r="J18" i="36"/>
  <c r="F68" i="35"/>
  <c r="H18" i="35"/>
  <c r="S18" i="35"/>
  <c r="G68" i="35"/>
  <c r="J18" i="35"/>
  <c r="F77" i="37"/>
  <c r="H21" i="37"/>
  <c r="F21" i="37"/>
  <c r="F84" i="34"/>
  <c r="H21" i="34"/>
  <c r="F83" i="33"/>
  <c r="H21" i="33"/>
  <c r="F21" i="33"/>
  <c r="E83" i="21"/>
  <c r="S21" i="21"/>
  <c r="H1" i="69"/>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c r="W21" i="37"/>
  <c r="AC21" i="34"/>
  <c r="W21" i="34"/>
  <c r="AC21" i="33"/>
  <c r="W21" i="33"/>
  <c r="AB21" i="21"/>
  <c r="U21" i="21"/>
  <c r="G83" i="21"/>
  <c r="J21" i="21"/>
  <c r="F38" i="68"/>
  <c r="E37" i="68"/>
  <c r="F36" i="68"/>
  <c r="F35" i="68"/>
  <c r="F21" i="68"/>
  <c r="C21" i="68" s="1"/>
  <c r="F20" i="68"/>
  <c r="E10" i="68"/>
  <c r="E9" i="68"/>
  <c r="F7" i="68"/>
  <c r="W21" i="21"/>
  <c r="AC21" i="21"/>
  <c r="Q72" i="67"/>
  <c r="Q59" i="67"/>
  <c r="Q58" i="67"/>
  <c r="Q51" i="67"/>
  <c r="J50" i="67"/>
  <c r="M47" i="67"/>
  <c r="D46" i="67"/>
  <c r="F33" i="67"/>
  <c r="F61" i="67"/>
  <c r="F23" i="67"/>
  <c r="D24" i="67" s="1"/>
  <c r="F21" i="67"/>
  <c r="F20" i="67"/>
  <c r="M19" i="67"/>
  <c r="F18" i="67"/>
  <c r="F17" i="67"/>
  <c r="F15" i="67"/>
  <c r="D22" i="67"/>
  <c r="S2" i="4"/>
  <c r="C51" i="10" s="1"/>
  <c r="A13" i="51" s="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G13" i="1" s="1"/>
  <c r="D6" i="1"/>
  <c r="D9" i="1"/>
  <c r="D10" i="1"/>
  <c r="D11" i="1"/>
  <c r="D12" i="1"/>
  <c r="D13" i="1"/>
  <c r="D7" i="1"/>
  <c r="D8" i="1"/>
  <c r="A7" i="1"/>
  <c r="B7" i="1" s="1"/>
  <c r="E7" i="1" s="1"/>
  <c r="A8" i="1"/>
  <c r="B8" i="1"/>
  <c r="E8" i="1"/>
  <c r="A9" i="1"/>
  <c r="A10" i="1"/>
  <c r="A11" i="1"/>
  <c r="A12" i="1"/>
  <c r="A13" i="1"/>
  <c r="A6" i="1"/>
  <c r="F3" i="35"/>
  <c r="B11" i="1"/>
  <c r="E11" i="1"/>
  <c r="K10" i="1"/>
  <c r="M10" i="1" s="1"/>
  <c r="O10" i="1" s="1"/>
  <c r="P10" i="1" s="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c r="AZ112" i="3" s="1"/>
  <c r="AX112" i="3"/>
  <c r="AW112" i="3"/>
  <c r="AV112" i="3"/>
  <c r="AC112" i="3"/>
  <c r="H112" i="3"/>
  <c r="G112" i="3" s="1"/>
  <c r="BT111" i="3"/>
  <c r="BS111" i="3"/>
  <c r="BR111" i="3"/>
  <c r="BQ111" i="3"/>
  <c r="BP111" i="3"/>
  <c r="BO111" i="3"/>
  <c r="BN111" i="3"/>
  <c r="BM111" i="3"/>
  <c r="BL111" i="3"/>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Z109" i="3" s="1"/>
  <c r="AX109" i="3"/>
  <c r="AW109" i="3"/>
  <c r="AV109" i="3"/>
  <c r="AC109" i="3"/>
  <c r="H109" i="3"/>
  <c r="BT108" i="3"/>
  <c r="BS108" i="3"/>
  <c r="BR108" i="3"/>
  <c r="BQ108" i="3"/>
  <c r="BP108" i="3"/>
  <c r="BO108" i="3"/>
  <c r="BN108" i="3"/>
  <c r="BM108" i="3"/>
  <c r="BL108" i="3"/>
  <c r="BK108" i="3"/>
  <c r="BJ108" i="3"/>
  <c r="BI108" i="3"/>
  <c r="BH108" i="3"/>
  <c r="BG108" i="3"/>
  <c r="BF108" i="3"/>
  <c r="BE108" i="3"/>
  <c r="BD108" i="3"/>
  <c r="BC108" i="3"/>
  <c r="BB108" i="3"/>
  <c r="BA108" i="3" s="1"/>
  <c r="AZ108" i="3" s="1"/>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c r="AX106" i="3"/>
  <c r="AW106" i="3"/>
  <c r="AV106" i="3"/>
  <c r="AC106" i="3"/>
  <c r="H106" i="3"/>
  <c r="BT105" i="3"/>
  <c r="BS105" i="3"/>
  <c r="BR105" i="3"/>
  <c r="BQ105" i="3"/>
  <c r="BP105" i="3"/>
  <c r="BO105" i="3"/>
  <c r="BN105" i="3"/>
  <c r="BM105" i="3"/>
  <c r="BL105" i="3"/>
  <c r="BK105" i="3"/>
  <c r="BJ105" i="3"/>
  <c r="BI105" i="3"/>
  <c r="BH105" i="3"/>
  <c r="BG105" i="3"/>
  <c r="BF105" i="3"/>
  <c r="BE105" i="3"/>
  <c r="BD105" i="3"/>
  <c r="BC105" i="3"/>
  <c r="BB105" i="3"/>
  <c r="BA105" i="3" s="1"/>
  <c r="AZ105" i="3" s="1"/>
  <c r="AX105" i="3"/>
  <c r="AW105" i="3"/>
  <c r="AV105" i="3"/>
  <c r="AC105" i="3"/>
  <c r="H105" i="3"/>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c r="AX103" i="3"/>
  <c r="AW103" i="3"/>
  <c r="AV103" i="3"/>
  <c r="AC103" i="3"/>
  <c r="H103" i="3"/>
  <c r="BT102" i="3"/>
  <c r="BS102" i="3"/>
  <c r="BR102" i="3"/>
  <c r="BQ102" i="3"/>
  <c r="BP102" i="3"/>
  <c r="BO102" i="3"/>
  <c r="BN102" i="3"/>
  <c r="BM102" i="3"/>
  <c r="BL102" i="3"/>
  <c r="BK102" i="3"/>
  <c r="BJ102" i="3"/>
  <c r="BI102" i="3"/>
  <c r="BH102" i="3"/>
  <c r="BG102" i="3"/>
  <c r="BF102" i="3"/>
  <c r="BE102" i="3"/>
  <c r="BD102" i="3"/>
  <c r="BC102" i="3"/>
  <c r="BB102" i="3"/>
  <c r="BA102" i="3" s="1"/>
  <c r="AZ102" i="3" s="1"/>
  <c r="AX102" i="3"/>
  <c r="AW102" i="3"/>
  <c r="AV102" i="3"/>
  <c r="AC102" i="3"/>
  <c r="H102" i="3"/>
  <c r="BT101" i="3"/>
  <c r="BS101" i="3"/>
  <c r="BR101" i="3"/>
  <c r="BQ101" i="3"/>
  <c r="BP101" i="3"/>
  <c r="BO101" i="3"/>
  <c r="BN101" i="3"/>
  <c r="BM101" i="3"/>
  <c r="BL101" i="3"/>
  <c r="BK101" i="3"/>
  <c r="BJ101" i="3"/>
  <c r="BI101" i="3"/>
  <c r="BH101" i="3"/>
  <c r="BG101" i="3"/>
  <c r="BF101" i="3"/>
  <c r="BE101" i="3"/>
  <c r="BD101" i="3"/>
  <c r="BC101" i="3"/>
  <c r="BB101" i="3"/>
  <c r="BA101" i="3" s="1"/>
  <c r="AZ101" i="3" s="1"/>
  <c r="AX101" i="3"/>
  <c r="AW101" i="3"/>
  <c r="AV101" i="3"/>
  <c r="AC101" i="3"/>
  <c r="H101" i="3"/>
  <c r="BT100" i="3"/>
  <c r="BS100" i="3"/>
  <c r="BR100" i="3"/>
  <c r="BQ100" i="3"/>
  <c r="BP100" i="3"/>
  <c r="BO100" i="3"/>
  <c r="BN100" i="3"/>
  <c r="BM100" i="3"/>
  <c r="BL100" i="3"/>
  <c r="BK100" i="3"/>
  <c r="BJ100" i="3"/>
  <c r="BI100" i="3"/>
  <c r="BH100" i="3"/>
  <c r="BG100" i="3"/>
  <c r="BF100" i="3"/>
  <c r="BE100" i="3"/>
  <c r="BD100" i="3"/>
  <c r="BC100" i="3"/>
  <c r="BB100" i="3"/>
  <c r="BA100" i="3" s="1"/>
  <c r="AZ100" i="3" s="1"/>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c r="AX99" i="3"/>
  <c r="AW99" i="3"/>
  <c r="AV99" i="3"/>
  <c r="AC99" i="3"/>
  <c r="H99" i="3"/>
  <c r="BT98" i="3"/>
  <c r="BS98" i="3"/>
  <c r="BR98" i="3"/>
  <c r="BQ98" i="3"/>
  <c r="BP98" i="3"/>
  <c r="BO98" i="3"/>
  <c r="BN98" i="3"/>
  <c r="BM98" i="3"/>
  <c r="BL98" i="3"/>
  <c r="BK98" i="3"/>
  <c r="BJ98" i="3"/>
  <c r="BI98" i="3"/>
  <c r="BH98" i="3"/>
  <c r="BG98" i="3"/>
  <c r="BF98" i="3"/>
  <c r="BE98" i="3"/>
  <c r="BD98" i="3"/>
  <c r="BC98" i="3"/>
  <c r="BB98" i="3"/>
  <c r="BA98" i="3" s="1"/>
  <c r="AZ98" i="3" s="1"/>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c r="AX96" i="3"/>
  <c r="AW96" i="3"/>
  <c r="AV96" i="3"/>
  <c r="AC96" i="3"/>
  <c r="H96" i="3"/>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X92" i="3"/>
  <c r="AW92" i="3"/>
  <c r="AV92" i="3"/>
  <c r="AC92" i="3"/>
  <c r="H92" i="3"/>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c r="AX90" i="3"/>
  <c r="AW90" i="3"/>
  <c r="AV90" i="3"/>
  <c r="AC90" i="3"/>
  <c r="H90" i="3"/>
  <c r="BT89" i="3"/>
  <c r="BS89" i="3"/>
  <c r="BR89" i="3"/>
  <c r="BQ89" i="3"/>
  <c r="BP89" i="3"/>
  <c r="BO89" i="3"/>
  <c r="BN89" i="3"/>
  <c r="BM89" i="3"/>
  <c r="BL89" i="3"/>
  <c r="BK89" i="3"/>
  <c r="BJ89" i="3"/>
  <c r="BI89" i="3"/>
  <c r="BH89" i="3"/>
  <c r="BG89" i="3"/>
  <c r="BF89" i="3"/>
  <c r="BE89" i="3"/>
  <c r="BD89" i="3"/>
  <c r="BC89" i="3"/>
  <c r="BB89" i="3"/>
  <c r="BA89" i="3" s="1"/>
  <c r="AZ89" i="3" s="1"/>
  <c r="AX89" i="3"/>
  <c r="AW89" i="3"/>
  <c r="AV89" i="3"/>
  <c r="AC89" i="3"/>
  <c r="H89" i="3"/>
  <c r="BT88" i="3"/>
  <c r="BS88" i="3"/>
  <c r="BR88" i="3"/>
  <c r="BQ88" i="3"/>
  <c r="BP88" i="3"/>
  <c r="BO88" i="3"/>
  <c r="BN88" i="3"/>
  <c r="BM88" i="3"/>
  <c r="BL88" i="3"/>
  <c r="BK88" i="3"/>
  <c r="BJ88" i="3"/>
  <c r="BI88" i="3"/>
  <c r="BH88" i="3"/>
  <c r="BG88" i="3"/>
  <c r="BF88" i="3"/>
  <c r="BE88" i="3"/>
  <c r="BD88" i="3"/>
  <c r="BC88" i="3"/>
  <c r="BB88" i="3"/>
  <c r="BA88" i="3" s="1"/>
  <c r="AZ88" i="3" s="1"/>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BT80" i="3"/>
  <c r="BS80" i="3"/>
  <c r="BR80" i="3"/>
  <c r="BQ80" i="3"/>
  <c r="BP80" i="3"/>
  <c r="BO80" i="3"/>
  <c r="BN80" i="3"/>
  <c r="BM80" i="3"/>
  <c r="BL80" i="3"/>
  <c r="BK80" i="3"/>
  <c r="BJ80" i="3"/>
  <c r="BI80" i="3"/>
  <c r="BH80" i="3"/>
  <c r="BG80" i="3"/>
  <c r="BF80" i="3"/>
  <c r="BE80" i="3"/>
  <c r="BD80" i="3"/>
  <c r="BC80" i="3"/>
  <c r="BB80" i="3"/>
  <c r="BA80" i="3" s="1"/>
  <c r="AZ80" i="3" s="1"/>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Z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X76" i="3"/>
  <c r="AW76" i="3"/>
  <c r="AV76" i="3"/>
  <c r="AC76" i="3"/>
  <c r="H76" i="3"/>
  <c r="BT75" i="3"/>
  <c r="BS75" i="3"/>
  <c r="BR75" i="3"/>
  <c r="BQ75" i="3"/>
  <c r="BP75" i="3"/>
  <c r="BO75" i="3"/>
  <c r="BN75" i="3"/>
  <c r="BM75" i="3"/>
  <c r="BL75" i="3"/>
  <c r="BK75" i="3"/>
  <c r="BJ75" i="3"/>
  <c r="BI75" i="3"/>
  <c r="BH75" i="3"/>
  <c r="BG75" i="3"/>
  <c r="BF75" i="3"/>
  <c r="BE75" i="3"/>
  <c r="BD75" i="3"/>
  <c r="BC75" i="3"/>
  <c r="BB75" i="3"/>
  <c r="BA75" i="3" s="1"/>
  <c r="AZ75" i="3" s="1"/>
  <c r="AX75" i="3"/>
  <c r="AW75" i="3"/>
  <c r="AV75" i="3"/>
  <c r="AC75" i="3"/>
  <c r="H75" i="3"/>
  <c r="BT74" i="3"/>
  <c r="BS74" i="3"/>
  <c r="BR74" i="3"/>
  <c r="BQ74" i="3"/>
  <c r="BP74" i="3"/>
  <c r="BO74" i="3"/>
  <c r="BN74" i="3"/>
  <c r="BM74" i="3"/>
  <c r="BL74" i="3"/>
  <c r="BK74" i="3"/>
  <c r="BJ74" i="3"/>
  <c r="BI74" i="3"/>
  <c r="BH74" i="3"/>
  <c r="BG74" i="3"/>
  <c r="BF74" i="3"/>
  <c r="BE74" i="3"/>
  <c r="BD74" i="3"/>
  <c r="BC74" i="3"/>
  <c r="BB74" i="3"/>
  <c r="BA74" i="3" s="1"/>
  <c r="AZ74" i="3" s="1"/>
  <c r="AX74" i="3"/>
  <c r="AW74" i="3"/>
  <c r="AV74" i="3"/>
  <c r="AC74" i="3"/>
  <c r="H74" i="3"/>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Z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BT63" i="3"/>
  <c r="BS63" i="3"/>
  <c r="BR63" i="3"/>
  <c r="BQ63" i="3"/>
  <c r="BP63" i="3"/>
  <c r="BO63" i="3"/>
  <c r="BN63" i="3"/>
  <c r="BM63" i="3"/>
  <c r="BL63" i="3"/>
  <c r="BK63" i="3"/>
  <c r="BJ63" i="3"/>
  <c r="BI63" i="3"/>
  <c r="BH63" i="3"/>
  <c r="BG63" i="3"/>
  <c r="BF63" i="3"/>
  <c r="BE63" i="3"/>
  <c r="BD63" i="3"/>
  <c r="BC63" i="3"/>
  <c r="BB63" i="3"/>
  <c r="BA63" i="3" s="1"/>
  <c r="AZ63" i="3" s="1"/>
  <c r="AX63" i="3"/>
  <c r="AW63" i="3"/>
  <c r="AV63" i="3"/>
  <c r="AC63" i="3"/>
  <c r="H63" i="3"/>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BT59" i="3"/>
  <c r="BS59" i="3"/>
  <c r="BR59" i="3"/>
  <c r="BQ59" i="3"/>
  <c r="BP59" i="3"/>
  <c r="BO59" i="3"/>
  <c r="BN59" i="3"/>
  <c r="BM59" i="3"/>
  <c r="BL59" i="3"/>
  <c r="BK59" i="3"/>
  <c r="BJ59" i="3"/>
  <c r="BI59" i="3"/>
  <c r="BH59" i="3"/>
  <c r="BG59" i="3"/>
  <c r="BF59" i="3"/>
  <c r="BE59" i="3"/>
  <c r="BD59" i="3"/>
  <c r="BC59" i="3"/>
  <c r="BB59" i="3"/>
  <c r="BA59" i="3" s="1"/>
  <c r="AZ59" i="3" s="1"/>
  <c r="AX59" i="3"/>
  <c r="AW59" i="3"/>
  <c r="AV59" i="3"/>
  <c r="AC59" i="3"/>
  <c r="H59" i="3"/>
  <c r="BT58" i="3"/>
  <c r="BS58" i="3"/>
  <c r="BR58" i="3"/>
  <c r="BQ58" i="3"/>
  <c r="BP58" i="3"/>
  <c r="BO58" i="3"/>
  <c r="BN58" i="3"/>
  <c r="BM58" i="3"/>
  <c r="BL58" i="3"/>
  <c r="BK58" i="3"/>
  <c r="BJ58" i="3"/>
  <c r="BI58" i="3"/>
  <c r="BH58" i="3"/>
  <c r="BG58" i="3"/>
  <c r="BF58" i="3"/>
  <c r="BE58" i="3"/>
  <c r="BD58" i="3"/>
  <c r="BC58" i="3"/>
  <c r="BB58" i="3"/>
  <c r="BA58" i="3" s="1"/>
  <c r="AZ58" i="3" s="1"/>
  <c r="AX58" i="3"/>
  <c r="AW58" i="3"/>
  <c r="AV58" i="3"/>
  <c r="AC58" i="3"/>
  <c r="H58" i="3"/>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c r="AX56" i="3"/>
  <c r="AW56" i="3"/>
  <c r="AV56" i="3"/>
  <c r="AC56" i="3"/>
  <c r="H56" i="3"/>
  <c r="BT55" i="3"/>
  <c r="BS55" i="3"/>
  <c r="BR55" i="3"/>
  <c r="BQ55" i="3"/>
  <c r="BP55" i="3"/>
  <c r="BO55" i="3"/>
  <c r="BN55" i="3"/>
  <c r="BM55" i="3"/>
  <c r="BL55" i="3"/>
  <c r="BK55" i="3"/>
  <c r="BJ55" i="3"/>
  <c r="BI55" i="3"/>
  <c r="BH55" i="3"/>
  <c r="BG55" i="3"/>
  <c r="BF55" i="3"/>
  <c r="BE55" i="3"/>
  <c r="BD55" i="3"/>
  <c r="BC55" i="3"/>
  <c r="BB55" i="3"/>
  <c r="BA55" i="3" s="1"/>
  <c r="AZ55" i="3" s="1"/>
  <c r="AX55" i="3"/>
  <c r="AW55" i="3"/>
  <c r="AV55" i="3"/>
  <c r="AC55" i="3"/>
  <c r="H55" i="3"/>
  <c r="BT54" i="3"/>
  <c r="BS54" i="3"/>
  <c r="BR54" i="3"/>
  <c r="BQ54" i="3"/>
  <c r="BP54" i="3"/>
  <c r="BO54" i="3"/>
  <c r="BN54" i="3"/>
  <c r="BM54" i="3"/>
  <c r="BL54" i="3"/>
  <c r="BK54" i="3"/>
  <c r="BJ54" i="3"/>
  <c r="BI54" i="3"/>
  <c r="BH54" i="3"/>
  <c r="BG54" i="3"/>
  <c r="BF54" i="3"/>
  <c r="BE54" i="3"/>
  <c r="BD54" i="3"/>
  <c r="BC54" i="3"/>
  <c r="BB54" i="3"/>
  <c r="BA54" i="3" s="1"/>
  <c r="AZ54" i="3" s="1"/>
  <c r="AX54" i="3"/>
  <c r="AW54" i="3"/>
  <c r="AV54" i="3"/>
  <c r="AC54" i="3"/>
  <c r="H54" i="3"/>
  <c r="G54" i="3"/>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c r="AX52" i="3"/>
  <c r="AW52" i="3"/>
  <c r="AV52" i="3"/>
  <c r="AC52" i="3"/>
  <c r="H52" i="3"/>
  <c r="BT51" i="3"/>
  <c r="BS51" i="3"/>
  <c r="BR51" i="3"/>
  <c r="BQ51" i="3"/>
  <c r="BP51" i="3"/>
  <c r="BO51" i="3"/>
  <c r="BN51" i="3"/>
  <c r="BM51" i="3"/>
  <c r="BL51" i="3"/>
  <c r="BK51" i="3"/>
  <c r="BJ51" i="3"/>
  <c r="BI51" i="3"/>
  <c r="BH51" i="3"/>
  <c r="BG51" i="3"/>
  <c r="BF51" i="3"/>
  <c r="BE51" i="3"/>
  <c r="BD51" i="3"/>
  <c r="BC51" i="3"/>
  <c r="BB51" i="3"/>
  <c r="BA51" i="3" s="1"/>
  <c r="AZ51" i="3" s="1"/>
  <c r="AX51" i="3"/>
  <c r="AW51" i="3"/>
  <c r="AV51" i="3"/>
  <c r="AC51" i="3"/>
  <c r="H51" i="3"/>
  <c r="BT50" i="3"/>
  <c r="BS50" i="3"/>
  <c r="BR50" i="3"/>
  <c r="BQ50" i="3"/>
  <c r="BP50" i="3"/>
  <c r="BO50" i="3"/>
  <c r="BN50" i="3"/>
  <c r="BM50" i="3"/>
  <c r="BL50" i="3"/>
  <c r="BK50" i="3"/>
  <c r="BJ50" i="3"/>
  <c r="BI50" i="3"/>
  <c r="BH50" i="3"/>
  <c r="BG50" i="3"/>
  <c r="BF50" i="3"/>
  <c r="BE50" i="3"/>
  <c r="BD50" i="3"/>
  <c r="BC50" i="3"/>
  <c r="BB50" i="3"/>
  <c r="BA50" i="3" s="1"/>
  <c r="AZ50" i="3" s="1"/>
  <c r="AX50" i="3"/>
  <c r="AW50" i="3"/>
  <c r="AV50" i="3"/>
  <c r="AC50" i="3"/>
  <c r="H50" i="3"/>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c r="AX48" i="3"/>
  <c r="AW48" i="3"/>
  <c r="AV48" i="3"/>
  <c r="AC48" i="3"/>
  <c r="H48" i="3"/>
  <c r="BT47" i="3"/>
  <c r="BS47" i="3"/>
  <c r="BR47" i="3"/>
  <c r="BQ47" i="3"/>
  <c r="BP47" i="3"/>
  <c r="BO47" i="3"/>
  <c r="BN47" i="3"/>
  <c r="BM47" i="3"/>
  <c r="BL47" i="3"/>
  <c r="BK47" i="3"/>
  <c r="BJ47" i="3"/>
  <c r="BI47" i="3"/>
  <c r="BH47" i="3"/>
  <c r="BG47" i="3"/>
  <c r="BF47" i="3"/>
  <c r="BE47" i="3"/>
  <c r="BD47" i="3"/>
  <c r="BC47" i="3"/>
  <c r="BB47" i="3"/>
  <c r="BA47" i="3" s="1"/>
  <c r="AZ47" i="3" s="1"/>
  <c r="AX47" i="3"/>
  <c r="AW47" i="3"/>
  <c r="AV47" i="3"/>
  <c r="AC47" i="3"/>
  <c r="H47" i="3"/>
  <c r="BT46" i="3"/>
  <c r="BS46" i="3"/>
  <c r="BR46" i="3"/>
  <c r="BQ46" i="3"/>
  <c r="BP46" i="3"/>
  <c r="BO46" i="3"/>
  <c r="BN46" i="3"/>
  <c r="BM46" i="3"/>
  <c r="BL46" i="3"/>
  <c r="BK46" i="3"/>
  <c r="BJ46" i="3"/>
  <c r="BI46" i="3"/>
  <c r="BH46" i="3"/>
  <c r="BG46" i="3"/>
  <c r="BF46" i="3"/>
  <c r="BE46" i="3"/>
  <c r="BD46" i="3"/>
  <c r="BC46" i="3"/>
  <c r="BB46" i="3"/>
  <c r="BA46" i="3" s="1"/>
  <c r="AZ46" i="3" s="1"/>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c r="AX44" i="3"/>
  <c r="AW44" i="3"/>
  <c r="AV44" i="3"/>
  <c r="AC44" i="3"/>
  <c r="H44" i="3"/>
  <c r="BT43" i="3"/>
  <c r="BS43" i="3"/>
  <c r="BR43" i="3"/>
  <c r="BQ43" i="3"/>
  <c r="BP43" i="3"/>
  <c r="BO43" i="3"/>
  <c r="BN43" i="3"/>
  <c r="BM43" i="3"/>
  <c r="BL43" i="3"/>
  <c r="BK43" i="3"/>
  <c r="BJ43" i="3"/>
  <c r="BI43" i="3"/>
  <c r="BH43" i="3"/>
  <c r="BG43" i="3"/>
  <c r="BF43" i="3"/>
  <c r="BE43" i="3"/>
  <c r="BD43" i="3"/>
  <c r="BC43" i="3"/>
  <c r="BB43" i="3"/>
  <c r="BA43" i="3" s="1"/>
  <c r="AZ43" i="3" s="1"/>
  <c r="AX43" i="3"/>
  <c r="AW43" i="3"/>
  <c r="AV43" i="3"/>
  <c r="AC43" i="3"/>
  <c r="H43" i="3"/>
  <c r="BT42" i="3"/>
  <c r="BS42" i="3"/>
  <c r="BR42" i="3"/>
  <c r="BQ42" i="3"/>
  <c r="BP42" i="3"/>
  <c r="BO42" i="3"/>
  <c r="BN42" i="3"/>
  <c r="BM42" i="3"/>
  <c r="BL42" i="3"/>
  <c r="BK42" i="3"/>
  <c r="BJ42" i="3"/>
  <c r="BI42" i="3"/>
  <c r="BH42" i="3"/>
  <c r="BG42" i="3"/>
  <c r="BF42" i="3"/>
  <c r="BE42" i="3"/>
  <c r="BD42" i="3"/>
  <c r="BC42" i="3"/>
  <c r="BB42" i="3"/>
  <c r="BA42" i="3" s="1"/>
  <c r="AZ42" i="3" s="1"/>
  <c r="AX42" i="3"/>
  <c r="AW42" i="3"/>
  <c r="AV42" i="3"/>
  <c r="AC42" i="3"/>
  <c r="H42" i="3"/>
  <c r="BT41" i="3"/>
  <c r="BS41" i="3"/>
  <c r="BR41" i="3"/>
  <c r="BQ41" i="3"/>
  <c r="BP41" i="3"/>
  <c r="BO41" i="3"/>
  <c r="BN41" i="3"/>
  <c r="BM41" i="3"/>
  <c r="BL41" i="3"/>
  <c r="BK41" i="3"/>
  <c r="BJ41" i="3"/>
  <c r="BI41" i="3"/>
  <c r="BH41" i="3"/>
  <c r="BG41" i="3"/>
  <c r="BF41" i="3"/>
  <c r="BE41" i="3"/>
  <c r="BD41" i="3"/>
  <c r="BC41" i="3"/>
  <c r="BB41" i="3"/>
  <c r="BA41" i="3" s="1"/>
  <c r="AZ41" i="3" s="1"/>
  <c r="AX41" i="3"/>
  <c r="AW41" i="3"/>
  <c r="AV41" i="3"/>
  <c r="AC41" i="3"/>
  <c r="H41" i="3"/>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X38" i="3"/>
  <c r="AW38" i="3"/>
  <c r="AV38" i="3"/>
  <c r="AC38" i="3"/>
  <c r="H38" i="3"/>
  <c r="BT37" i="3"/>
  <c r="BS37" i="3"/>
  <c r="BR37" i="3"/>
  <c r="BQ37" i="3"/>
  <c r="BP37" i="3"/>
  <c r="BO37" i="3"/>
  <c r="BN37" i="3"/>
  <c r="BM37" i="3"/>
  <c r="BL37" i="3"/>
  <c r="BK37" i="3"/>
  <c r="BJ37" i="3"/>
  <c r="BI37" i="3"/>
  <c r="BH37" i="3"/>
  <c r="BG37" i="3"/>
  <c r="BF37" i="3"/>
  <c r="BE37" i="3"/>
  <c r="BD37" i="3"/>
  <c r="BC37" i="3"/>
  <c r="BB37" i="3"/>
  <c r="BA37" i="3" s="1"/>
  <c r="AZ37" i="3" s="1"/>
  <c r="AX37" i="3"/>
  <c r="AW37" i="3"/>
  <c r="AV37" i="3"/>
  <c r="AC37" i="3"/>
  <c r="H37" i="3"/>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c r="AX34" i="3"/>
  <c r="AW34" i="3"/>
  <c r="AV34" i="3"/>
  <c r="AC34" i="3"/>
  <c r="H34" i="3"/>
  <c r="BT33" i="3"/>
  <c r="BS33" i="3"/>
  <c r="BR33" i="3"/>
  <c r="BQ33" i="3"/>
  <c r="BP33" i="3"/>
  <c r="BO33" i="3"/>
  <c r="BN33" i="3"/>
  <c r="BM33" i="3"/>
  <c r="BL33" i="3"/>
  <c r="BK33" i="3"/>
  <c r="BJ33" i="3"/>
  <c r="BI33" i="3"/>
  <c r="BH33" i="3"/>
  <c r="BG33" i="3"/>
  <c r="BF33" i="3"/>
  <c r="BE33" i="3"/>
  <c r="BD33" i="3"/>
  <c r="BC33" i="3"/>
  <c r="BB33" i="3"/>
  <c r="BA33" i="3" s="1"/>
  <c r="AZ33" i="3" s="1"/>
  <c r="AX33" i="3"/>
  <c r="AW33" i="3"/>
  <c r="AV33" i="3"/>
  <c r="AC33" i="3"/>
  <c r="H33" i="3"/>
  <c r="BT32" i="3"/>
  <c r="BS32" i="3"/>
  <c r="BR32" i="3"/>
  <c r="BQ32" i="3"/>
  <c r="BP32" i="3"/>
  <c r="BO32" i="3"/>
  <c r="BN32" i="3"/>
  <c r="BM32" i="3"/>
  <c r="BL32" i="3"/>
  <c r="BK32" i="3"/>
  <c r="BJ32" i="3"/>
  <c r="BI32" i="3"/>
  <c r="BH32" i="3"/>
  <c r="BG32" i="3"/>
  <c r="BF32" i="3"/>
  <c r="BE32" i="3"/>
  <c r="BD32" i="3"/>
  <c r="BC32" i="3"/>
  <c r="BB32" i="3"/>
  <c r="BA32" i="3" s="1"/>
  <c r="AZ32" i="3" s="1"/>
  <c r="AX32" i="3"/>
  <c r="AW32" i="3"/>
  <c r="AV32" i="3"/>
  <c r="AC32" i="3"/>
  <c r="H32" i="3"/>
  <c r="BT31" i="3"/>
  <c r="BS31" i="3"/>
  <c r="BR31" i="3"/>
  <c r="BQ31" i="3"/>
  <c r="BP31" i="3"/>
  <c r="BO31" i="3"/>
  <c r="BN31" i="3"/>
  <c r="BM31" i="3"/>
  <c r="BK31" i="3"/>
  <c r="BJ31" i="3"/>
  <c r="BI31" i="3"/>
  <c r="BH31" i="3"/>
  <c r="BG31" i="3"/>
  <c r="BF31" i="3"/>
  <c r="BE31" i="3"/>
  <c r="BD31" i="3"/>
  <c r="BC31" i="3"/>
  <c r="BB31" i="3"/>
  <c r="BA31" i="3" s="1"/>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L28" i="3" s="1"/>
  <c r="BK28" i="3"/>
  <c r="BJ28" i="3"/>
  <c r="BI28" i="3"/>
  <c r="BH28" i="3"/>
  <c r="BG28" i="3"/>
  <c r="BF28" i="3"/>
  <c r="BE28" i="3"/>
  <c r="BD28" i="3"/>
  <c r="BC28" i="3"/>
  <c r="BB28" i="3"/>
  <c r="AX28" i="3"/>
  <c r="AW28" i="3"/>
  <c r="AV28" i="3"/>
  <c r="AC28" i="3"/>
  <c r="H28" i="3"/>
  <c r="BT27" i="3"/>
  <c r="BS27" i="3"/>
  <c r="BR27" i="3"/>
  <c r="BQ27" i="3"/>
  <c r="BP27" i="3"/>
  <c r="BO27" i="3"/>
  <c r="BN27" i="3"/>
  <c r="BM27" i="3"/>
  <c r="BL27" i="3" s="1"/>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BA24" i="3" s="1"/>
  <c r="AX24" i="3"/>
  <c r="AW24" i="3"/>
  <c r="AV24" i="3"/>
  <c r="AC24" i="3"/>
  <c r="H24" i="3"/>
  <c r="BT23" i="3"/>
  <c r="BS23" i="3"/>
  <c r="BR23" i="3"/>
  <c r="BQ23" i="3"/>
  <c r="BP23" i="3"/>
  <c r="BO23" i="3"/>
  <c r="BN23" i="3"/>
  <c r="BM23" i="3"/>
  <c r="BK23" i="3"/>
  <c r="BJ23" i="3"/>
  <c r="BI23" i="3"/>
  <c r="BH23" i="3"/>
  <c r="BG23" i="3"/>
  <c r="BF23" i="3"/>
  <c r="BE23" i="3"/>
  <c r="BD23" i="3"/>
  <c r="BC23" i="3"/>
  <c r="BB23" i="3"/>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AX21" i="3"/>
  <c r="AW21" i="3"/>
  <c r="AV21" i="3"/>
  <c r="AC21" i="3"/>
  <c r="H21" i="3"/>
  <c r="G21" i="3" s="1"/>
  <c r="BT20" i="3"/>
  <c r="BS20" i="3"/>
  <c r="BR20" i="3"/>
  <c r="BQ20" i="3"/>
  <c r="BP20" i="3"/>
  <c r="BO20" i="3"/>
  <c r="BN20" i="3"/>
  <c r="BM20" i="3"/>
  <c r="BL20" i="3" s="1"/>
  <c r="BK20" i="3"/>
  <c r="BJ20" i="3"/>
  <c r="BI20" i="3"/>
  <c r="BH20" i="3"/>
  <c r="BG20" i="3"/>
  <c r="BF20" i="3"/>
  <c r="BE20" i="3"/>
  <c r="BD20" i="3"/>
  <c r="BC20" i="3"/>
  <c r="BB20" i="3"/>
  <c r="AX20" i="3"/>
  <c r="AW20" i="3"/>
  <c r="AV20" i="3"/>
  <c r="AC20" i="3"/>
  <c r="H20" i="3"/>
  <c r="G20" i="3" s="1"/>
  <c r="BT19" i="3"/>
  <c r="BS19" i="3"/>
  <c r="BR19" i="3"/>
  <c r="BQ19" i="3"/>
  <c r="BP19" i="3"/>
  <c r="BO19" i="3"/>
  <c r="BN19" i="3"/>
  <c r="BM19" i="3"/>
  <c r="BL19" i="3" s="1"/>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s="1"/>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Z122" i="3" s="1"/>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Z298" i="3" s="1"/>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Z277" i="3" s="1"/>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Z255" i="3" s="1"/>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Z226" i="3" s="1"/>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Z221" i="3" s="1"/>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Z216" i="3" s="1"/>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Z489" i="3" s="1"/>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c r="AZ483" i="3" s="1"/>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c r="AZ475" i="3" s="1"/>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Z472" i="3" s="1"/>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Z456" i="3" s="1"/>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Z454" i="3" s="1"/>
  <c r="AX454" i="3"/>
  <c r="AW454" i="3"/>
  <c r="AV454" i="3"/>
  <c r="AC454" i="3"/>
  <c r="H454" i="3"/>
  <c r="G454" i="3" s="1"/>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s="1"/>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Z446" i="3" s="1"/>
  <c r="AX446" i="3"/>
  <c r="AW446" i="3"/>
  <c r="AV446" i="3"/>
  <c r="AC446" i="3"/>
  <c r="H446" i="3"/>
  <c r="G446" i="3" s="1"/>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Z444" i="3" s="1"/>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c r="AZ439" i="3" s="1"/>
  <c r="AX439" i="3"/>
  <c r="AW439" i="3"/>
  <c r="AV439" i="3"/>
  <c r="AC439" i="3"/>
  <c r="H439" i="3"/>
  <c r="G439" i="3" s="1"/>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c r="AX436" i="3"/>
  <c r="AW436" i="3"/>
  <c r="AV436" i="3"/>
  <c r="AC436" i="3"/>
  <c r="H436" i="3"/>
  <c r="G436" i="3" s="1"/>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G434" i="3" s="1"/>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c r="AX429" i="3"/>
  <c r="AW429" i="3"/>
  <c r="AV429" i="3"/>
  <c r="AC429" i="3"/>
  <c r="H429" i="3"/>
  <c r="G429" i="3" s="1"/>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Z417" i="3" s="1"/>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C412" i="3"/>
  <c r="BB412" i="3"/>
  <c r="BA412" i="3" s="1"/>
  <c r="AZ412" i="3" s="1"/>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AZ408" i="3" s="1"/>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s="1"/>
  <c r="AZ401" i="3" s="1"/>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c r="AX398" i="3"/>
  <c r="AW398" i="3"/>
  <c r="AV398" i="3"/>
  <c r="AC398" i="3"/>
  <c r="H398" i="3"/>
  <c r="G398" i="3" s="1"/>
  <c r="H60" i="40"/>
  <c r="I60" i="40"/>
  <c r="C60" i="40"/>
  <c r="H59" i="40"/>
  <c r="I59" i="40"/>
  <c r="C59" i="40"/>
  <c r="H58" i="40"/>
  <c r="I58" i="40" s="1"/>
  <c r="C58" i="40" s="1"/>
  <c r="H57" i="40"/>
  <c r="I57" i="40"/>
  <c r="C57" i="40" s="1"/>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1" i="1"/>
  <c r="I15" i="4"/>
  <c r="H15" i="4"/>
  <c r="G15" i="4"/>
  <c r="E15" i="4"/>
  <c r="D15" i="4"/>
  <c r="F7" i="1"/>
  <c r="L21" i="4"/>
  <c r="F19" i="4"/>
  <c r="F2" i="52"/>
  <c r="B50" i="72" s="1"/>
  <c r="D2" i="52"/>
  <c r="B46" i="72"/>
  <c r="B8" i="53"/>
  <c r="B23" i="72"/>
  <c r="L4" i="9"/>
  <c r="B17" i="72"/>
  <c r="B15" i="72"/>
  <c r="A3" i="51"/>
  <c r="C8" i="11"/>
  <c r="B2" i="49"/>
  <c r="E17" i="49" s="1"/>
  <c r="B40" i="48"/>
  <c r="B3" i="72"/>
  <c r="I2" i="43"/>
  <c r="N1" i="43"/>
  <c r="F35" i="4"/>
  <c r="J55" i="39"/>
  <c r="H34" i="43"/>
  <c r="H35" i="43"/>
  <c r="H36" i="43"/>
  <c r="H37" i="43"/>
  <c r="H38" i="43"/>
  <c r="H39" i="43"/>
  <c r="H33" i="43"/>
  <c r="J20" i="43"/>
  <c r="C18" i="43"/>
  <c r="F15" i="43"/>
  <c r="E15" i="43"/>
  <c r="D15" i="43"/>
  <c r="C15" i="43"/>
  <c r="C10" i="43"/>
  <c r="C11" i="43"/>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L16" i="3" s="1"/>
  <c r="BM17" i="3"/>
  <c r="BO13" i="3"/>
  <c r="BO14" i="3"/>
  <c r="BO15" i="3"/>
  <c r="BO16" i="3"/>
  <c r="BO17" i="3"/>
  <c r="BN13" i="3"/>
  <c r="BN14" i="3"/>
  <c r="BN15" i="3"/>
  <c r="BN16" i="3"/>
  <c r="BN17" i="3"/>
  <c r="BP13" i="3"/>
  <c r="BP14" i="3"/>
  <c r="BP15" i="3"/>
  <c r="BP16" i="3"/>
  <c r="BP17" i="3"/>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F24" i="12"/>
  <c r="C17" i="9"/>
  <c r="D17" i="9"/>
  <c r="I55" i="9"/>
  <c r="F55" i="9" s="1"/>
  <c r="O53" i="9" s="1"/>
  <c r="D89" i="9"/>
  <c r="C89" i="9"/>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s="1"/>
  <c r="G48" i="40"/>
  <c r="H48" i="40" s="1"/>
  <c r="E48" i="40"/>
  <c r="F48" i="40" s="1"/>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P550" i="3"/>
  <c r="BQ550" i="3"/>
  <c r="BL550" i="3" s="1"/>
  <c r="BR550" i="3"/>
  <c r="BS550" i="3"/>
  <c r="BT550" i="3"/>
  <c r="H551" i="3"/>
  <c r="G551" i="3" s="1"/>
  <c r="AC551" i="3"/>
  <c r="BB551" i="3"/>
  <c r="BC551" i="3"/>
  <c r="BD551" i="3"/>
  <c r="BE551" i="3"/>
  <c r="BF551" i="3"/>
  <c r="BA551" i="3" s="1"/>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s="1"/>
  <c r="F76" i="40" s="1"/>
  <c r="G76" i="40" s="1"/>
  <c r="H76" i="40" s="1"/>
  <c r="I76" i="40" s="1"/>
  <c r="J76" i="40" s="1"/>
  <c r="K76" i="40" s="1"/>
  <c r="L76" i="40" s="1"/>
  <c r="M76" i="40" s="1"/>
  <c r="B120" i="40"/>
  <c r="B118" i="40"/>
  <c r="J39" i="40"/>
  <c r="B116" i="40"/>
  <c r="F38" i="40"/>
  <c r="AA38"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H107" i="40"/>
  <c r="G107" i="40"/>
  <c r="F107" i="40"/>
  <c r="E107" i="40"/>
  <c r="D107" i="40"/>
  <c r="C107" i="40"/>
  <c r="B105" i="40"/>
  <c r="J33" i="40"/>
  <c r="W33" i="40"/>
  <c r="B103" i="40"/>
  <c r="J32" i="40"/>
  <c r="AC32" i="40"/>
  <c r="B101" i="40"/>
  <c r="J31" i="40"/>
  <c r="AC31" i="40"/>
  <c r="D100" i="40"/>
  <c r="E100" i="40" s="1"/>
  <c r="F100" i="40" s="1"/>
  <c r="G100" i="40" s="1"/>
  <c r="H100" i="40" s="1"/>
  <c r="I100" i="40" s="1"/>
  <c r="J100" i="40" s="1"/>
  <c r="K100" i="40" s="1"/>
  <c r="L100" i="40" s="1"/>
  <c r="M100" i="40" s="1"/>
  <c r="D98" i="40"/>
  <c r="D96" i="40"/>
  <c r="E96" i="40" s="1"/>
  <c r="F96" i="40" s="1"/>
  <c r="G96" i="40" s="1"/>
  <c r="H96" i="40" s="1"/>
  <c r="I96" i="40" s="1"/>
  <c r="J96" i="40" s="1"/>
  <c r="K96" i="40" s="1"/>
  <c r="L96" i="40" s="1"/>
  <c r="M96" i="40" s="1"/>
  <c r="B95" i="40"/>
  <c r="D92" i="40"/>
  <c r="E92" i="40" s="1"/>
  <c r="F92" i="40" s="1"/>
  <c r="G92" i="40" s="1"/>
  <c r="D90" i="40"/>
  <c r="E90" i="40" s="1"/>
  <c r="F90" i="40" s="1"/>
  <c r="G90" i="40" s="1"/>
  <c r="D88" i="40"/>
  <c r="E88" i="40"/>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S9" i="40" s="1"/>
  <c r="J8" i="40"/>
  <c r="AC8" i="40" s="1"/>
  <c r="H8" i="40"/>
  <c r="AB8" i="40"/>
  <c r="F8" i="40"/>
  <c r="AA8"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L586" i="3" s="1"/>
  <c r="AZ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G27" i="6" s="1"/>
  <c r="N5" i="3"/>
  <c r="O5" i="3"/>
  <c r="P5" i="3"/>
  <c r="Q5" i="3"/>
  <c r="R5" i="3"/>
  <c r="S5" i="3"/>
  <c r="T5" i="3"/>
  <c r="U5" i="3"/>
  <c r="V5" i="3"/>
  <c r="W5" i="3"/>
  <c r="X5" i="3"/>
  <c r="Y5" i="3"/>
  <c r="Z5" i="3"/>
  <c r="AA5" i="3"/>
  <c r="AB5" i="3"/>
  <c r="H585" i="3"/>
  <c r="G585" i="3" s="1"/>
  <c r="H586" i="3"/>
  <c r="G586" i="3" s="1"/>
  <c r="H587" i="3"/>
  <c r="G587" i="3" s="1"/>
  <c r="F5" i="3"/>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AB39" i="40"/>
  <c r="AC40" i="40"/>
  <c r="U9" i="40"/>
  <c r="U38" i="40"/>
  <c r="S40" i="40"/>
  <c r="W31"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s="1"/>
  <c r="F21" i="40"/>
  <c r="AA21" i="40" s="1"/>
  <c r="J21" i="40"/>
  <c r="W21" i="40" s="1"/>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s="1"/>
  <c r="H36" i="40"/>
  <c r="AB36" i="40" s="1"/>
  <c r="F35" i="40"/>
  <c r="AA35" i="40" s="1"/>
  <c r="H23" i="40"/>
  <c r="AB23" i="40"/>
  <c r="H17" i="40"/>
  <c r="U17" i="40" s="1"/>
  <c r="J15" i="40"/>
  <c r="W15" i="40" s="1"/>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s="1"/>
  <c r="F23" i="40"/>
  <c r="AA23" i="40" s="1"/>
  <c r="F17" i="40"/>
  <c r="AA17" i="40" s="1"/>
  <c r="J17" i="40"/>
  <c r="W17" i="40" s="1"/>
  <c r="F15" i="40"/>
  <c r="S15" i="40" s="1"/>
  <c r="H15" i="40"/>
  <c r="AB15" i="40" s="1"/>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s="1"/>
  <c r="F33" i="40"/>
  <c r="AA33" i="40"/>
  <c r="H33" i="40"/>
  <c r="U33" i="40"/>
  <c r="J35" i="40"/>
  <c r="AC35" i="40" s="1"/>
  <c r="J37" i="40"/>
  <c r="AC37" i="40" s="1"/>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AZ585" i="3" s="1"/>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AZ552" i="3" s="1"/>
  <c r="BA548" i="3"/>
  <c r="AZ548" i="3" s="1"/>
  <c r="BA546" i="3"/>
  <c r="BA544" i="3"/>
  <c r="AZ544" i="3" s="1"/>
  <c r="BA542" i="3"/>
  <c r="AZ542" i="3" s="1"/>
  <c r="BA540" i="3"/>
  <c r="AZ540" i="3" s="1"/>
  <c r="BA538" i="3"/>
  <c r="AZ538" i="3" s="1"/>
  <c r="BA536" i="3"/>
  <c r="AZ536" i="3" s="1"/>
  <c r="BA534" i="3"/>
  <c r="AZ534" i="3" s="1"/>
  <c r="BA532" i="3"/>
  <c r="AZ532" i="3" s="1"/>
  <c r="BA530" i="3"/>
  <c r="BA528" i="3"/>
  <c r="AZ528" i="3"/>
  <c r="BA526" i="3"/>
  <c r="AZ526" i="3"/>
  <c r="BA524" i="3"/>
  <c r="AZ524" i="3"/>
  <c r="BA522" i="3"/>
  <c r="BA520" i="3"/>
  <c r="BA518" i="3"/>
  <c r="AZ518" i="3"/>
  <c r="BA516" i="3"/>
  <c r="AZ516" i="3"/>
  <c r="BA514" i="3"/>
  <c r="BA512" i="3"/>
  <c r="AZ512" i="3" s="1"/>
  <c r="BA510" i="3"/>
  <c r="AZ510" i="3" s="1"/>
  <c r="BA508" i="3"/>
  <c r="BA506" i="3"/>
  <c r="BA504" i="3"/>
  <c r="AZ504" i="3" s="1"/>
  <c r="BA502" i="3"/>
  <c r="BA500" i="3"/>
  <c r="BA498" i="3"/>
  <c r="AZ498" i="3" s="1"/>
  <c r="BA496" i="3"/>
  <c r="BA494" i="3"/>
  <c r="BA587" i="3"/>
  <c r="AZ587" i="3" s="1"/>
  <c r="BA583" i="3"/>
  <c r="AZ583" i="3" s="1"/>
  <c r="BA581" i="3"/>
  <c r="BA579" i="3"/>
  <c r="BA577" i="3"/>
  <c r="AZ577" i="3" s="1"/>
  <c r="BA575" i="3"/>
  <c r="BA573" i="3"/>
  <c r="AZ573" i="3" s="1"/>
  <c r="BA571" i="3"/>
  <c r="BA569" i="3"/>
  <c r="AZ569" i="3" s="1"/>
  <c r="BA567" i="3"/>
  <c r="BA565" i="3"/>
  <c r="AZ565" i="3" s="1"/>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AZ557" i="3" s="1"/>
  <c r="BQ583" i="3"/>
  <c r="BL583" i="3"/>
  <c r="BQ581" i="3"/>
  <c r="BL581" i="3" s="1"/>
  <c r="AZ581" i="3" s="1"/>
  <c r="BQ579" i="3"/>
  <c r="BL579" i="3" s="1"/>
  <c r="AZ579" i="3" s="1"/>
  <c r="BQ577" i="3"/>
  <c r="BL577" i="3"/>
  <c r="BQ575" i="3"/>
  <c r="BL575" i="3" s="1"/>
  <c r="AZ575" i="3" s="1"/>
  <c r="BQ573" i="3"/>
  <c r="BL573" i="3"/>
  <c r="BQ571" i="3"/>
  <c r="BL571" i="3" s="1"/>
  <c r="AZ571" i="3" s="1"/>
  <c r="BQ569" i="3"/>
  <c r="BL569" i="3"/>
  <c r="BQ567" i="3"/>
  <c r="BL567" i="3" s="1"/>
  <c r="AZ567" i="3" s="1"/>
  <c r="BQ565" i="3"/>
  <c r="BL565" i="3"/>
  <c r="BQ563" i="3"/>
  <c r="BL563" i="3" s="1"/>
  <c r="AZ563" i="3" s="1"/>
  <c r="BQ561" i="3"/>
  <c r="BL561" i="3" s="1"/>
  <c r="AZ561" i="3" s="1"/>
  <c r="BQ559" i="3"/>
  <c r="BL559" i="3"/>
  <c r="AZ559" i="3" s="1"/>
  <c r="G559" i="3"/>
  <c r="G555" i="3"/>
  <c r="G553" i="3"/>
  <c r="G549" i="3"/>
  <c r="G547" i="3"/>
  <c r="G545" i="3"/>
  <c r="G543" i="3"/>
  <c r="G541" i="3"/>
  <c r="G539" i="3"/>
  <c r="G537" i="3"/>
  <c r="BQ555" i="3"/>
  <c r="BL555" i="3" s="1"/>
  <c r="AZ555" i="3" s="1"/>
  <c r="BQ553" i="3"/>
  <c r="BL553" i="3"/>
  <c r="AZ553" i="3" s="1"/>
  <c r="BQ551" i="3"/>
  <c r="BL551" i="3" s="1"/>
  <c r="BQ549" i="3"/>
  <c r="BQ547" i="3"/>
  <c r="BL547" i="3"/>
  <c r="AZ547" i="3" s="1"/>
  <c r="BQ545" i="3"/>
  <c r="BL545" i="3" s="1"/>
  <c r="AZ545" i="3" s="1"/>
  <c r="BQ543" i="3"/>
  <c r="BL543" i="3"/>
  <c r="AZ543" i="3" s="1"/>
  <c r="BQ541" i="3"/>
  <c r="BL541" i="3" s="1"/>
  <c r="AZ541" i="3" s="1"/>
  <c r="BQ539" i="3"/>
  <c r="BL539" i="3"/>
  <c r="AZ539" i="3" s="1"/>
  <c r="BQ537" i="3"/>
  <c r="BL537" i="3" s="1"/>
  <c r="AZ537" i="3" s="1"/>
  <c r="BQ535" i="3"/>
  <c r="BL535" i="3"/>
  <c r="AZ535" i="3" s="1"/>
  <c r="BQ533" i="3"/>
  <c r="BL533" i="3" s="1"/>
  <c r="AZ533" i="3" s="1"/>
  <c r="BQ531" i="3"/>
  <c r="BL531" i="3"/>
  <c r="AZ531" i="3" s="1"/>
  <c r="BQ529" i="3"/>
  <c r="BL529" i="3" s="1"/>
  <c r="AZ529" i="3" s="1"/>
  <c r="BQ527" i="3"/>
  <c r="BL527" i="3"/>
  <c r="AZ527" i="3" s="1"/>
  <c r="BQ525" i="3"/>
  <c r="BL525" i="3" s="1"/>
  <c r="AZ525" i="3" s="1"/>
  <c r="BQ523" i="3"/>
  <c r="BL523" i="3"/>
  <c r="AZ523" i="3" s="1"/>
  <c r="BA521" i="3"/>
  <c r="AC521" i="3"/>
  <c r="G521" i="3" s="1"/>
  <c r="BQ521" i="3"/>
  <c r="BL521" i="3" s="1"/>
  <c r="BL520" i="3"/>
  <c r="AZ520" i="3" s="1"/>
  <c r="G519" i="3"/>
  <c r="G517" i="3"/>
  <c r="G515" i="3"/>
  <c r="G513" i="3"/>
  <c r="G511" i="3"/>
  <c r="BQ519" i="3"/>
  <c r="BL519" i="3"/>
  <c r="AZ519" i="3" s="1"/>
  <c r="BQ517" i="3"/>
  <c r="BL517" i="3" s="1"/>
  <c r="AZ517" i="3" s="1"/>
  <c r="BQ515" i="3"/>
  <c r="BL515" i="3"/>
  <c r="AZ515" i="3" s="1"/>
  <c r="BQ513" i="3"/>
  <c r="BL513" i="3" s="1"/>
  <c r="AZ513" i="3" s="1"/>
  <c r="BQ511" i="3"/>
  <c r="BL511" i="3"/>
  <c r="AZ511" i="3" s="1"/>
  <c r="BA509" i="3"/>
  <c r="AC509" i="3"/>
  <c r="BQ509" i="3"/>
  <c r="BL509" i="3" s="1"/>
  <c r="AZ509" i="3" s="1"/>
  <c r="BL508" i="3"/>
  <c r="AZ508" i="3" s="1"/>
  <c r="G507" i="3"/>
  <c r="G505" i="3"/>
  <c r="G503" i="3"/>
  <c r="G501" i="3"/>
  <c r="G499" i="3"/>
  <c r="G497" i="3"/>
  <c r="G495" i="3"/>
  <c r="BQ507" i="3"/>
  <c r="BL507" i="3"/>
  <c r="AZ507" i="3" s="1"/>
  <c r="BQ505" i="3"/>
  <c r="BL505" i="3" s="1"/>
  <c r="AZ505" i="3" s="1"/>
  <c r="BQ503" i="3"/>
  <c r="BL503" i="3"/>
  <c r="AZ503" i="3" s="1"/>
  <c r="BQ501" i="3"/>
  <c r="BL501" i="3" s="1"/>
  <c r="AZ501" i="3" s="1"/>
  <c r="BQ499" i="3"/>
  <c r="BL499" i="3" s="1"/>
  <c r="AZ499" i="3" s="1"/>
  <c r="BQ497" i="3"/>
  <c r="BL497" i="3" s="1"/>
  <c r="AZ497" i="3" s="1"/>
  <c r="BQ495" i="3"/>
  <c r="BL495" i="3" s="1"/>
  <c r="AZ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s="1"/>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s="1"/>
  <c r="AC12" i="37"/>
  <c r="F94" i="37"/>
  <c r="G94" i="37"/>
  <c r="H94" i="37"/>
  <c r="I94" i="37"/>
  <c r="J94" i="37"/>
  <c r="K94" i="37"/>
  <c r="L94" i="37"/>
  <c r="M94" i="37"/>
  <c r="H31" i="37"/>
  <c r="U31" i="37"/>
  <c r="F71" i="37"/>
  <c r="G71" i="37"/>
  <c r="J15" i="37"/>
  <c r="W15" i="37"/>
  <c r="U12" i="37"/>
  <c r="AT6" i="3"/>
  <c r="AA25" i="21"/>
  <c r="C12" i="43"/>
  <c r="H19" i="40"/>
  <c r="U19" i="40" s="1"/>
  <c r="F88" i="40"/>
  <c r="G88" i="40"/>
  <c r="F19" i="40"/>
  <c r="S19" i="40" s="1"/>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s="1"/>
  <c r="J50" i="40"/>
  <c r="H103" i="9"/>
  <c r="D8" i="53"/>
  <c r="B16" i="53"/>
  <c r="B33" i="72" s="1"/>
  <c r="C7" i="37"/>
  <c r="C7" i="34"/>
  <c r="C7" i="36"/>
  <c r="A118" i="9"/>
  <c r="A4" i="52"/>
  <c r="B41" i="72" s="1"/>
  <c r="J11" i="39"/>
  <c r="W11" i="39"/>
  <c r="F11" i="39"/>
  <c r="AA11" i="39"/>
  <c r="A12" i="52"/>
  <c r="B56" i="72" s="1"/>
  <c r="S11" i="39"/>
  <c r="G4" i="4"/>
  <c r="I4" i="4"/>
  <c r="K5" i="4"/>
  <c r="B47" i="48" s="1"/>
  <c r="A2" i="9"/>
  <c r="N2" i="43"/>
  <c r="F59" i="4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s="1"/>
  <c r="BA360" i="3"/>
  <c r="BL360" i="3"/>
  <c r="G361" i="3"/>
  <c r="BA362" i="3"/>
  <c r="G370" i="3"/>
  <c r="BL371" i="3"/>
  <c r="G372" i="3"/>
  <c r="BL373" i="3"/>
  <c r="BA375" i="3"/>
  <c r="AZ375" i="3"/>
  <c r="BA376" i="3"/>
  <c r="BL376" i="3"/>
  <c r="G377" i="3"/>
  <c r="BA378" i="3"/>
  <c r="AZ378" i="3" s="1"/>
  <c r="BL378" i="3"/>
  <c r="G379" i="3"/>
  <c r="BA380" i="3"/>
  <c r="G388" i="3"/>
  <c r="BL389" i="3"/>
  <c r="G390" i="3"/>
  <c r="BL391" i="3"/>
  <c r="BA393" i="3"/>
  <c r="AZ393" i="3"/>
  <c r="BA394" i="3"/>
  <c r="BL394" i="3"/>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67" i="3"/>
  <c r="AZ71" i="3"/>
  <c r="AZ83" i="3"/>
  <c r="AZ136" i="3"/>
  <c r="AZ144" i="3"/>
  <c r="AZ152" i="3"/>
  <c r="AZ160" i="3"/>
  <c r="AZ168" i="3"/>
  <c r="AZ176" i="3"/>
  <c r="AZ184" i="3"/>
  <c r="AZ192" i="3"/>
  <c r="AZ200" i="3"/>
  <c r="AZ85" i="3"/>
  <c r="AZ93" i="3"/>
  <c r="AZ97"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AZ351" i="3" s="1"/>
  <c r="BL351" i="3"/>
  <c r="G352" i="3"/>
  <c r="G354" i="3"/>
  <c r="BA355" i="3"/>
  <c r="AZ355" i="3"/>
  <c r="BA356" i="3"/>
  <c r="BL356" i="3"/>
  <c r="G357" i="3"/>
  <c r="G360" i="3"/>
  <c r="BL361" i="3"/>
  <c r="BA363" i="3"/>
  <c r="AZ363" i="3" s="1"/>
  <c r="BA364" i="3"/>
  <c r="BL364" i="3"/>
  <c r="G365" i="3"/>
  <c r="G368" i="3"/>
  <c r="BL369" i="3"/>
  <c r="BA371" i="3"/>
  <c r="AZ371" i="3"/>
  <c r="BA372" i="3"/>
  <c r="AZ372" i="3"/>
  <c r="BL372" i="3"/>
  <c r="G373" i="3"/>
  <c r="G376" i="3"/>
  <c r="BL377" i="3"/>
  <c r="BL379" i="3"/>
  <c r="BA381" i="3"/>
  <c r="AZ381" i="3" s="1"/>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BL303" i="3"/>
  <c r="G304" i="3"/>
  <c r="BA306" i="3"/>
  <c r="AZ306" i="3"/>
  <c r="BL307" i="3"/>
  <c r="AZ307" i="3"/>
  <c r="G308" i="3"/>
  <c r="BA310" i="3"/>
  <c r="AZ310" i="3" s="1"/>
  <c r="BL311" i="3"/>
  <c r="AZ311" i="3" s="1"/>
  <c r="G312" i="3"/>
  <c r="BA314" i="3"/>
  <c r="AZ314" i="3"/>
  <c r="BL315" i="3"/>
  <c r="AZ315" i="3"/>
  <c r="G316" i="3"/>
  <c r="BA318" i="3"/>
  <c r="AZ318" i="3" s="1"/>
  <c r="BL319" i="3"/>
  <c r="AZ319" i="3" s="1"/>
  <c r="G320" i="3"/>
  <c r="BA322" i="3"/>
  <c r="AZ322" i="3" s="1"/>
  <c r="BL323" i="3"/>
  <c r="AZ323" i="3" s="1"/>
  <c r="G324" i="3"/>
  <c r="BA326" i="3"/>
  <c r="AZ326" i="3"/>
  <c r="BL327" i="3"/>
  <c r="AZ327" i="3"/>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35" i="3"/>
  <c r="G342" i="3"/>
  <c r="BL345" i="3"/>
  <c r="AZ345" i="3" s="1"/>
  <c r="G346" i="3"/>
  <c r="AZ348" i="3"/>
  <c r="BL349" i="3"/>
  <c r="AZ349" i="3" s="1"/>
  <c r="BL352" i="3"/>
  <c r="G353" i="3"/>
  <c r="BA357" i="3"/>
  <c r="AZ357" i="3" s="1"/>
  <c r="BL358" i="3"/>
  <c r="AZ358" i="3" s="1"/>
  <c r="G359" i="3"/>
  <c r="BA361" i="3"/>
  <c r="AZ361" i="3"/>
  <c r="BL362" i="3"/>
  <c r="AZ362" i="3" s="1"/>
  <c r="G363" i="3"/>
  <c r="BA365" i="3"/>
  <c r="AZ365" i="3"/>
  <c r="BL366" i="3"/>
  <c r="AZ366" i="3"/>
  <c r="G367" i="3"/>
  <c r="BA369" i="3"/>
  <c r="AZ369" i="3" s="1"/>
  <c r="BL370" i="3"/>
  <c r="AZ370" i="3" s="1"/>
  <c r="G371" i="3"/>
  <c r="BA373" i="3"/>
  <c r="AZ373" i="3" s="1"/>
  <c r="BL374" i="3"/>
  <c r="AZ374" i="3" s="1"/>
  <c r="G375" i="3"/>
  <c r="BA377" i="3"/>
  <c r="AZ377" i="3"/>
  <c r="AZ229" i="3"/>
  <c r="AZ233" i="3"/>
  <c r="AZ237" i="3"/>
  <c r="AZ241" i="3"/>
  <c r="AZ245" i="3"/>
  <c r="AZ249" i="3"/>
  <c r="AZ253" i="3"/>
  <c r="AZ257" i="3"/>
  <c r="AZ261" i="3"/>
  <c r="AZ265" i="3"/>
  <c r="AZ269" i="3"/>
  <c r="AZ273" i="3"/>
  <c r="BA379" i="3"/>
  <c r="AZ379" i="3" s="1"/>
  <c r="BL380" i="3"/>
  <c r="G381" i="3"/>
  <c r="BA383" i="3"/>
  <c r="AZ383" i="3" s="1"/>
  <c r="BL384" i="3"/>
  <c r="G385" i="3"/>
  <c r="BA387" i="3"/>
  <c r="AZ387" i="3" s="1"/>
  <c r="BL388" i="3"/>
  <c r="G389" i="3"/>
  <c r="BA391" i="3"/>
  <c r="AZ391" i="3" s="1"/>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B5" i="3"/>
  <c r="BR5" i="3"/>
  <c r="G28" i="6" s="1"/>
  <c r="AZ380" i="3"/>
  <c r="AZ384" i="3"/>
  <c r="AZ388" i="3"/>
  <c r="AZ392" i="3"/>
  <c r="AZ396" i="3"/>
  <c r="AZ394" i="3"/>
  <c r="G509" i="3"/>
  <c r="BL493" i="3"/>
  <c r="AZ493" i="3" s="1"/>
  <c r="AZ491" i="3"/>
  <c r="AZ376" i="3"/>
  <c r="AZ390" i="3"/>
  <c r="AZ382" i="3"/>
  <c r="N4" i="43"/>
  <c r="F36" i="43"/>
  <c r="F81" i="43"/>
  <c r="H83" i="43" s="1"/>
  <c r="F48" i="43"/>
  <c r="H52" i="43" s="1"/>
  <c r="N7" i="43"/>
  <c r="F70" i="43"/>
  <c r="H73" i="43" s="1"/>
  <c r="M6" i="43"/>
  <c r="M11" i="43"/>
  <c r="F39" i="43"/>
  <c r="F35" i="43"/>
  <c r="F6" i="1"/>
  <c r="G6" i="1" s="1"/>
  <c r="U17" i="39"/>
  <c r="S14" i="35"/>
  <c r="U43" i="21"/>
  <c r="U35" i="21"/>
  <c r="AC35" i="21"/>
  <c r="U10" i="21"/>
  <c r="G8" i="1"/>
  <c r="G9" i="1"/>
  <c r="G10" i="1"/>
  <c r="F48" i="9"/>
  <c r="O52" i="9" s="1"/>
  <c r="AC11" i="3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H35" i="40"/>
  <c r="AB35" i="40" s="1"/>
  <c r="AC29" i="35"/>
  <c r="W29" i="35"/>
  <c r="H35" i="37"/>
  <c r="U35" i="37"/>
  <c r="AC14" i="35"/>
  <c r="H20" i="35"/>
  <c r="U20" i="35"/>
  <c r="F20" i="35"/>
  <c r="AA20" i="35"/>
  <c r="AB23" i="35"/>
  <c r="AB29" i="36"/>
  <c r="U29" i="36"/>
  <c r="H32" i="37"/>
  <c r="AB32" i="37"/>
  <c r="F96" i="37"/>
  <c r="H27" i="40"/>
  <c r="U27" i="40" s="1"/>
  <c r="J27" i="40"/>
  <c r="AC27" i="40" s="1"/>
  <c r="F27" i="40"/>
  <c r="S27" i="40" s="1"/>
  <c r="J30" i="40"/>
  <c r="AC30" i="40"/>
  <c r="F30" i="40"/>
  <c r="AA30" i="40" s="1"/>
  <c r="S31" i="39"/>
  <c r="E98" i="40"/>
  <c r="F98" i="40"/>
  <c r="G98" i="40" s="1"/>
  <c r="H98" i="40" s="1"/>
  <c r="I98" i="40" s="1"/>
  <c r="J98" i="40" s="1"/>
  <c r="K98" i="40" s="1"/>
  <c r="L98" i="40" s="1"/>
  <c r="M98" i="40" s="1"/>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45" i="3"/>
  <c r="AZ53" i="3"/>
  <c r="AZ61" i="3"/>
  <c r="AZ66" i="3"/>
  <c r="AZ72" i="3"/>
  <c r="AZ77" i="3"/>
  <c r="AZ82" i="3"/>
  <c r="AZ86" i="3"/>
  <c r="AZ94" i="3"/>
  <c r="AZ110" i="3"/>
  <c r="H74" i="43"/>
  <c r="H48" i="43"/>
  <c r="I20" i="43"/>
  <c r="C20" i="43" s="1"/>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s="1"/>
  <c r="AE9" i="1"/>
  <c r="D93" i="9"/>
  <c r="G29" i="6"/>
  <c r="AC26" i="33"/>
  <c r="W26" i="33"/>
  <c r="W27" i="34"/>
  <c r="AC27" i="34"/>
  <c r="AB34" i="36"/>
  <c r="U34" i="36"/>
  <c r="AB33" i="36"/>
  <c r="U33" i="36"/>
  <c r="AC12" i="39"/>
  <c r="W12" i="39"/>
  <c r="AC39" i="40"/>
  <c r="W39" i="40"/>
  <c r="AZ428" i="3"/>
  <c r="AZ433" i="3"/>
  <c r="AZ465" i="3"/>
  <c r="W12" i="33"/>
  <c r="AC12" i="33"/>
  <c r="AA32" i="36"/>
  <c r="S32" i="36"/>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35" i="3"/>
  <c r="S12" i="1"/>
  <c r="AQ12" i="1" s="1"/>
  <c r="R12" i="1"/>
  <c r="B12" i="1"/>
  <c r="E12" i="1"/>
  <c r="S10" i="1"/>
  <c r="AQ10" i="1" s="1"/>
  <c r="R10" i="1"/>
  <c r="B10" i="1"/>
  <c r="E10" i="1"/>
  <c r="D1" i="66"/>
  <c r="E10" i="66"/>
  <c r="AZ84" i="3"/>
  <c r="AZ107" i="3"/>
  <c r="AZ111" i="3"/>
  <c r="K12" i="1"/>
  <c r="M12" i="1" s="1"/>
  <c r="S13" i="1"/>
  <c r="R13" i="1"/>
  <c r="S11" i="1"/>
  <c r="AQ11" i="1" s="1"/>
  <c r="R11" i="1"/>
  <c r="S9" i="1"/>
  <c r="AR9" i="1" s="1"/>
  <c r="R9" i="1"/>
  <c r="J51" i="67"/>
  <c r="C42" i="1"/>
  <c r="H100" i="43"/>
  <c r="C30" i="66"/>
  <c r="E26" i="66"/>
  <c r="AC34" i="33"/>
  <c r="AA34" i="33"/>
  <c r="B41" i="1"/>
  <c r="S22" i="31"/>
  <c r="J100" i="43"/>
  <c r="AB37" i="40"/>
  <c r="W38" i="40"/>
  <c r="AA32" i="40"/>
  <c r="S17" i="40"/>
  <c r="S23" i="40"/>
  <c r="AC17" i="40"/>
  <c r="AC15"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s="1"/>
  <c r="F34" i="67"/>
  <c r="F62" i="67"/>
  <c r="M20" i="67"/>
  <c r="F34" i="15"/>
  <c r="F62" i="15" s="1"/>
  <c r="G13" i="3"/>
  <c r="BL17" i="3"/>
  <c r="AZ17" i="3" s="1"/>
  <c r="BL13" i="3"/>
  <c r="J56" i="9"/>
  <c r="J57" i="9" s="1"/>
  <c r="J59" i="9" s="1"/>
  <c r="J61" i="9" s="1"/>
  <c r="A24" i="51"/>
  <c r="B18" i="72" s="1"/>
  <c r="U29" i="34"/>
  <c r="E5" i="6"/>
  <c r="E32" i="6"/>
  <c r="L19" i="6"/>
  <c r="G1" i="68"/>
  <c r="K1" i="12"/>
  <c r="E19" i="69"/>
  <c r="E19" i="68"/>
  <c r="E19" i="11"/>
  <c r="E1" i="73"/>
  <c r="G41" i="69"/>
  <c r="G22" i="69"/>
  <c r="G41" i="68"/>
  <c r="G22" i="68"/>
  <c r="G27" i="12"/>
  <c r="G26" i="12"/>
  <c r="G41" i="11"/>
  <c r="G22" i="11"/>
  <c r="G25" i="12"/>
  <c r="C100" i="43"/>
  <c r="E11" i="43"/>
  <c r="E10" i="43"/>
  <c r="E9" i="43"/>
  <c r="E8" i="43"/>
  <c r="C7" i="43"/>
  <c r="E81" i="43"/>
  <c r="B79" i="43"/>
  <c r="E48" i="43"/>
  <c r="B46" i="43"/>
  <c r="E70" i="43"/>
  <c r="B68" i="43"/>
  <c r="F100" i="43"/>
  <c r="H17" i="43"/>
  <c r="D9" i="53"/>
  <c r="B25" i="72"/>
  <c r="B24" i="72"/>
  <c r="H85" i="43"/>
  <c r="H81" i="43"/>
  <c r="H84" i="43"/>
  <c r="H88" i="43"/>
  <c r="H53" i="43"/>
  <c r="H54" i="43"/>
  <c r="H78" i="43"/>
  <c r="H70" i="43"/>
  <c r="H71" i="43"/>
  <c r="C17" i="43"/>
  <c r="F33" i="43"/>
  <c r="G17" i="43"/>
  <c r="F34" i="43"/>
  <c r="M7" i="43"/>
  <c r="N6" i="43"/>
  <c r="M2" i="43"/>
  <c r="C6" i="43"/>
  <c r="M10" i="43"/>
  <c r="N3" i="43"/>
  <c r="N11" i="43"/>
  <c r="F38" i="43"/>
  <c r="F37" i="43"/>
  <c r="M9" i="43"/>
  <c r="N12" i="43"/>
  <c r="N5" i="43"/>
  <c r="M5" i="43"/>
  <c r="M12" i="43"/>
  <c r="M4" i="43"/>
  <c r="B19" i="53"/>
  <c r="B37" i="72" s="1"/>
  <c r="C7" i="39"/>
  <c r="C68" i="39"/>
  <c r="C70" i="39" s="1"/>
  <c r="C7" i="35"/>
  <c r="C48" i="35" s="1"/>
  <c r="C7" i="33"/>
  <c r="C58" i="33" s="1"/>
  <c r="C7" i="21"/>
  <c r="C58" i="21" s="1"/>
  <c r="D58" i="21" s="1"/>
  <c r="E58" i="21" s="1"/>
  <c r="F58" i="21" s="1"/>
  <c r="G58" i="21" s="1"/>
  <c r="H58" i="21" s="1"/>
  <c r="I58" i="21" s="1"/>
  <c r="C7" i="40"/>
  <c r="C63" i="40" s="1"/>
  <c r="M47" i="9"/>
  <c r="G19" i="43"/>
  <c r="C46" i="36"/>
  <c r="D46" i="36" s="1"/>
  <c r="E46" i="36" s="1"/>
  <c r="C59" i="34"/>
  <c r="D59" i="34" s="1"/>
  <c r="C52" i="37"/>
  <c r="D52" i="37" s="1"/>
  <c r="A4" i="51"/>
  <c r="B6" i="72" s="1"/>
  <c r="C4" i="12"/>
  <c r="H62" i="43"/>
  <c r="H66" i="43"/>
  <c r="H61" i="43"/>
  <c r="H65" i="43"/>
  <c r="H60" i="43"/>
  <c r="H64" i="43"/>
  <c r="H59" i="43"/>
  <c r="H63" i="43"/>
  <c r="H67" i="43"/>
  <c r="H55" i="43"/>
  <c r="H51" i="43"/>
  <c r="H56" i="43"/>
  <c r="H76" i="43"/>
  <c r="H72" i="43"/>
  <c r="H77" i="43"/>
  <c r="L20" i="6"/>
  <c r="B6" i="1"/>
  <c r="E6" i="1" s="1"/>
  <c r="S8" i="1"/>
  <c r="AR8" i="1" s="1"/>
  <c r="K11" i="1"/>
  <c r="AP6" i="1"/>
  <c r="B9" i="1"/>
  <c r="E9" i="1"/>
  <c r="G1" i="15"/>
  <c r="G1" i="69"/>
  <c r="G1" i="67"/>
  <c r="W23" i="40"/>
  <c r="U32" i="40"/>
  <c r="AB31" i="40"/>
  <c r="S37" i="40"/>
  <c r="W19" i="40"/>
  <c r="W27" i="40"/>
  <c r="W37" i="40"/>
  <c r="AC14" i="40"/>
  <c r="S13" i="40"/>
  <c r="S33" i="40"/>
  <c r="AA15"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C24" i="12"/>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R22" i="31"/>
  <c r="B21" i="31"/>
  <c r="O19" i="43"/>
  <c r="AP7" i="1"/>
  <c r="AB45" i="21"/>
  <c r="AC33" i="21"/>
  <c r="W33" i="21"/>
  <c r="S33" i="21"/>
  <c r="AA33" i="21"/>
  <c r="W32" i="21"/>
  <c r="AC32" i="21"/>
  <c r="AB9" i="21"/>
  <c r="U9" i="21"/>
  <c r="AA32" i="21"/>
  <c r="S32" i="21"/>
  <c r="W9" i="21"/>
  <c r="AC9" i="21"/>
  <c r="AB32" i="21"/>
  <c r="U32" i="21"/>
  <c r="AA10" i="21"/>
  <c r="S10" i="21"/>
  <c r="A18" i="62"/>
  <c r="B64" i="72" s="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F1" i="67"/>
  <c r="Q52" i="67"/>
  <c r="AC11" i="37"/>
  <c r="W11" i="37"/>
  <c r="W11" i="34"/>
  <c r="AC11" i="34"/>
  <c r="C13" i="12"/>
  <c r="F34" i="11"/>
  <c r="F11" i="12"/>
  <c r="F34" i="68"/>
  <c r="R8" i="1"/>
  <c r="AE8" i="1"/>
  <c r="AG6" i="1"/>
  <c r="H109" i="9"/>
  <c r="D124" i="9" s="1"/>
  <c r="H110" i="9"/>
  <c r="D18" i="53" s="1"/>
  <c r="B35" i="72" s="1"/>
  <c r="D16" i="53"/>
  <c r="B34" i="72" s="1"/>
  <c r="H112" i="9"/>
  <c r="D21" i="53" s="1"/>
  <c r="B39" i="72" s="1"/>
  <c r="H111" i="9"/>
  <c r="D126" i="9"/>
  <c r="D19" i="53"/>
  <c r="D59" i="9"/>
  <c r="M55" i="9"/>
  <c r="B38" i="72"/>
  <c r="D20" i="53"/>
  <c r="B40" i="72" s="1"/>
  <c r="I14" i="74"/>
  <c r="B8" i="74" s="1"/>
  <c r="D127" i="9"/>
  <c r="D13" i="52" s="1"/>
  <c r="D12" i="52"/>
  <c r="AD3" i="71"/>
  <c r="L48" i="78"/>
  <c r="F9" i="67"/>
  <c r="AO10" i="1"/>
  <c r="E8" i="76"/>
  <c r="L47" i="67"/>
  <c r="M21" i="67"/>
  <c r="E12" i="76"/>
  <c r="B11" i="76"/>
  <c r="F38" i="15"/>
  <c r="M24" i="67"/>
  <c r="F26" i="15"/>
  <c r="B10" i="76"/>
  <c r="F7" i="67"/>
  <c r="M23" i="15"/>
  <c r="M22" i="67"/>
  <c r="AO9" i="1"/>
  <c r="F13" i="15"/>
  <c r="F40" i="67"/>
  <c r="E10" i="76"/>
  <c r="B9" i="76"/>
  <c r="D3" i="73"/>
  <c r="F16" i="15"/>
  <c r="D2" i="33"/>
  <c r="F35" i="67"/>
  <c r="F40" i="15"/>
  <c r="D2" i="36"/>
  <c r="M8" i="15"/>
  <c r="F26" i="67"/>
  <c r="F5" i="73"/>
  <c r="M29" i="67"/>
  <c r="M28" i="67"/>
  <c r="D2" i="37"/>
  <c r="F42" i="15"/>
  <c r="M23" i="67"/>
  <c r="F3" i="73"/>
  <c r="E9" i="76"/>
  <c r="E2" i="68"/>
  <c r="F43" i="67"/>
  <c r="L48" i="15"/>
  <c r="M24" i="15"/>
  <c r="M27" i="15"/>
  <c r="F37" i="15"/>
  <c r="E13" i="76"/>
  <c r="F13" i="67"/>
  <c r="B7" i="76"/>
  <c r="B8" i="76"/>
  <c r="M9" i="67"/>
  <c r="F9" i="15"/>
  <c r="M26" i="67"/>
  <c r="M9" i="15"/>
  <c r="F6" i="73"/>
  <c r="B12" i="76"/>
  <c r="M6" i="15"/>
  <c r="F8" i="15"/>
  <c r="F16" i="67"/>
  <c r="E2" i="69"/>
  <c r="M27" i="67"/>
  <c r="F36" i="67"/>
  <c r="F6" i="67"/>
  <c r="D5" i="73"/>
  <c r="F38" i="67"/>
  <c r="D7" i="73"/>
  <c r="J15" i="15"/>
  <c r="B13" i="76"/>
  <c r="C76" i="67"/>
  <c r="D2" i="21"/>
  <c r="F42" i="67"/>
  <c r="E11" i="76"/>
  <c r="AO13" i="1"/>
  <c r="D2" i="34"/>
  <c r="M26" i="15"/>
  <c r="L48" i="67"/>
  <c r="F8" i="67"/>
  <c r="F37" i="67"/>
  <c r="D4" i="73"/>
  <c r="F20" i="31"/>
  <c r="AO12" i="1"/>
  <c r="M28" i="15"/>
  <c r="D2" i="35"/>
  <c r="F6" i="15"/>
  <c r="F7" i="73"/>
  <c r="F36" i="15"/>
  <c r="D6" i="73"/>
  <c r="L47" i="15"/>
  <c r="E7" i="76"/>
  <c r="AO11" i="1"/>
  <c r="M22" i="15"/>
  <c r="M8" i="67"/>
  <c r="M6" i="67"/>
  <c r="J15" i="67"/>
  <c r="F4" i="73"/>
  <c r="AO8" i="1"/>
  <c r="C76" i="15"/>
  <c r="L58" i="78" l="1"/>
  <c r="L56" i="78"/>
  <c r="J53" i="78"/>
  <c r="I54" i="78"/>
  <c r="J57" i="78"/>
  <c r="J55" i="78" s="1"/>
  <c r="J58" i="78" s="1"/>
  <c r="Q50" i="78" s="1"/>
  <c r="J60" i="78"/>
  <c r="Q48" i="78" s="1"/>
  <c r="J59" i="78"/>
  <c r="G7" i="1"/>
  <c r="H50" i="43"/>
  <c r="H75" i="43"/>
  <c r="K56" i="9"/>
  <c r="A15" i="62"/>
  <c r="B61" i="72" s="1"/>
  <c r="H49" i="43"/>
  <c r="J17" i="43"/>
  <c r="I17" i="43"/>
  <c r="C16" i="43" s="1"/>
  <c r="E17" i="43"/>
  <c r="H113" i="43"/>
  <c r="F28" i="40"/>
  <c r="AA28" i="40" s="1"/>
  <c r="J28" i="40"/>
  <c r="BL29" i="3"/>
  <c r="BL31" i="3"/>
  <c r="AZ31" i="3"/>
  <c r="G30" i="3"/>
  <c r="F53" i="9"/>
  <c r="F32" i="78"/>
  <c r="F60" i="78" s="1"/>
  <c r="F28" i="78"/>
  <c r="C28" i="78" s="1"/>
  <c r="M18" i="78"/>
  <c r="F52" i="9"/>
  <c r="AZ551" i="3"/>
  <c r="AZ550" i="3"/>
  <c r="AZ521" i="3"/>
  <c r="AZ398" i="3"/>
  <c r="AZ405" i="3"/>
  <c r="AZ407" i="3"/>
  <c r="AZ410" i="3"/>
  <c r="AZ415" i="3"/>
  <c r="AZ16" i="3"/>
  <c r="BL15" i="3"/>
  <c r="AZ420" i="3"/>
  <c r="AZ424" i="3"/>
  <c r="AZ426" i="3"/>
  <c r="AZ429" i="3"/>
  <c r="AZ431" i="3"/>
  <c r="AZ436" i="3"/>
  <c r="AZ448" i="3"/>
  <c r="AZ452" i="3"/>
  <c r="AZ461" i="3"/>
  <c r="AZ463" i="3"/>
  <c r="AZ468" i="3"/>
  <c r="AZ470" i="3"/>
  <c r="AZ479" i="3"/>
  <c r="AZ485" i="3"/>
  <c r="AZ395" i="3"/>
  <c r="AZ208" i="3"/>
  <c r="AZ211" i="3"/>
  <c r="AZ219" i="3"/>
  <c r="AZ236" i="3"/>
  <c r="F29" i="6"/>
  <c r="BA13" i="3"/>
  <c r="AZ244" i="3"/>
  <c r="AZ247" i="3"/>
  <c r="AZ260" i="3"/>
  <c r="AZ264" i="3"/>
  <c r="AZ282" i="3"/>
  <c r="AZ239" i="3"/>
  <c r="AZ285" i="3"/>
  <c r="AZ290" i="3"/>
  <c r="AZ293" i="3"/>
  <c r="AZ153" i="3"/>
  <c r="AZ169" i="3"/>
  <c r="AZ185" i="3"/>
  <c r="AZ201" i="3"/>
  <c r="AZ207" i="3"/>
  <c r="BA18" i="3"/>
  <c r="BA19" i="3"/>
  <c r="AZ19" i="3" s="1"/>
  <c r="BA20" i="3"/>
  <c r="AZ20" i="3" s="1"/>
  <c r="BA21" i="3"/>
  <c r="AZ21" i="3" s="1"/>
  <c r="BA22" i="3"/>
  <c r="AZ22" i="3" s="1"/>
  <c r="BL23" i="3"/>
  <c r="G24" i="3"/>
  <c r="BL25" i="3"/>
  <c r="G26" i="3"/>
  <c r="BA27" i="3"/>
  <c r="AZ27" i="3" s="1"/>
  <c r="BA29" i="3"/>
  <c r="AZ29" i="3" s="1"/>
  <c r="BA30" i="3"/>
  <c r="AZ30" i="3" s="1"/>
  <c r="AZ34" i="3"/>
  <c r="AZ38" i="3"/>
  <c r="AZ44" i="3"/>
  <c r="AZ48" i="3"/>
  <c r="AZ52" i="3"/>
  <c r="AZ56" i="3"/>
  <c r="AZ70" i="3"/>
  <c r="AZ76" i="3"/>
  <c r="AZ90" i="3"/>
  <c r="AZ92" i="3"/>
  <c r="AZ96" i="3"/>
  <c r="AZ99" i="3"/>
  <c r="AZ103" i="3"/>
  <c r="AZ106" i="3"/>
  <c r="G32" i="3"/>
  <c r="G33" i="3"/>
  <c r="G34" i="3"/>
  <c r="G37" i="3"/>
  <c r="G38" i="3"/>
  <c r="G41" i="3"/>
  <c r="G42" i="3"/>
  <c r="G43" i="3"/>
  <c r="G44" i="3"/>
  <c r="G47" i="3"/>
  <c r="G48" i="3"/>
  <c r="G50" i="3"/>
  <c r="G51" i="3"/>
  <c r="G52" i="3"/>
  <c r="G55" i="3"/>
  <c r="G56" i="3"/>
  <c r="G58" i="3"/>
  <c r="G59" i="3"/>
  <c r="G60" i="3"/>
  <c r="G61" i="3"/>
  <c r="G63" i="3"/>
  <c r="G64" i="3"/>
  <c r="G65" i="3"/>
  <c r="G66" i="3"/>
  <c r="G69" i="3"/>
  <c r="G70" i="3"/>
  <c r="G74" i="3"/>
  <c r="G75" i="3"/>
  <c r="G76" i="3"/>
  <c r="G79" i="3"/>
  <c r="G80" i="3"/>
  <c r="G81" i="3"/>
  <c r="G82" i="3"/>
  <c r="G88" i="3"/>
  <c r="G89" i="3"/>
  <c r="G90" i="3"/>
  <c r="G92" i="3"/>
  <c r="G96" i="3"/>
  <c r="G99" i="3"/>
  <c r="G101" i="3"/>
  <c r="G102" i="3"/>
  <c r="G103" i="3"/>
  <c r="G105" i="3"/>
  <c r="G106" i="3"/>
  <c r="G109" i="3"/>
  <c r="BL24" i="3"/>
  <c r="BA25" i="3"/>
  <c r="AZ25" i="3" s="1"/>
  <c r="F30" i="6"/>
  <c r="G27" i="3"/>
  <c r="F20" i="6"/>
  <c r="E20" i="6" s="1"/>
  <c r="K7" i="1" s="1"/>
  <c r="M7" i="1" s="1"/>
  <c r="AH7" i="1"/>
  <c r="F19" i="6"/>
  <c r="AH6" i="1"/>
  <c r="G28" i="3"/>
  <c r="E10" i="6"/>
  <c r="F38" i="6"/>
  <c r="G29" i="3"/>
  <c r="BA28" i="3"/>
  <c r="AZ28" i="3" s="1"/>
  <c r="I4" i="6"/>
  <c r="G3" i="43" s="1"/>
  <c r="F22" i="43" s="1"/>
  <c r="G30" i="6"/>
  <c r="G31" i="6" s="1"/>
  <c r="E28" i="6"/>
  <c r="K14" i="1" s="1"/>
  <c r="M14" i="1" s="1"/>
  <c r="E29" i="6"/>
  <c r="BL26" i="3"/>
  <c r="E8" i="6"/>
  <c r="E51" i="40" s="1"/>
  <c r="BA23" i="3"/>
  <c r="AZ23" i="3" s="1"/>
  <c r="H5" i="3"/>
  <c r="AR11" i="1"/>
  <c r="E13" i="6"/>
  <c r="T10" i="1"/>
  <c r="AQ8" i="1"/>
  <c r="BA26" i="3"/>
  <c r="AZ26" i="3" s="1"/>
  <c r="D58" i="33"/>
  <c r="E58" i="33" s="1"/>
  <c r="F58" i="33" s="1"/>
  <c r="G58" i="33" s="1"/>
  <c r="H58" i="33" s="1"/>
  <c r="I58" i="33" s="1"/>
  <c r="J58" i="33" s="1"/>
  <c r="K58" i="33" s="1"/>
  <c r="L58" i="33" s="1"/>
  <c r="M58" i="33" s="1"/>
  <c r="N58" i="33" s="1"/>
  <c r="O58" i="33" s="1"/>
  <c r="H7" i="33"/>
  <c r="J7" i="33"/>
  <c r="F7" i="33"/>
  <c r="J51" i="15"/>
  <c r="D68" i="39"/>
  <c r="AZ24" i="3"/>
  <c r="E12" i="6"/>
  <c r="G5" i="3"/>
  <c r="B3" i="3" s="1"/>
  <c r="E262" i="3" s="1"/>
  <c r="E19" i="6"/>
  <c r="BL5" i="3"/>
  <c r="S36" i="40"/>
  <c r="F31" i="15"/>
  <c r="T8" i="1"/>
  <c r="P61" i="15"/>
  <c r="J53" i="15"/>
  <c r="S35" i="40"/>
  <c r="S30" i="40"/>
  <c r="AC28" i="40"/>
  <c r="W28" i="40"/>
  <c r="H28" i="40"/>
  <c r="S28" i="40"/>
  <c r="AB27" i="40"/>
  <c r="F25" i="40"/>
  <c r="AA25" i="40" s="1"/>
  <c r="H25" i="40"/>
  <c r="AB25" i="40" s="1"/>
  <c r="J25" i="40"/>
  <c r="AC25" i="40" s="1"/>
  <c r="F94" i="40"/>
  <c r="G94" i="40" s="1"/>
  <c r="AC21" i="40"/>
  <c r="AA19" i="40"/>
  <c r="AC36" i="40"/>
  <c r="U36" i="40"/>
  <c r="W35" i="40"/>
  <c r="U35" i="40"/>
  <c r="AA27" i="40"/>
  <c r="S21" i="40"/>
  <c r="AA9" i="40"/>
  <c r="AC9" i="40"/>
  <c r="C94" i="9"/>
  <c r="C92" i="9"/>
  <c r="M18" i="15"/>
  <c r="F30" i="69"/>
  <c r="C48" i="69" s="1"/>
  <c r="D68" i="9"/>
  <c r="F32" i="15"/>
  <c r="F60" i="15" s="1"/>
  <c r="F32" i="67"/>
  <c r="F60" i="67" s="1"/>
  <c r="C36" i="11"/>
  <c r="F54" i="9"/>
  <c r="C77" i="9"/>
  <c r="F28" i="15"/>
  <c r="C28" i="15" s="1"/>
  <c r="M18" i="67"/>
  <c r="F31" i="12"/>
  <c r="C31" i="12" s="1"/>
  <c r="F28" i="67"/>
  <c r="C28" i="67" s="1"/>
  <c r="F30" i="11"/>
  <c r="F30" i="68"/>
  <c r="C30" i="68" s="1"/>
  <c r="C40" i="68"/>
  <c r="C40" i="69"/>
  <c r="D23" i="67"/>
  <c r="W8" i="40"/>
  <c r="K15" i="1"/>
  <c r="L27" i="6"/>
  <c r="AZ15" i="3"/>
  <c r="D9" i="11"/>
  <c r="C9" i="11" s="1"/>
  <c r="D19" i="12"/>
  <c r="C19" i="12" s="1"/>
  <c r="AR13" i="1"/>
  <c r="AQ13" i="1"/>
  <c r="T13" i="1"/>
  <c r="AR12" i="1"/>
  <c r="T12" i="1"/>
  <c r="E15" i="6"/>
  <c r="E65" i="39" s="1"/>
  <c r="E11" i="6"/>
  <c r="E56" i="40" s="1"/>
  <c r="E14" i="6"/>
  <c r="E64" i="39" s="1"/>
  <c r="AZ18" i="3"/>
  <c r="BA5" i="3"/>
  <c r="AQ9" i="1"/>
  <c r="T11" i="1"/>
  <c r="P7" i="1"/>
  <c r="O6" i="1"/>
  <c r="P6" i="1" s="1"/>
  <c r="D9" i="69"/>
  <c r="C9" i="69" s="1"/>
  <c r="C36" i="69"/>
  <c r="O14" i="1"/>
  <c r="P14" i="1" s="1"/>
  <c r="M11" i="1"/>
  <c r="E61" i="39"/>
  <c r="O12" i="1"/>
  <c r="P12" i="1" s="1"/>
  <c r="O8" i="1"/>
  <c r="P8" i="1" s="1"/>
  <c r="AZ13" i="3"/>
  <c r="O9" i="1"/>
  <c r="P9" i="1" s="1"/>
  <c r="T9" i="1"/>
  <c r="AR10" i="1"/>
  <c r="N101" i="43"/>
  <c r="M101" i="43"/>
  <c r="AH11" i="43"/>
  <c r="AH13" i="43" s="1"/>
  <c r="Z11" i="43"/>
  <c r="Z13" i="43" s="1"/>
  <c r="AE11" i="43"/>
  <c r="AE13" i="43" s="1"/>
  <c r="J22" i="43"/>
  <c r="J101" i="43"/>
  <c r="L101" i="43"/>
  <c r="G22" i="43"/>
  <c r="T35" i="4"/>
  <c r="A19" i="51" s="1"/>
  <c r="B14" i="72" s="1"/>
  <c r="J58" i="21"/>
  <c r="K58" i="21" s="1"/>
  <c r="L58" i="21" s="1"/>
  <c r="M58" i="21" s="1"/>
  <c r="N58" i="21" s="1"/>
  <c r="O58" i="21" s="1"/>
  <c r="H7" i="21"/>
  <c r="J7" i="21"/>
  <c r="E52" i="37"/>
  <c r="F46" i="36"/>
  <c r="F7" i="21"/>
  <c r="E59" i="34"/>
  <c r="D63" i="40"/>
  <c r="C65" i="40"/>
  <c r="D48" i="35"/>
  <c r="C30" i="69"/>
  <c r="C74" i="9"/>
  <c r="D10" i="52"/>
  <c r="D125" i="9"/>
  <c r="D11" i="52" s="1"/>
  <c r="H14" i="74"/>
  <c r="B7" i="74" s="1"/>
  <c r="D17" i="53"/>
  <c r="B36" i="72" s="1"/>
  <c r="F6" i="71"/>
  <c r="F5" i="71" s="1"/>
  <c r="Y5" i="71"/>
  <c r="Z5" i="71" s="1"/>
  <c r="B7" i="49"/>
  <c r="E7" i="49"/>
  <c r="B15" i="49"/>
  <c r="AB3" i="71"/>
  <c r="X3" i="71"/>
  <c r="C6" i="71"/>
  <c r="E6" i="71"/>
  <c r="E5" i="71" s="1"/>
  <c r="E10" i="49"/>
  <c r="B6" i="49"/>
  <c r="E14" i="49"/>
  <c r="AF3" i="71"/>
  <c r="P24" i="43" s="1"/>
  <c r="B66" i="40" s="1"/>
  <c r="P23" i="43"/>
  <c r="B71" i="39" s="1"/>
  <c r="P21" i="43"/>
  <c r="P22" i="43"/>
  <c r="C23" i="12"/>
  <c r="B13" i="49"/>
  <c r="B4" i="49"/>
  <c r="B9" i="49"/>
  <c r="E22" i="49"/>
  <c r="E16" i="49"/>
  <c r="E11" i="49"/>
  <c r="B10" i="49"/>
  <c r="E6" i="49"/>
  <c r="E8" i="49"/>
  <c r="E5" i="49"/>
  <c r="B8" i="49"/>
  <c r="E4" i="4" s="1"/>
  <c r="B5" i="62" s="1"/>
  <c r="B73" i="72" s="1"/>
  <c r="B5" i="49"/>
  <c r="E21" i="49"/>
  <c r="E4" i="49"/>
  <c r="B11" i="49"/>
  <c r="C4" i="4" s="1"/>
  <c r="B14" i="49"/>
  <c r="B16" i="49"/>
  <c r="E13" i="49"/>
  <c r="E15" i="49"/>
  <c r="E9" i="49"/>
  <c r="B22" i="49"/>
  <c r="F70" i="67"/>
  <c r="F64" i="67"/>
  <c r="J57" i="15"/>
  <c r="J55" i="15" s="1"/>
  <c r="J58" i="15" s="1"/>
  <c r="Q50" i="15" s="1"/>
  <c r="I54" i="15"/>
  <c r="L56" i="15"/>
  <c r="F71" i="67"/>
  <c r="F66" i="15"/>
  <c r="B10" i="70"/>
  <c r="F68" i="67"/>
  <c r="F66" i="67"/>
  <c r="L59" i="67"/>
  <c r="M59" i="67"/>
  <c r="N59" i="67"/>
  <c r="L58" i="67"/>
  <c r="F68" i="15"/>
  <c r="N59" i="15"/>
  <c r="L59" i="15"/>
  <c r="M59" i="15"/>
  <c r="L58" i="15"/>
  <c r="F65" i="15"/>
  <c r="Q71" i="67"/>
  <c r="B13" i="70"/>
  <c r="E20" i="43"/>
  <c r="B8" i="70"/>
  <c r="C34" i="67"/>
  <c r="F63" i="67"/>
  <c r="C62" i="67" s="1"/>
  <c r="B20" i="31"/>
  <c r="J20" i="67"/>
  <c r="F65" i="67"/>
  <c r="Q71" i="15"/>
  <c r="M7" i="67"/>
  <c r="J6" i="67" s="1"/>
  <c r="F50" i="67"/>
  <c r="F51" i="67"/>
  <c r="C6" i="67"/>
  <c r="B11" i="70"/>
  <c r="I1" i="73"/>
  <c r="B39" i="1" s="1"/>
  <c r="C27" i="15"/>
  <c r="F51" i="15"/>
  <c r="F64" i="15"/>
  <c r="I54" i="67"/>
  <c r="J57" i="67"/>
  <c r="J55" i="67" s="1"/>
  <c r="J58" i="67" s="1"/>
  <c r="Q50" i="67" s="1"/>
  <c r="L56" i="67"/>
  <c r="C27" i="67"/>
  <c r="B12" i="70"/>
  <c r="B9" i="70"/>
  <c r="K1" i="73"/>
  <c r="F59" i="67"/>
  <c r="F59" i="15"/>
  <c r="F31" i="67"/>
  <c r="M17" i="67"/>
  <c r="M17" i="15"/>
  <c r="C36" i="68"/>
  <c r="D9" i="68"/>
  <c r="C16" i="67"/>
  <c r="C14" i="67"/>
  <c r="G1" i="73"/>
  <c r="C17" i="67"/>
  <c r="M29" i="78"/>
  <c r="F43" i="78"/>
  <c r="C16" i="78"/>
  <c r="F7" i="78"/>
  <c r="Q52" i="78" l="1"/>
  <c r="F1" i="78"/>
  <c r="Q73" i="78"/>
  <c r="Q60" i="78"/>
  <c r="D5" i="43"/>
  <c r="C5" i="43"/>
  <c r="W25" i="40"/>
  <c r="S25" i="40"/>
  <c r="M7" i="78"/>
  <c r="J6" i="78" s="1"/>
  <c r="C6" i="78"/>
  <c r="F50" i="78"/>
  <c r="C49" i="78" s="1"/>
  <c r="F71" i="78"/>
  <c r="O7" i="1"/>
  <c r="E338" i="3"/>
  <c r="D3" i="40"/>
  <c r="F11" i="78"/>
  <c r="M11" i="78"/>
  <c r="J10" i="78" s="1"/>
  <c r="J5" i="78" s="1"/>
  <c r="H101" i="43"/>
  <c r="N104" i="46"/>
  <c r="G101" i="43"/>
  <c r="AA11" i="43"/>
  <c r="AA13" i="43" s="1"/>
  <c r="AI11" i="43"/>
  <c r="AI13" i="43" s="1"/>
  <c r="AD11" i="43"/>
  <c r="AD13" i="43" s="1"/>
  <c r="E101" i="43"/>
  <c r="H22" i="43"/>
  <c r="K101" i="43"/>
  <c r="AZ5" i="3"/>
  <c r="E3" i="6" s="1"/>
  <c r="G39" i="6" s="1"/>
  <c r="C101" i="43"/>
  <c r="B113" i="43"/>
  <c r="B115" i="43" s="1"/>
  <c r="Y11" i="43"/>
  <c r="Y13" i="43" s="1"/>
  <c r="AC11" i="43"/>
  <c r="AC13" i="43" s="1"/>
  <c r="AG11" i="43"/>
  <c r="AG13" i="43" s="1"/>
  <c r="Z7" i="43"/>
  <c r="AB11" i="43"/>
  <c r="AB13" i="43" s="1"/>
  <c r="AF11" i="43"/>
  <c r="AF13" i="43" s="1"/>
  <c r="AJ11" i="43"/>
  <c r="AJ13" i="43" s="1"/>
  <c r="I101" i="43"/>
  <c r="I109" i="43" s="1"/>
  <c r="D101" i="43"/>
  <c r="E22" i="43"/>
  <c r="F101" i="43"/>
  <c r="E30" i="6"/>
  <c r="E97" i="3"/>
  <c r="AK6" i="3"/>
  <c r="E213" i="3"/>
  <c r="E306" i="3"/>
  <c r="E511" i="3"/>
  <c r="E574" i="3"/>
  <c r="E153" i="3"/>
  <c r="E296" i="3"/>
  <c r="E434" i="3"/>
  <c r="E16" i="3"/>
  <c r="E314" i="3"/>
  <c r="E285" i="3"/>
  <c r="E302" i="3"/>
  <c r="E304" i="3"/>
  <c r="E159" i="3"/>
  <c r="E133" i="3"/>
  <c r="E358" i="3"/>
  <c r="E406" i="3"/>
  <c r="E125" i="3"/>
  <c r="E244" i="3"/>
  <c r="E368" i="3"/>
  <c r="E453" i="3"/>
  <c r="E549" i="3"/>
  <c r="E536" i="3"/>
  <c r="I6" i="3"/>
  <c r="E568" i="3"/>
  <c r="E397" i="3"/>
  <c r="E143" i="3"/>
  <c r="E359" i="3"/>
  <c r="O6" i="3"/>
  <c r="E17" i="3"/>
  <c r="E565" i="3"/>
  <c r="E69" i="3"/>
  <c r="X6" i="3"/>
  <c r="E407" i="3"/>
  <c r="E228" i="3"/>
  <c r="E560" i="3"/>
  <c r="E290" i="3"/>
  <c r="E557" i="3"/>
  <c r="E465" i="3"/>
  <c r="E472" i="3"/>
  <c r="K6" i="3"/>
  <c r="E277" i="3"/>
  <c r="E439" i="3"/>
  <c r="E489" i="3"/>
  <c r="E485" i="3"/>
  <c r="E56" i="39"/>
  <c r="E337" i="3"/>
  <c r="E410" i="3"/>
  <c r="E555" i="3"/>
  <c r="E388" i="3"/>
  <c r="E503" i="3"/>
  <c r="E361" i="3"/>
  <c r="E183" i="3"/>
  <c r="E528" i="3"/>
  <c r="E261" i="3"/>
  <c r="E319" i="3"/>
  <c r="E328" i="3"/>
  <c r="E246" i="3"/>
  <c r="E551" i="3"/>
  <c r="E294" i="3"/>
  <c r="E99" i="3"/>
  <c r="E157" i="3"/>
  <c r="E424" i="3"/>
  <c r="E481" i="3"/>
  <c r="E437" i="3"/>
  <c r="Q6" i="3"/>
  <c r="E330" i="3"/>
  <c r="E177" i="3"/>
  <c r="E120" i="3"/>
  <c r="E169" i="3"/>
  <c r="E227" i="3"/>
  <c r="E28" i="3"/>
  <c r="E531" i="3"/>
  <c r="E345" i="3"/>
  <c r="E204" i="3"/>
  <c r="Z6" i="3"/>
  <c r="E58" i="40"/>
  <c r="E63" i="39"/>
  <c r="K4" i="4"/>
  <c r="B46" i="48" s="1"/>
  <c r="B4" i="72" s="1"/>
  <c r="B4" i="62"/>
  <c r="B71" i="72" s="1"/>
  <c r="D70" i="39"/>
  <c r="E68" i="39"/>
  <c r="S7" i="33"/>
  <c r="AA7" i="33"/>
  <c r="R48" i="33" s="1"/>
  <c r="AB7" i="33"/>
  <c r="T48" i="33" s="1"/>
  <c r="G48" i="33" s="1"/>
  <c r="U7" i="33"/>
  <c r="W7" i="33"/>
  <c r="AC7" i="33"/>
  <c r="V48" i="33" s="1"/>
  <c r="I48" i="33" s="1"/>
  <c r="E59" i="40"/>
  <c r="E526" i="3"/>
  <c r="E322" i="3"/>
  <c r="S6" i="3"/>
  <c r="E130" i="3"/>
  <c r="E252" i="3"/>
  <c r="E164" i="3"/>
  <c r="E576" i="3"/>
  <c r="AG6" i="3"/>
  <c r="E448" i="3"/>
  <c r="P6" i="3"/>
  <c r="E443" i="3"/>
  <c r="E367" i="3"/>
  <c r="E505" i="3"/>
  <c r="E547" i="3"/>
  <c r="AS6" i="3"/>
  <c r="E403" i="3"/>
  <c r="E476" i="3"/>
  <c r="E546" i="3"/>
  <c r="E447" i="3"/>
  <c r="E71" i="3"/>
  <c r="E27" i="3"/>
  <c r="E553" i="3"/>
  <c r="E567" i="3"/>
  <c r="E270" i="3"/>
  <c r="E538" i="3"/>
  <c r="E380" i="3"/>
  <c r="E216" i="3"/>
  <c r="E185" i="3"/>
  <c r="E135" i="3"/>
  <c r="E161" i="3"/>
  <c r="E140" i="3"/>
  <c r="E85" i="3"/>
  <c r="E223" i="3"/>
  <c r="E238" i="3"/>
  <c r="E197" i="3"/>
  <c r="E116" i="3"/>
  <c r="E173" i="3"/>
  <c r="E105" i="3"/>
  <c r="E369" i="3"/>
  <c r="E393" i="3"/>
  <c r="E525" i="3"/>
  <c r="E493" i="3"/>
  <c r="E534" i="3"/>
  <c r="E564" i="3"/>
  <c r="T6" i="3"/>
  <c r="E543" i="3"/>
  <c r="E405" i="3"/>
  <c r="E427" i="3"/>
  <c r="E456" i="3"/>
  <c r="E486" i="3"/>
  <c r="E469" i="3"/>
  <c r="E507" i="3"/>
  <c r="E512" i="3"/>
  <c r="E422" i="3"/>
  <c r="E408" i="3"/>
  <c r="E440" i="3"/>
  <c r="E451" i="3"/>
  <c r="E490" i="3"/>
  <c r="E89" i="3"/>
  <c r="E122" i="3"/>
  <c r="E269" i="3"/>
  <c r="E148" i="3"/>
  <c r="E236" i="3"/>
  <c r="E156" i="3"/>
  <c r="E136" i="3"/>
  <c r="E196" i="3"/>
  <c r="E215" i="3"/>
  <c r="E335" i="3"/>
  <c r="E387" i="3"/>
  <c r="AB6" i="3"/>
  <c r="M6" i="3"/>
  <c r="E570" i="3"/>
  <c r="E514" i="3"/>
  <c r="E311" i="3"/>
  <c r="E124" i="3"/>
  <c r="E280" i="3"/>
  <c r="E399" i="3"/>
  <c r="AA6" i="3"/>
  <c r="E347" i="3"/>
  <c r="E508" i="3"/>
  <c r="E305" i="3"/>
  <c r="E343" i="3"/>
  <c r="E530" i="3"/>
  <c r="E175" i="3"/>
  <c r="E237" i="3"/>
  <c r="E245" i="3"/>
  <c r="E301" i="3"/>
  <c r="E263" i="3"/>
  <c r="E303" i="3"/>
  <c r="E382" i="3"/>
  <c r="E350" i="3"/>
  <c r="E423" i="3"/>
  <c r="E402" i="3"/>
  <c r="E578" i="3"/>
  <c r="E586" i="3"/>
  <c r="AI6" i="3"/>
  <c r="AN6" i="3"/>
  <c r="E518" i="3"/>
  <c r="E495" i="3"/>
  <c r="E385" i="3"/>
  <c r="E353" i="3"/>
  <c r="E151" i="3"/>
  <c r="E201" i="3"/>
  <c r="E229" i="3"/>
  <c r="E247" i="3"/>
  <c r="E396" i="3"/>
  <c r="E431" i="3"/>
  <c r="E569" i="3"/>
  <c r="E579" i="3"/>
  <c r="E516" i="3"/>
  <c r="E509" i="3"/>
  <c r="E239" i="3"/>
  <c r="E535" i="3"/>
  <c r="E550" i="3"/>
  <c r="E445" i="3"/>
  <c r="E260" i="3"/>
  <c r="E172" i="3"/>
  <c r="E395" i="3"/>
  <c r="E563" i="3"/>
  <c r="E415" i="3"/>
  <c r="E278" i="3"/>
  <c r="E114" i="3"/>
  <c r="E60" i="40"/>
  <c r="E501" i="3"/>
  <c r="E426" i="3"/>
  <c r="E583" i="3"/>
  <c r="E336" i="3"/>
  <c r="E293" i="3"/>
  <c r="E559" i="3"/>
  <c r="V6" i="3"/>
  <c r="E320" i="3"/>
  <c r="E230" i="3"/>
  <c r="E191" i="3"/>
  <c r="E188" i="3"/>
  <c r="E181" i="3"/>
  <c r="E288" i="3"/>
  <c r="E457" i="3"/>
  <c r="E438" i="3"/>
  <c r="E527" i="3"/>
  <c r="E474" i="3"/>
  <c r="E458" i="3"/>
  <c r="E529" i="3"/>
  <c r="E573" i="3"/>
  <c r="E532" i="3"/>
  <c r="E519" i="3"/>
  <c r="E313" i="3"/>
  <c r="E193" i="3"/>
  <c r="E224" i="3"/>
  <c r="E45" i="3"/>
  <c r="E117" i="3"/>
  <c r="E61" i="3"/>
  <c r="E231" i="3"/>
  <c r="AR6" i="3"/>
  <c r="N6" i="3"/>
  <c r="E88" i="3"/>
  <c r="E404" i="3"/>
  <c r="E444" i="3"/>
  <c r="E581" i="3"/>
  <c r="E558" i="3"/>
  <c r="E400" i="3"/>
  <c r="AO6" i="3"/>
  <c r="E327" i="3"/>
  <c r="E221" i="3"/>
  <c r="E352" i="3"/>
  <c r="E561" i="3"/>
  <c r="E533" i="3"/>
  <c r="E165" i="3"/>
  <c r="E461" i="3"/>
  <c r="E539" i="3"/>
  <c r="E282" i="3"/>
  <c r="E366" i="3"/>
  <c r="E53" i="3"/>
  <c r="E90" i="3"/>
  <c r="E56" i="3"/>
  <c r="E39" i="3"/>
  <c r="E479" i="3"/>
  <c r="E436" i="3"/>
  <c r="E417" i="3"/>
  <c r="E520" i="3"/>
  <c r="E491" i="3"/>
  <c r="E460" i="3"/>
  <c r="E435" i="3"/>
  <c r="E413" i="3"/>
  <c r="E517" i="3"/>
  <c r="E582" i="3"/>
  <c r="E554" i="3"/>
  <c r="E500" i="3"/>
  <c r="AP6" i="3"/>
  <c r="E566" i="3"/>
  <c r="I3" i="6"/>
  <c r="E374" i="3"/>
  <c r="E477" i="3"/>
  <c r="E432" i="3"/>
  <c r="E414" i="3"/>
  <c r="E548" i="3"/>
  <c r="E478" i="3"/>
  <c r="E411" i="3"/>
  <c r="E515" i="3"/>
  <c r="U6" i="3"/>
  <c r="E585" i="3"/>
  <c r="E379" i="3"/>
  <c r="E107" i="3"/>
  <c r="E145" i="3"/>
  <c r="E271" i="3"/>
  <c r="E207" i="3"/>
  <c r="E254" i="3"/>
  <c r="E298" i="3"/>
  <c r="E506" i="3"/>
  <c r="E128" i="3"/>
  <c r="E545" i="3"/>
  <c r="K6" i="1"/>
  <c r="E57" i="40"/>
  <c r="E62" i="39"/>
  <c r="E268" i="3"/>
  <c r="E329" i="3"/>
  <c r="E205" i="3"/>
  <c r="E523" i="3"/>
  <c r="E321" i="3"/>
  <c r="E134" i="3"/>
  <c r="E180" i="3"/>
  <c r="E77" i="3"/>
  <c r="E253" i="3"/>
  <c r="E199" i="3"/>
  <c r="E286" i="3"/>
  <c r="E575" i="3"/>
  <c r="E499" i="3"/>
  <c r="R6" i="3"/>
  <c r="E502" i="3"/>
  <c r="E442" i="3"/>
  <c r="E466" i="3"/>
  <c r="E541" i="3"/>
  <c r="E430" i="3"/>
  <c r="E449" i="3"/>
  <c r="E255" i="3"/>
  <c r="E344" i="3"/>
  <c r="E562" i="3"/>
  <c r="E587" i="3"/>
  <c r="W6" i="3"/>
  <c r="AE6" i="3"/>
  <c r="E571" i="3"/>
  <c r="E577" i="3"/>
  <c r="E537" i="3"/>
  <c r="E429" i="3"/>
  <c r="E450" i="3"/>
  <c r="E468" i="3"/>
  <c r="E471" i="3"/>
  <c r="E496" i="3"/>
  <c r="E433" i="3"/>
  <c r="E454" i="3"/>
  <c r="E475" i="3"/>
  <c r="E55" i="3"/>
  <c r="E72" i="3"/>
  <c r="E106"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217" i="3"/>
  <c r="AJ6" i="3"/>
  <c r="E510" i="3"/>
  <c r="E390" i="3"/>
  <c r="E418" i="3"/>
  <c r="E189" i="3"/>
  <c r="E91" i="3"/>
  <c r="E149" i="3"/>
  <c r="E212" i="3"/>
  <c r="E167" i="3"/>
  <c r="E141" i="3"/>
  <c r="E312" i="3"/>
  <c r="AD6" i="3"/>
  <c r="E542" i="3"/>
  <c r="E552" i="3"/>
  <c r="E421" i="3"/>
  <c r="E464" i="3"/>
  <c r="E487" i="3"/>
  <c r="E398" i="3"/>
  <c r="E416" i="3"/>
  <c r="E459" i="3"/>
  <c r="E360" i="3"/>
  <c r="E376" i="3"/>
  <c r="E556" i="3"/>
  <c r="AH6" i="3"/>
  <c r="E497" i="3"/>
  <c r="J6" i="3"/>
  <c r="E13" i="3"/>
  <c r="E498" i="3"/>
  <c r="E494" i="3"/>
  <c r="E419" i="3"/>
  <c r="E452" i="3"/>
  <c r="E483" i="3"/>
  <c r="E470" i="3"/>
  <c r="E401" i="3"/>
  <c r="E420" i="3"/>
  <c r="E463" i="3"/>
  <c r="E26" i="3"/>
  <c r="E40" i="3"/>
  <c r="E104"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6" i="3"/>
  <c r="E332" i="3"/>
  <c r="E346" i="3"/>
  <c r="E391" i="3"/>
  <c r="E333" i="3"/>
  <c r="E356"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51" i="3"/>
  <c r="E357" i="3"/>
  <c r="E318" i="3"/>
  <c r="E372" i="3"/>
  <c r="AL6" i="3"/>
  <c r="L6" i="3"/>
  <c r="E42" i="3"/>
  <c r="E60" i="3"/>
  <c r="E94" i="3"/>
  <c r="E43" i="3"/>
  <c r="E488" i="3"/>
  <c r="E428" i="3"/>
  <c r="E482" i="3"/>
  <c r="E412" i="3"/>
  <c r="E18" i="3"/>
  <c r="E96" i="3"/>
  <c r="E78" i="3"/>
  <c r="E129" i="3"/>
  <c r="E190" i="3"/>
  <c r="E174" i="3"/>
  <c r="E220" i="3"/>
  <c r="E275" i="3"/>
  <c r="E235" i="3"/>
  <c r="E324" i="3"/>
  <c r="E383" i="3"/>
  <c r="E342" i="3"/>
  <c r="E522" i="3"/>
  <c r="E35" i="3"/>
  <c r="E86" i="3"/>
  <c r="E34" i="3"/>
  <c r="E49" i="3"/>
  <c r="E206" i="3"/>
  <c r="E232" i="3"/>
  <c r="E251" i="3"/>
  <c r="E370" i="3"/>
  <c r="AF6" i="3"/>
  <c r="E102" i="3"/>
  <c r="E80" i="3"/>
  <c r="E113" i="3"/>
  <c r="E158" i="3"/>
  <c r="E287" i="3"/>
  <c r="E308" i="3"/>
  <c r="E309" i="3"/>
  <c r="E373" i="3"/>
  <c r="E513" i="3"/>
  <c r="E82" i="3"/>
  <c r="E21" i="3"/>
  <c r="E274" i="3"/>
  <c r="E315" i="3"/>
  <c r="E394" i="3"/>
  <c r="E362" i="3"/>
  <c r="E14" i="3"/>
  <c r="E580" i="3"/>
  <c r="E31" i="3"/>
  <c r="E74" i="3"/>
  <c r="E93" i="3"/>
  <c r="E32" i="3"/>
  <c r="E75" i="3"/>
  <c r="E409" i="3"/>
  <c r="E473" i="3"/>
  <c r="E15" i="3"/>
  <c r="E455" i="3"/>
  <c r="E79" i="3"/>
  <c r="E38" i="3"/>
  <c r="E100" i="3"/>
  <c r="E170" i="3"/>
  <c r="E137" i="3"/>
  <c r="E194" i="3"/>
  <c r="E234" i="3"/>
  <c r="E219" i="3"/>
  <c r="E299" i="3"/>
  <c r="E339" i="3"/>
  <c r="E325" i="3"/>
  <c r="E392" i="3"/>
  <c r="AQ6" i="3"/>
  <c r="E52" i="3"/>
  <c r="E36" i="3"/>
  <c r="E112" i="3"/>
  <c r="E123" i="3"/>
  <c r="E147" i="3"/>
  <c r="E289" i="3"/>
  <c r="E340" i="3"/>
  <c r="E364" i="3"/>
  <c r="E50" i="3"/>
  <c r="E20" i="3"/>
  <c r="E62" i="3"/>
  <c r="E176" i="3"/>
  <c r="E218" i="3"/>
  <c r="E265" i="3"/>
  <c r="E365" i="3"/>
  <c r="E326" i="3"/>
  <c r="E524" i="3"/>
  <c r="E22" i="3"/>
  <c r="E101" i="3"/>
  <c r="E83" i="3"/>
  <c r="F27" i="6"/>
  <c r="F31" i="6" s="1"/>
  <c r="E16" i="6"/>
  <c r="C9" i="68"/>
  <c r="U25" i="40"/>
  <c r="F1" i="15"/>
  <c r="Q52" i="15"/>
  <c r="U28" i="40"/>
  <c r="AB28" i="40"/>
  <c r="C48" i="68"/>
  <c r="C30" i="11"/>
  <c r="C48" i="11"/>
  <c r="AY6" i="3"/>
  <c r="O11" i="1"/>
  <c r="H107" i="43"/>
  <c r="H106" i="43"/>
  <c r="H105" i="43"/>
  <c r="H102" i="43"/>
  <c r="H104" i="43"/>
  <c r="H109" i="43"/>
  <c r="H103" i="43"/>
  <c r="N103" i="43"/>
  <c r="N106" i="43"/>
  <c r="N107" i="43"/>
  <c r="N102" i="43"/>
  <c r="N105" i="43"/>
  <c r="N104" i="43"/>
  <c r="N109" i="43"/>
  <c r="K107" i="43"/>
  <c r="K104" i="43"/>
  <c r="K106" i="43"/>
  <c r="K103" i="43"/>
  <c r="K102" i="43"/>
  <c r="K105" i="43"/>
  <c r="K109" i="43"/>
  <c r="C104" i="43"/>
  <c r="C106" i="43"/>
  <c r="C105" i="43"/>
  <c r="C102" i="43"/>
  <c r="C109" i="43"/>
  <c r="C107" i="43"/>
  <c r="C103" i="43"/>
  <c r="D117" i="43"/>
  <c r="E117" i="43" s="1"/>
  <c r="F117" i="43" s="1"/>
  <c r="G117" i="43" s="1"/>
  <c r="H117" i="43" s="1"/>
  <c r="E104" i="43"/>
  <c r="E107" i="43"/>
  <c r="E105" i="43"/>
  <c r="E109" i="43"/>
  <c r="E102" i="43"/>
  <c r="E103" i="43"/>
  <c r="E106" i="43"/>
  <c r="M109" i="43"/>
  <c r="M104" i="43"/>
  <c r="M107" i="43"/>
  <c r="M105" i="43"/>
  <c r="M106" i="43"/>
  <c r="M102" i="43"/>
  <c r="M103" i="43"/>
  <c r="L109" i="43"/>
  <c r="L106" i="43"/>
  <c r="L107" i="43"/>
  <c r="L103" i="43"/>
  <c r="L102" i="43"/>
  <c r="L105" i="43"/>
  <c r="L104" i="43"/>
  <c r="J104" i="43"/>
  <c r="J105" i="43"/>
  <c r="J103" i="43"/>
  <c r="J106" i="43"/>
  <c r="J107" i="43"/>
  <c r="J102" i="43"/>
  <c r="J109" i="43"/>
  <c r="G105" i="43"/>
  <c r="G102" i="43"/>
  <c r="G103" i="43"/>
  <c r="G109" i="43"/>
  <c r="G107" i="43"/>
  <c r="G104" i="43"/>
  <c r="G106" i="43"/>
  <c r="D109" i="43"/>
  <c r="D105" i="43"/>
  <c r="D106" i="43"/>
  <c r="D102" i="43"/>
  <c r="D103" i="43"/>
  <c r="D104" i="43"/>
  <c r="D107" i="43"/>
  <c r="F107" i="43"/>
  <c r="F106" i="43"/>
  <c r="F103" i="43"/>
  <c r="F104" i="43"/>
  <c r="F102" i="43"/>
  <c r="F105" i="43"/>
  <c r="F109" i="43"/>
  <c r="E48" i="35"/>
  <c r="E63" i="40"/>
  <c r="D65" i="40"/>
  <c r="S7" i="21"/>
  <c r="AA7" i="21"/>
  <c r="R48" i="21" s="1"/>
  <c r="G46" i="36"/>
  <c r="AC7" i="21"/>
  <c r="V48" i="21" s="1"/>
  <c r="I48" i="21" s="1"/>
  <c r="W7" i="21"/>
  <c r="F59" i="34"/>
  <c r="F52" i="37"/>
  <c r="G52" i="37" s="1"/>
  <c r="H52" i="37" s="1"/>
  <c r="I52" i="37" s="1"/>
  <c r="J52" i="37" s="1"/>
  <c r="K52" i="37" s="1"/>
  <c r="L52" i="37" s="1"/>
  <c r="M52" i="37" s="1"/>
  <c r="N52" i="37" s="1"/>
  <c r="O52" i="37" s="1"/>
  <c r="J7" i="37"/>
  <c r="H7" i="37"/>
  <c r="AB7" i="21"/>
  <c r="T48" i="21" s="1"/>
  <c r="G48" i="21" s="1"/>
  <c r="U7" i="21"/>
  <c r="C5" i="71"/>
  <c r="D6" i="71"/>
  <c r="P25" i="43"/>
  <c r="C49" i="67"/>
  <c r="B40" i="1"/>
  <c r="F24" i="78" s="1"/>
  <c r="C18" i="67"/>
  <c r="C15" i="67"/>
  <c r="M11" i="15"/>
  <c r="F11" i="67"/>
  <c r="F11" i="15"/>
  <c r="M11" i="67"/>
  <c r="J10" i="67" s="1"/>
  <c r="J5" i="67" s="1"/>
  <c r="Q73" i="67"/>
  <c r="Q60" i="67"/>
  <c r="P17" i="43"/>
  <c r="M17" i="43"/>
  <c r="N17" i="43"/>
  <c r="O17" i="43"/>
  <c r="Q60" i="15"/>
  <c r="Q73" i="15"/>
  <c r="Q74" i="15"/>
  <c r="Q61" i="15"/>
  <c r="Q61" i="67"/>
  <c r="Q74" i="67"/>
  <c r="AE7" i="1"/>
  <c r="M29" i="15"/>
  <c r="F7" i="15"/>
  <c r="F41" i="67"/>
  <c r="AE6" i="1"/>
  <c r="F43" i="15"/>
  <c r="O16" i="1" l="1"/>
  <c r="I105" i="43"/>
  <c r="B118" i="43"/>
  <c r="C118" i="43" s="1"/>
  <c r="I115" i="43"/>
  <c r="J115" i="43" s="1"/>
  <c r="K115" i="43" s="1"/>
  <c r="L115" i="43" s="1"/>
  <c r="M115" i="43" s="1"/>
  <c r="D22" i="43"/>
  <c r="I106" i="43"/>
  <c r="I104" i="43"/>
  <c r="B117" i="43"/>
  <c r="C117" i="43" s="1"/>
  <c r="G118" i="43"/>
  <c r="H118" i="43" s="1"/>
  <c r="D118" i="43"/>
  <c r="E118" i="43" s="1"/>
  <c r="F118" i="43" s="1"/>
  <c r="I103" i="43"/>
  <c r="I102" i="43"/>
  <c r="I107" i="43"/>
  <c r="I116" i="43"/>
  <c r="J116" i="43" s="1"/>
  <c r="K116" i="43" s="1"/>
  <c r="L116" i="43" s="1"/>
  <c r="M116" i="43" s="1"/>
  <c r="I117" i="43"/>
  <c r="J117" i="43" s="1"/>
  <c r="K117" i="43" s="1"/>
  <c r="L117" i="43" s="1"/>
  <c r="M117" i="43" s="1"/>
  <c r="B116" i="43"/>
  <c r="C116" i="43" s="1"/>
  <c r="D116" i="43"/>
  <c r="E116" i="43" s="1"/>
  <c r="F116" i="43" s="1"/>
  <c r="G116" i="43" s="1"/>
  <c r="H116" i="43" s="1"/>
  <c r="D115" i="43"/>
  <c r="E115" i="43" s="1"/>
  <c r="F115" i="43" s="1"/>
  <c r="G115" i="43" s="1"/>
  <c r="H115" i="43" s="1"/>
  <c r="I118" i="43"/>
  <c r="J118" i="43" s="1"/>
  <c r="K118" i="43" s="1"/>
  <c r="L118" i="43" s="1"/>
  <c r="M118" i="43" s="1"/>
  <c r="C24" i="78"/>
  <c r="C53" i="78"/>
  <c r="C48" i="78" s="1"/>
  <c r="C10" i="78"/>
  <c r="C5" i="78" s="1"/>
  <c r="J26" i="78"/>
  <c r="J24" i="78"/>
  <c r="J18" i="78"/>
  <c r="H6" i="3"/>
  <c r="E66" i="39"/>
  <c r="I52" i="33"/>
  <c r="J52" i="33" s="1"/>
  <c r="E48" i="33"/>
  <c r="I53" i="33" s="1"/>
  <c r="J53" i="33" s="1"/>
  <c r="R49" i="33"/>
  <c r="F68" i="39"/>
  <c r="E70" i="39"/>
  <c r="G52" i="33"/>
  <c r="H52" i="33" s="1"/>
  <c r="G53" i="33"/>
  <c r="H53" i="33" s="1"/>
  <c r="E27" i="6"/>
  <c r="AC6" i="3"/>
  <c r="E6" i="3" s="1"/>
  <c r="F50" i="15"/>
  <c r="C49" i="15" s="1"/>
  <c r="M7" i="15"/>
  <c r="J6" i="15" s="1"/>
  <c r="J10" i="15" s="1"/>
  <c r="J5" i="15" s="1"/>
  <c r="C6" i="15"/>
  <c r="C10" i="15" s="1"/>
  <c r="C5" i="15" s="1"/>
  <c r="F71" i="15"/>
  <c r="M6" i="1"/>
  <c r="H16" i="1"/>
  <c r="C34" i="69"/>
  <c r="Q16" i="1"/>
  <c r="K16" i="1"/>
  <c r="G16" i="1"/>
  <c r="F69" i="67"/>
  <c r="P11" i="1"/>
  <c r="P16" i="1" s="1"/>
  <c r="C11" i="12" s="1"/>
  <c r="D3" i="21"/>
  <c r="D19" i="11"/>
  <c r="C19" i="11" s="1"/>
  <c r="D37" i="11"/>
  <c r="C37" i="11" s="1"/>
  <c r="D14" i="12"/>
  <c r="M18" i="9"/>
  <c r="B118" i="9" s="1"/>
  <c r="B14" i="74" s="1"/>
  <c r="B1" i="74" s="1"/>
  <c r="D3" i="34"/>
  <c r="D3" i="37"/>
  <c r="D3" i="33"/>
  <c r="E6" i="6"/>
  <c r="C17" i="4"/>
  <c r="B4" i="52" s="1"/>
  <c r="B43" i="72" s="1"/>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87" i="3"/>
  <c r="AY51" i="3"/>
  <c r="AY34" i="3"/>
  <c r="AY207" i="3"/>
  <c r="AY144" i="3"/>
  <c r="AY124" i="3"/>
  <c r="AY95" i="3"/>
  <c r="AY42" i="3"/>
  <c r="AY152" i="3"/>
  <c r="AY281" i="3"/>
  <c r="AY111" i="3"/>
  <c r="AY168" i="3"/>
  <c r="AY253" i="3"/>
  <c r="AY236" i="3"/>
  <c r="AY382" i="3"/>
  <c r="AY366"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83" i="3"/>
  <c r="AY23" i="3"/>
  <c r="AY155" i="3"/>
  <c r="AY59" i="3"/>
  <c r="AY131" i="3"/>
  <c r="AY58" i="3"/>
  <c r="AY268" i="3"/>
  <c r="AY371"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532" i="3"/>
  <c r="AY556" i="3"/>
  <c r="AY66" i="3"/>
  <c r="AY176" i="3"/>
  <c r="AY115" i="3"/>
  <c r="AY188" i="3"/>
  <c r="AY276" i="3"/>
  <c r="AY297" i="3"/>
  <c r="AY225"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C115" i="43"/>
  <c r="S4" i="43"/>
  <c r="S5" i="43"/>
  <c r="S3" i="43"/>
  <c r="C23" i="43"/>
  <c r="C21" i="43" s="1"/>
  <c r="S7" i="43"/>
  <c r="S2" i="43"/>
  <c r="S6" i="43"/>
  <c r="W7" i="37"/>
  <c r="AC7" i="37"/>
  <c r="V42" i="37" s="1"/>
  <c r="I42" i="37" s="1"/>
  <c r="U7" i="37"/>
  <c r="AB7" i="37"/>
  <c r="T42" i="37" s="1"/>
  <c r="G42" i="37" s="1"/>
  <c r="G59" i="34"/>
  <c r="H46" i="36"/>
  <c r="E65" i="40"/>
  <c r="F63" i="40"/>
  <c r="F48" i="35"/>
  <c r="G52" i="21"/>
  <c r="H52" i="21" s="1"/>
  <c r="G53" i="21"/>
  <c r="H53" i="21" s="1"/>
  <c r="I52" i="21"/>
  <c r="J52" i="21" s="1"/>
  <c r="R49" i="21"/>
  <c r="E48" i="21"/>
  <c r="F7" i="37"/>
  <c r="D5" i="71"/>
  <c r="M20" i="43" s="1"/>
  <c r="C19" i="43" s="1"/>
  <c r="C19" i="67"/>
  <c r="C20" i="67" s="1"/>
  <c r="C26" i="67" s="1"/>
  <c r="J24" i="67"/>
  <c r="J26" i="67"/>
  <c r="J29" i="67" s="1"/>
  <c r="J18" i="67"/>
  <c r="C53" i="67"/>
  <c r="C48" i="67" s="1"/>
  <c r="C10" i="67"/>
  <c r="C5" i="67" s="1"/>
  <c r="C53" i="15"/>
  <c r="C48" i="15" s="1"/>
  <c r="F24" i="67"/>
  <c r="C24" i="67" s="1"/>
  <c r="F22" i="68"/>
  <c r="F22" i="11"/>
  <c r="F22" i="69"/>
  <c r="F25" i="12"/>
  <c r="F24" i="15"/>
  <c r="C24" i="15" s="1"/>
  <c r="F27" i="68"/>
  <c r="C16" i="15"/>
  <c r="F41" i="78"/>
  <c r="F41" i="15"/>
  <c r="D113" i="43" l="1"/>
  <c r="F69" i="78"/>
  <c r="J29" i="78"/>
  <c r="C38" i="78"/>
  <c r="C33" i="78"/>
  <c r="C32" i="78"/>
  <c r="C66" i="78"/>
  <c r="C60" i="78"/>
  <c r="C47" i="68"/>
  <c r="D45" i="68" s="1"/>
  <c r="C29" i="68"/>
  <c r="D27" i="68" s="1"/>
  <c r="C49" i="33"/>
  <c r="B2" i="33" s="1"/>
  <c r="B3" i="33" s="1"/>
  <c r="C48" i="33"/>
  <c r="G68" i="39"/>
  <c r="F70" i="39"/>
  <c r="E52" i="33"/>
  <c r="F52" i="33" s="1"/>
  <c r="E53" i="33"/>
  <c r="F53" i="33" s="1"/>
  <c r="K20" i="6"/>
  <c r="E31" i="6"/>
  <c r="K23" i="6"/>
  <c r="M23" i="6" s="1"/>
  <c r="I23" i="6" s="1"/>
  <c r="S23" i="6" s="1"/>
  <c r="K19" i="6"/>
  <c r="K21" i="6"/>
  <c r="M21" i="6" s="1"/>
  <c r="I21" i="6" s="1"/>
  <c r="S21" i="6" s="1"/>
  <c r="K24" i="6"/>
  <c r="M24" i="6" s="1"/>
  <c r="I24" i="6" s="1"/>
  <c r="S24" i="6" s="1"/>
  <c r="K22" i="6"/>
  <c r="M22" i="6" s="1"/>
  <c r="I22" i="6" s="1"/>
  <c r="S22" i="6" s="1"/>
  <c r="K25" i="6"/>
  <c r="M25" i="6" s="1"/>
  <c r="I25" i="6" s="1"/>
  <c r="S25" i="6" s="1"/>
  <c r="K26" i="6"/>
  <c r="M26" i="6" s="1"/>
  <c r="I26" i="6" s="1"/>
  <c r="S26" i="6" s="1"/>
  <c r="J24" i="15"/>
  <c r="J26" i="15"/>
  <c r="J29" i="15" s="1"/>
  <c r="J18" i="15"/>
  <c r="C38" i="69"/>
  <c r="C35" i="69"/>
  <c r="M16" i="1"/>
  <c r="H10" i="40"/>
  <c r="H10" i="39"/>
  <c r="F10" i="39"/>
  <c r="J10" i="40"/>
  <c r="J10" i="39"/>
  <c r="F10" i="40"/>
  <c r="F28" i="12"/>
  <c r="C29" i="12" s="1"/>
  <c r="D28" i="12" s="1"/>
  <c r="F27" i="69"/>
  <c r="F27" i="11"/>
  <c r="F69" i="15"/>
  <c r="D19" i="6"/>
  <c r="M19" i="9" s="1"/>
  <c r="C118" i="9" s="1"/>
  <c r="C14" i="74" s="1"/>
  <c r="B2" i="74" s="1"/>
  <c r="D26" i="6"/>
  <c r="C18" i="4"/>
  <c r="C34" i="40" s="1"/>
  <c r="D8" i="6"/>
  <c r="D23" i="6"/>
  <c r="D14" i="6"/>
  <c r="D25" i="6"/>
  <c r="D22" i="6"/>
  <c r="D24" i="6"/>
  <c r="D6" i="6"/>
  <c r="D9" i="6"/>
  <c r="D10" i="6"/>
  <c r="D29" i="6"/>
  <c r="D15" i="6"/>
  <c r="D21" i="6"/>
  <c r="D20" i="6"/>
  <c r="D5" i="6"/>
  <c r="D12" i="6"/>
  <c r="D11" i="6"/>
  <c r="D13" i="6"/>
  <c r="D28" i="6"/>
  <c r="E61" i="40"/>
  <c r="D17" i="12"/>
  <c r="C17" i="12" s="1"/>
  <c r="C14" i="12"/>
  <c r="C20" i="11"/>
  <c r="C15" i="12"/>
  <c r="C12" i="12"/>
  <c r="D20" i="12"/>
  <c r="C20" i="12" s="1"/>
  <c r="D10" i="11"/>
  <c r="C10" i="11" s="1"/>
  <c r="D10" i="69"/>
  <c r="C8" i="74"/>
  <c r="C7" i="74"/>
  <c r="AA7" i="37"/>
  <c r="R42" i="37" s="1"/>
  <c r="S7" i="37"/>
  <c r="C48" i="21"/>
  <c r="C49" i="21"/>
  <c r="B2" i="21" s="1"/>
  <c r="B3" i="21" s="1"/>
  <c r="E52" i="21"/>
  <c r="F52" i="21" s="1"/>
  <c r="E53" i="21"/>
  <c r="F53" i="21" s="1"/>
  <c r="I53" i="21"/>
  <c r="J53" i="21" s="1"/>
  <c r="G48" i="35"/>
  <c r="H59" i="34"/>
  <c r="G63" i="40"/>
  <c r="F65" i="40"/>
  <c r="I46" i="36"/>
  <c r="G47" i="37"/>
  <c r="H47" i="37" s="1"/>
  <c r="G46" i="37"/>
  <c r="H46" i="37" s="1"/>
  <c r="I46" i="37"/>
  <c r="J46" i="37" s="1"/>
  <c r="C37" i="43"/>
  <c r="T14" i="43"/>
  <c r="V14" i="43" s="1"/>
  <c r="T13" i="43"/>
  <c r="V13" i="43" s="1"/>
  <c r="T4" i="43"/>
  <c r="V4" i="43" s="1"/>
  <c r="C35" i="43"/>
  <c r="C34" i="43"/>
  <c r="T8" i="43"/>
  <c r="V8" i="43" s="1"/>
  <c r="T11" i="43"/>
  <c r="V11" i="43" s="1"/>
  <c r="C36" i="43"/>
  <c r="T10" i="43"/>
  <c r="V10" i="43" s="1"/>
  <c r="T2" i="43"/>
  <c r="V2" i="43" s="1"/>
  <c r="T12" i="43"/>
  <c r="V12" i="43" s="1"/>
  <c r="C29" i="43"/>
  <c r="T7" i="43"/>
  <c r="V7" i="43" s="1"/>
  <c r="T5" i="43"/>
  <c r="V5" i="43" s="1"/>
  <c r="T9" i="43"/>
  <c r="V9" i="43" s="1"/>
  <c r="C38" i="43"/>
  <c r="C33" i="43"/>
  <c r="T6" i="43"/>
  <c r="V6" i="43" s="1"/>
  <c r="T15" i="43"/>
  <c r="V15" i="43" s="1"/>
  <c r="T3" i="43"/>
  <c r="V3" i="43" s="1"/>
  <c r="T16" i="43"/>
  <c r="V16" i="43" s="1"/>
  <c r="C39" i="43"/>
  <c r="C26" i="68"/>
  <c r="D22" i="68" s="1"/>
  <c r="C44" i="68"/>
  <c r="D41" i="68" s="1"/>
  <c r="C38" i="15"/>
  <c r="C32" i="15"/>
  <c r="C26" i="12"/>
  <c r="D25" i="12" s="1"/>
  <c r="C44" i="11"/>
  <c r="D41" i="11" s="1"/>
  <c r="C23" i="11"/>
  <c r="C26" i="11"/>
  <c r="D22" i="11" s="1"/>
  <c r="C24" i="11"/>
  <c r="C23" i="67"/>
  <c r="C29" i="67" s="1"/>
  <c r="C66" i="15"/>
  <c r="C60" i="15"/>
  <c r="C60" i="67"/>
  <c r="C66" i="67"/>
  <c r="C44" i="69"/>
  <c r="D41" i="69" s="1"/>
  <c r="C26" i="69"/>
  <c r="D22" i="69" s="1"/>
  <c r="C38" i="67"/>
  <c r="C32" i="67"/>
  <c r="H24" i="6" l="1"/>
  <c r="H25" i="6"/>
  <c r="R25" i="6" s="1"/>
  <c r="D30" i="6"/>
  <c r="M20" i="6"/>
  <c r="I20" i="6" s="1"/>
  <c r="S20" i="6" s="1"/>
  <c r="S7" i="1"/>
  <c r="H22" i="6"/>
  <c r="H26" i="6"/>
  <c r="R26" i="6" s="1"/>
  <c r="H20" i="6"/>
  <c r="R20" i="6" s="1"/>
  <c r="R7" i="1" s="1"/>
  <c r="C28" i="11"/>
  <c r="C27" i="11" s="1"/>
  <c r="R22" i="6"/>
  <c r="G70" i="39"/>
  <c r="H68" i="39"/>
  <c r="H21" i="6"/>
  <c r="R21" i="6" s="1"/>
  <c r="H23" i="6"/>
  <c r="R23" i="6" s="1"/>
  <c r="K27" i="6"/>
  <c r="S6" i="1"/>
  <c r="M19" i="6"/>
  <c r="C25" i="11"/>
  <c r="C22" i="11" s="1"/>
  <c r="C29" i="11"/>
  <c r="D27" i="11" s="1"/>
  <c r="C47" i="11"/>
  <c r="D45" i="11" s="1"/>
  <c r="W10" i="39"/>
  <c r="AC10" i="39"/>
  <c r="AA10" i="39"/>
  <c r="S10" i="39"/>
  <c r="U10" i="40"/>
  <c r="AB10" i="40"/>
  <c r="C47" i="69"/>
  <c r="D45" i="69" s="1"/>
  <c r="C29" i="69"/>
  <c r="D27" i="69" s="1"/>
  <c r="S10" i="40"/>
  <c r="AA10" i="40"/>
  <c r="AC10" i="40"/>
  <c r="W10" i="40"/>
  <c r="AB10" i="39"/>
  <c r="U10" i="39"/>
  <c r="N16" i="1"/>
  <c r="C34" i="11"/>
  <c r="L16" i="1"/>
  <c r="H34" i="40"/>
  <c r="J34" i="40"/>
  <c r="F34" i="40"/>
  <c r="C16" i="12"/>
  <c r="D16" i="6"/>
  <c r="C10" i="69"/>
  <c r="C8" i="69" s="1"/>
  <c r="C5" i="69" s="1"/>
  <c r="D19" i="69"/>
  <c r="D8" i="74"/>
  <c r="D7" i="74"/>
  <c r="R24" i="6"/>
  <c r="C4" i="52"/>
  <c r="B45" i="72" s="1"/>
  <c r="A10" i="51"/>
  <c r="B9" i="72" s="1"/>
  <c r="A7" i="51"/>
  <c r="B7" i="72" s="1"/>
  <c r="D27" i="6"/>
  <c r="J46" i="36"/>
  <c r="H63" i="40"/>
  <c r="G65" i="40"/>
  <c r="I59" i="34"/>
  <c r="H48" i="35"/>
  <c r="I48" i="35" s="1"/>
  <c r="J48" i="35" s="1"/>
  <c r="K48" i="35" s="1"/>
  <c r="L48" i="35" s="1"/>
  <c r="M48" i="35" s="1"/>
  <c r="N48" i="35" s="1"/>
  <c r="O48" i="35" s="1"/>
  <c r="R43" i="37"/>
  <c r="E42" i="37"/>
  <c r="G33" i="43"/>
  <c r="I33" i="43" s="1"/>
  <c r="E33" i="43"/>
  <c r="G34" i="43"/>
  <c r="I34" i="43" s="1"/>
  <c r="E34" i="43"/>
  <c r="G39" i="43"/>
  <c r="I39" i="43" s="1"/>
  <c r="E39" i="43"/>
  <c r="E38" i="43"/>
  <c r="G38" i="43"/>
  <c r="I38" i="43" s="1"/>
  <c r="E29" i="43"/>
  <c r="C30" i="43"/>
  <c r="E30" i="43" s="1"/>
  <c r="G36" i="43"/>
  <c r="I36" i="43" s="1"/>
  <c r="E36" i="43"/>
  <c r="G35" i="43"/>
  <c r="I35" i="43" s="1"/>
  <c r="E35" i="43"/>
  <c r="G37" i="43"/>
  <c r="I37" i="43" s="1"/>
  <c r="E37" i="43"/>
  <c r="C33" i="15"/>
  <c r="J59" i="15"/>
  <c r="J60" i="15" s="1"/>
  <c r="C33" i="67"/>
  <c r="C31" i="67" s="1"/>
  <c r="J14" i="67"/>
  <c r="C57" i="67"/>
  <c r="C13" i="67"/>
  <c r="J19" i="67"/>
  <c r="J17" i="67" s="1"/>
  <c r="Q49" i="67"/>
  <c r="C36" i="67"/>
  <c r="J59" i="67"/>
  <c r="J60" i="67" s="1"/>
  <c r="D10" i="68"/>
  <c r="C17" i="78"/>
  <c r="C17" i="15"/>
  <c r="C31" i="11" l="1"/>
  <c r="D31" i="6"/>
  <c r="I6" i="6" s="1"/>
  <c r="C11" i="40" s="1"/>
  <c r="E7" i="70"/>
  <c r="AR7" i="1"/>
  <c r="T7" i="1"/>
  <c r="AQ7" i="1"/>
  <c r="H70" i="39"/>
  <c r="I68" i="39"/>
  <c r="J7" i="35"/>
  <c r="C10" i="68"/>
  <c r="D19" i="68"/>
  <c r="D37" i="68" s="1"/>
  <c r="C37" i="68" s="1"/>
  <c r="AQ6" i="1"/>
  <c r="T6" i="1"/>
  <c r="S16" i="1"/>
  <c r="AR6" i="1"/>
  <c r="E6" i="70"/>
  <c r="I19" i="6"/>
  <c r="M27" i="6"/>
  <c r="C35" i="11"/>
  <c r="C38" i="11"/>
  <c r="F50" i="69"/>
  <c r="F50" i="68"/>
  <c r="F50" i="11"/>
  <c r="AA34" i="40"/>
  <c r="S34" i="40"/>
  <c r="AB34" i="40"/>
  <c r="U34" i="40"/>
  <c r="AC34" i="40"/>
  <c r="W34" i="40"/>
  <c r="C19" i="68"/>
  <c r="C23" i="69"/>
  <c r="C19" i="69"/>
  <c r="C24" i="69" s="1"/>
  <c r="D37" i="69"/>
  <c r="C37" i="69" s="1"/>
  <c r="C33" i="69" s="1"/>
  <c r="C43" i="37"/>
  <c r="B2" i="37" s="1"/>
  <c r="B3" i="37" s="1"/>
  <c r="C42" i="37"/>
  <c r="E47" i="37"/>
  <c r="F47" i="37" s="1"/>
  <c r="E46" i="37"/>
  <c r="F46" i="37" s="1"/>
  <c r="I47" i="37"/>
  <c r="J47" i="37" s="1"/>
  <c r="F7" i="35"/>
  <c r="H7" i="35"/>
  <c r="J59" i="34"/>
  <c r="I63" i="40"/>
  <c r="H65" i="40"/>
  <c r="K46" i="36"/>
  <c r="W7" i="35"/>
  <c r="AC7" i="35"/>
  <c r="V38" i="35" s="1"/>
  <c r="I38" i="35" s="1"/>
  <c r="C26" i="43"/>
  <c r="B2" i="43" s="1"/>
  <c r="C27" i="43"/>
  <c r="Q48" i="67"/>
  <c r="C75" i="67"/>
  <c r="C37" i="67"/>
  <c r="C30" i="67" s="1"/>
  <c r="C39" i="67" s="1"/>
  <c r="Q70" i="67"/>
  <c r="C56" i="67"/>
  <c r="C65" i="67" s="1"/>
  <c r="J13" i="67"/>
  <c r="J23" i="67" s="1"/>
  <c r="J22" i="67"/>
  <c r="Q48" i="15"/>
  <c r="C61" i="67"/>
  <c r="C59" i="67" s="1"/>
  <c r="C64" i="67"/>
  <c r="C34" i="68"/>
  <c r="I34" i="68" s="1"/>
  <c r="C14" i="78"/>
  <c r="E6" i="76"/>
  <c r="B6" i="76"/>
  <c r="C14" i="15"/>
  <c r="B29" i="1" l="1"/>
  <c r="C18" i="12" s="1"/>
  <c r="C21" i="12" s="1"/>
  <c r="I5" i="6"/>
  <c r="E2" i="70"/>
  <c r="C15" i="78"/>
  <c r="C18" i="78"/>
  <c r="I70" i="39"/>
  <c r="J68" i="39"/>
  <c r="F11" i="40"/>
  <c r="H11" i="40"/>
  <c r="J11" i="40"/>
  <c r="C35" i="68"/>
  <c r="C38" i="68"/>
  <c r="C18" i="15"/>
  <c r="C15" i="15"/>
  <c r="L18" i="9"/>
  <c r="H19" i="6"/>
  <c r="S19" i="6"/>
  <c r="S27" i="6" s="1"/>
  <c r="I27" i="6"/>
  <c r="T16" i="1"/>
  <c r="C33" i="11"/>
  <c r="C42" i="11" s="1"/>
  <c r="C20" i="69"/>
  <c r="C25" i="69" s="1"/>
  <c r="C22" i="69" s="1"/>
  <c r="C39" i="69"/>
  <c r="C42" i="69"/>
  <c r="C24" i="68"/>
  <c r="I42" i="35"/>
  <c r="J42" i="35" s="1"/>
  <c r="U7" i="35"/>
  <c r="AB7" i="35"/>
  <c r="T38" i="35" s="1"/>
  <c r="G38" i="35" s="1"/>
  <c r="L46" i="36"/>
  <c r="J63" i="40"/>
  <c r="I65" i="40"/>
  <c r="K59" i="34"/>
  <c r="L59" i="34" s="1"/>
  <c r="M59" i="34" s="1"/>
  <c r="N59" i="34" s="1"/>
  <c r="O59" i="34" s="1"/>
  <c r="F7" i="34" s="1"/>
  <c r="H7" i="34"/>
  <c r="J7" i="34"/>
  <c r="AA7" i="35"/>
  <c r="R38" i="35" s="1"/>
  <c r="S7" i="35"/>
  <c r="E2" i="76"/>
  <c r="B2" i="76"/>
  <c r="B3" i="43"/>
  <c r="J16" i="67"/>
  <c r="J25" i="67" s="1"/>
  <c r="C40" i="67"/>
  <c r="Q69" i="67"/>
  <c r="Q68" i="67" s="1"/>
  <c r="C58" i="67"/>
  <c r="C67" i="67" s="1"/>
  <c r="C68" i="67" s="1"/>
  <c r="C80" i="67"/>
  <c r="C79" i="67" s="1"/>
  <c r="L51" i="67"/>
  <c r="C8" i="68" l="1"/>
  <c r="C22" i="12"/>
  <c r="C30" i="12" s="1"/>
  <c r="C28" i="12" s="1"/>
  <c r="C19" i="78"/>
  <c r="C20" i="78" s="1"/>
  <c r="C26" i="78" s="1"/>
  <c r="C33" i="68"/>
  <c r="C42" i="68" s="1"/>
  <c r="C19" i="15"/>
  <c r="K68" i="39"/>
  <c r="J70" i="39"/>
  <c r="AB11" i="40"/>
  <c r="U11" i="40"/>
  <c r="W11" i="40"/>
  <c r="AC11" i="40"/>
  <c r="AA11" i="40"/>
  <c r="S11" i="40"/>
  <c r="C39" i="11"/>
  <c r="C43" i="11" s="1"/>
  <c r="C41" i="11" s="1"/>
  <c r="C20" i="15"/>
  <c r="C26" i="15" s="1"/>
  <c r="L19" i="9"/>
  <c r="H27" i="6"/>
  <c r="R19" i="6"/>
  <c r="C28" i="69"/>
  <c r="C27" i="69" s="1"/>
  <c r="C31" i="69" s="1"/>
  <c r="C46" i="69"/>
  <c r="C45" i="69" s="1"/>
  <c r="C43" i="69"/>
  <c r="C41" i="69" s="1"/>
  <c r="S7" i="34"/>
  <c r="AA7" i="34"/>
  <c r="R49" i="34" s="1"/>
  <c r="R39" i="35"/>
  <c r="E38" i="35"/>
  <c r="U7" i="34"/>
  <c r="AB7" i="34"/>
  <c r="T49" i="34" s="1"/>
  <c r="G49" i="34" s="1"/>
  <c r="W7" i="34"/>
  <c r="AC7" i="34"/>
  <c r="V49" i="34" s="1"/>
  <c r="I49" i="34" s="1"/>
  <c r="J65" i="40"/>
  <c r="K63" i="40"/>
  <c r="M46" i="36"/>
  <c r="G42" i="35"/>
  <c r="H42" i="35" s="1"/>
  <c r="G43" i="35"/>
  <c r="H43" i="35" s="1"/>
  <c r="B3" i="76"/>
  <c r="Q67" i="67"/>
  <c r="L57" i="67"/>
  <c r="L60" i="67" s="1"/>
  <c r="L46" i="67" s="1"/>
  <c r="D2" i="67" s="1"/>
  <c r="C71" i="67"/>
  <c r="C45" i="67"/>
  <c r="C46" i="67" s="1"/>
  <c r="Q56" i="67"/>
  <c r="Q47" i="67"/>
  <c r="Q53" i="67" s="1"/>
  <c r="Q65" i="67"/>
  <c r="C43" i="67"/>
  <c r="C83" i="67"/>
  <c r="C82" i="67" s="1"/>
  <c r="C27" i="12" l="1"/>
  <c r="C25" i="12" s="1"/>
  <c r="C32" i="12" s="1"/>
  <c r="B2" i="12" s="1"/>
  <c r="B3" i="12" s="1"/>
  <c r="C23" i="78"/>
  <c r="C29" i="78" s="1"/>
  <c r="C57" i="78" s="1"/>
  <c r="C39" i="68"/>
  <c r="C43" i="68" s="1"/>
  <c r="C41" i="68" s="1"/>
  <c r="K70" i="39"/>
  <c r="L68" i="39"/>
  <c r="C46" i="11"/>
  <c r="C45" i="11" s="1"/>
  <c r="C49" i="11" s="1"/>
  <c r="C51" i="11" s="1"/>
  <c r="C52" i="11" s="1"/>
  <c r="B2" i="11" s="1"/>
  <c r="B3" i="11" s="1"/>
  <c r="C23" i="15"/>
  <c r="C29" i="15" s="1"/>
  <c r="J19" i="15" s="1"/>
  <c r="R27" i="6"/>
  <c r="R6" i="1"/>
  <c r="C49" i="69"/>
  <c r="C51" i="69" s="1"/>
  <c r="C52" i="69" s="1"/>
  <c r="B2" i="69" s="1"/>
  <c r="B3" i="69" s="1"/>
  <c r="N46" i="36"/>
  <c r="O46" i="36" s="1"/>
  <c r="F7" i="36" s="1"/>
  <c r="C39" i="35"/>
  <c r="B2" i="35" s="1"/>
  <c r="B3" i="35" s="1"/>
  <c r="C38" i="35"/>
  <c r="H7" i="36"/>
  <c r="L63" i="40"/>
  <c r="K65" i="40"/>
  <c r="I53" i="34"/>
  <c r="J53" i="34" s="1"/>
  <c r="G53" i="34"/>
  <c r="H53" i="34" s="1"/>
  <c r="G54" i="34"/>
  <c r="H54" i="34" s="1"/>
  <c r="E43" i="35"/>
  <c r="F43" i="35" s="1"/>
  <c r="E42" i="35"/>
  <c r="F42" i="35" s="1"/>
  <c r="I43" i="35"/>
  <c r="J43" i="35" s="1"/>
  <c r="E49" i="34"/>
  <c r="R50" i="34"/>
  <c r="Q66" i="67"/>
  <c r="Q75" i="67" s="1"/>
  <c r="Q57" i="67"/>
  <c r="Q62" i="67" s="1"/>
  <c r="B2" i="67"/>
  <c r="B3" i="67"/>
  <c r="M21" i="15"/>
  <c r="M21" i="78"/>
  <c r="F35" i="78"/>
  <c r="F35" i="15"/>
  <c r="C36" i="78" l="1"/>
  <c r="Q49" i="78"/>
  <c r="J19" i="78"/>
  <c r="J14" i="78"/>
  <c r="J22" i="78" s="1"/>
  <c r="C13" i="78"/>
  <c r="C37" i="78" s="1"/>
  <c r="J13" i="78"/>
  <c r="J23" i="78" s="1"/>
  <c r="C64" i="78"/>
  <c r="C61" i="78"/>
  <c r="J20" i="78"/>
  <c r="F63" i="78"/>
  <c r="C62" i="78" s="1"/>
  <c r="C34" i="78"/>
  <c r="C31" i="78" s="1"/>
  <c r="C56" i="11"/>
  <c r="C57" i="11" s="1"/>
  <c r="C46" i="68"/>
  <c r="C45" i="68" s="1"/>
  <c r="C49" i="68" s="1"/>
  <c r="C51" i="68" s="1"/>
  <c r="M68" i="39"/>
  <c r="L70" i="39"/>
  <c r="C57" i="15"/>
  <c r="C61" i="15" s="1"/>
  <c r="J14" i="15"/>
  <c r="J22" i="15" s="1"/>
  <c r="C13" i="15"/>
  <c r="Q70" i="15" s="1"/>
  <c r="Q49" i="15"/>
  <c r="C36" i="15"/>
  <c r="J20" i="15"/>
  <c r="J17" i="15" s="1"/>
  <c r="F63" i="15"/>
  <c r="C62" i="15" s="1"/>
  <c r="C34" i="15"/>
  <c r="C31" i="15" s="1"/>
  <c r="R16" i="1"/>
  <c r="C57" i="69"/>
  <c r="C56" i="69" s="1"/>
  <c r="U7" i="36"/>
  <c r="AB7" i="36"/>
  <c r="T36" i="36" s="1"/>
  <c r="G36" i="36" s="1"/>
  <c r="E54" i="34"/>
  <c r="F54" i="34" s="1"/>
  <c r="E53" i="34"/>
  <c r="F53" i="34" s="1"/>
  <c r="S7" i="36"/>
  <c r="AA7" i="36"/>
  <c r="R36" i="36" s="1"/>
  <c r="C49" i="34"/>
  <c r="C50" i="34"/>
  <c r="B2" i="34" s="1"/>
  <c r="B3" i="34" s="1"/>
  <c r="I54" i="34"/>
  <c r="J54" i="34" s="1"/>
  <c r="L65" i="40"/>
  <c r="M63" i="40"/>
  <c r="J7" i="36"/>
  <c r="C75" i="78" l="1"/>
  <c r="C59" i="78"/>
  <c r="C56" i="15"/>
  <c r="C65" i="15" s="1"/>
  <c r="J17" i="78"/>
  <c r="J16" i="78" s="1"/>
  <c r="J25" i="78" s="1"/>
  <c r="Q70" i="78"/>
  <c r="C30" i="78"/>
  <c r="C39" i="78" s="1"/>
  <c r="C40" i="78" s="1"/>
  <c r="C56" i="78"/>
  <c r="C65" i="78" s="1"/>
  <c r="J13" i="15"/>
  <c r="J23" i="15" s="1"/>
  <c r="J16" i="15" s="1"/>
  <c r="J25" i="15" s="1"/>
  <c r="N68" i="39"/>
  <c r="M70" i="39"/>
  <c r="C75" i="15"/>
  <c r="C64" i="15"/>
  <c r="C59" i="15"/>
  <c r="C37" i="15"/>
  <c r="C30" i="15" s="1"/>
  <c r="C39" i="15" s="1"/>
  <c r="Q69" i="15" s="1"/>
  <c r="Q68" i="15" s="1"/>
  <c r="E36" i="36"/>
  <c r="R37" i="36"/>
  <c r="G40" i="36"/>
  <c r="H40" i="36" s="1"/>
  <c r="AC7" i="36"/>
  <c r="V36" i="36" s="1"/>
  <c r="I36" i="36" s="1"/>
  <c r="G41" i="36" s="1"/>
  <c r="H41" i="36" s="1"/>
  <c r="W7" i="36"/>
  <c r="M65" i="40"/>
  <c r="N63" i="40"/>
  <c r="L51" i="78"/>
  <c r="L57" i="78" l="1"/>
  <c r="L60" i="78" s="1"/>
  <c r="C58" i="78"/>
  <c r="C67" i="78" s="1"/>
  <c r="C68" i="78" s="1"/>
  <c r="C71" i="78" s="1"/>
  <c r="Q69" i="78"/>
  <c r="C80" i="78"/>
  <c r="C79" i="78" s="1"/>
  <c r="Q68" i="78"/>
  <c r="C46" i="78"/>
  <c r="Q67" i="78"/>
  <c r="Q47" i="78"/>
  <c r="Q53" i="78" s="1"/>
  <c r="Q56" i="78"/>
  <c r="C43" i="78"/>
  <c r="Q65" i="78"/>
  <c r="C83" i="78"/>
  <c r="C82" i="78" s="1"/>
  <c r="O68" i="39"/>
  <c r="O70" i="39" s="1"/>
  <c r="N70" i="39"/>
  <c r="H7" i="39"/>
  <c r="C80" i="15"/>
  <c r="C79" i="15" s="1"/>
  <c r="C58" i="15"/>
  <c r="C67" i="15" s="1"/>
  <c r="C68" i="15" s="1"/>
  <c r="C71" i="15" s="1"/>
  <c r="C40" i="15"/>
  <c r="Q65" i="15" s="1"/>
  <c r="O63" i="40"/>
  <c r="O65" i="40" s="1"/>
  <c r="N65" i="40"/>
  <c r="C37" i="36"/>
  <c r="B2" i="36" s="1"/>
  <c r="B3" i="36" s="1"/>
  <c r="C36" i="36"/>
  <c r="I40" i="36"/>
  <c r="J40" i="36" s="1"/>
  <c r="I41" i="36"/>
  <c r="J41" i="36" s="1"/>
  <c r="E40" i="36"/>
  <c r="F40" i="36" s="1"/>
  <c r="E41" i="36"/>
  <c r="F41" i="36" s="1"/>
  <c r="L51" i="15"/>
  <c r="L57" i="15" l="1"/>
  <c r="L60" i="15" s="1"/>
  <c r="Q57" i="78"/>
  <c r="Q62" i="78" s="1"/>
  <c r="Q66" i="78"/>
  <c r="Q75" i="78" s="1"/>
  <c r="L46" i="78"/>
  <c r="B2" i="78" s="1"/>
  <c r="B3" i="78" s="1"/>
  <c r="Q67" i="15"/>
  <c r="AB7" i="39"/>
  <c r="T47" i="39" s="1"/>
  <c r="G47" i="39" s="1"/>
  <c r="U7" i="39"/>
  <c r="F7" i="39"/>
  <c r="J7" i="39"/>
  <c r="Q47" i="15"/>
  <c r="Q53" i="15" s="1"/>
  <c r="C83" i="15"/>
  <c r="C82" i="15" s="1"/>
  <c r="C46" i="15"/>
  <c r="C43" i="15"/>
  <c r="Q56" i="15"/>
  <c r="H7" i="40"/>
  <c r="J7" i="40"/>
  <c r="F7" i="40"/>
  <c r="AO7" i="1"/>
  <c r="L46" i="15" l="1"/>
  <c r="B2" i="15" s="1"/>
  <c r="B3" i="15" s="1"/>
  <c r="Q57" i="15"/>
  <c r="Q62" i="15" s="1"/>
  <c r="Q66" i="15"/>
  <c r="Q75" i="15" s="1"/>
  <c r="B7" i="70"/>
  <c r="AC7" i="39"/>
  <c r="V47" i="39" s="1"/>
  <c r="I47" i="39" s="1"/>
  <c r="G52" i="39" s="1"/>
  <c r="H52" i="39" s="1"/>
  <c r="W7" i="39"/>
  <c r="S7" i="39"/>
  <c r="AA7" i="39"/>
  <c r="R47" i="39" s="1"/>
  <c r="G51" i="39"/>
  <c r="H51" i="39" s="1"/>
  <c r="W7" i="40"/>
  <c r="AC7" i="40"/>
  <c r="V42" i="40" s="1"/>
  <c r="I42" i="40" s="1"/>
  <c r="S7" i="40"/>
  <c r="AA7" i="40"/>
  <c r="R42" i="40" s="1"/>
  <c r="U7" i="40"/>
  <c r="AB7" i="40"/>
  <c r="T42" i="40" s="1"/>
  <c r="G42" i="40" s="1"/>
  <c r="AO6" i="1"/>
  <c r="B6" i="70" l="1"/>
  <c r="B2" i="70" s="1"/>
  <c r="R48" i="39"/>
  <c r="E47" i="39"/>
  <c r="I51" i="39"/>
  <c r="J51" i="39" s="1"/>
  <c r="I52" i="39"/>
  <c r="J52" i="39" s="1"/>
  <c r="I46" i="40"/>
  <c r="J46" i="40" s="1"/>
  <c r="G46" i="40"/>
  <c r="H46" i="40" s="1"/>
  <c r="G47" i="40"/>
  <c r="H47" i="40" s="1"/>
  <c r="E42" i="40"/>
  <c r="I47" i="40" s="1"/>
  <c r="J47" i="40" s="1"/>
  <c r="R43" i="40"/>
  <c r="D19" i="9"/>
  <c r="D21" i="9" l="1"/>
  <c r="D102" i="9"/>
  <c r="B3" i="70"/>
  <c r="E51" i="39"/>
  <c r="F51" i="39" s="1"/>
  <c r="E52" i="39"/>
  <c r="F52" i="39" s="1"/>
  <c r="C48" i="39"/>
  <c r="C47" i="39"/>
  <c r="C43" i="40"/>
  <c r="C42" i="40"/>
  <c r="E47" i="40"/>
  <c r="F47" i="40" s="1"/>
  <c r="E46" i="40"/>
  <c r="F46" i="40" s="1"/>
  <c r="D20" i="9"/>
  <c r="D103" i="9" l="1"/>
  <c r="B58" i="39"/>
  <c r="F58" i="39" s="1"/>
  <c r="B57" i="39"/>
  <c r="F57" i="39" s="1"/>
  <c r="B61" i="39"/>
  <c r="F61" i="39" s="1"/>
  <c r="B59" i="39"/>
  <c r="F59" i="39" s="1"/>
  <c r="B63" i="39"/>
  <c r="F63" i="39" s="1"/>
  <c r="B60" i="39"/>
  <c r="F60" i="39" s="1"/>
  <c r="B64" i="39"/>
  <c r="F64" i="39" s="1"/>
  <c r="B62" i="39"/>
  <c r="F62" i="39" s="1"/>
  <c r="B56" i="39"/>
  <c r="F56" i="39" s="1"/>
  <c r="F66" i="39" s="1"/>
  <c r="B2" i="39" s="1"/>
  <c r="B3" i="39" s="1"/>
  <c r="B65" i="39"/>
  <c r="F65" i="39" s="1"/>
  <c r="B55" i="40"/>
  <c r="F55" i="40" s="1"/>
  <c r="B60" i="40"/>
  <c r="F60" i="40" s="1"/>
  <c r="B57" i="40"/>
  <c r="F57" i="40" s="1"/>
  <c r="B59" i="40"/>
  <c r="F59" i="40" s="1"/>
  <c r="B56" i="40"/>
  <c r="F56" i="40" s="1"/>
  <c r="B54" i="40"/>
  <c r="F54" i="40" s="1"/>
  <c r="B53" i="40"/>
  <c r="F53" i="40" s="1"/>
  <c r="B58" i="40"/>
  <c r="F58" i="40" s="1"/>
  <c r="B52" i="40"/>
  <c r="F52" i="40" s="1"/>
  <c r="B51" i="40"/>
  <c r="F51" i="40" s="1"/>
  <c r="F61" i="40" l="1"/>
  <c r="B2" i="40" s="1"/>
  <c r="B3" i="40" l="1"/>
  <c r="C6" i="68"/>
  <c r="C7" i="68" s="1"/>
  <c r="C5" i="68" s="1"/>
  <c r="C23" i="68" l="1"/>
  <c r="C20" i="68"/>
  <c r="C25" i="68" s="1"/>
  <c r="C28" i="68" l="1"/>
  <c r="C27" i="68" s="1"/>
  <c r="C22" i="68"/>
  <c r="C31" i="68" l="1"/>
  <c r="C52" i="68" s="1"/>
  <c r="B2" i="68" s="1"/>
  <c r="C19" i="9"/>
  <c r="C57" i="68" l="1"/>
  <c r="C56" i="68" s="1"/>
  <c r="D22" i="9"/>
  <c r="C21" i="9"/>
  <c r="C102" i="9"/>
  <c r="G19" i="9"/>
  <c r="B3" i="68"/>
  <c r="I31" i="68" s="1"/>
  <c r="C20" i="9"/>
  <c r="D34" i="9"/>
  <c r="I30" i="68" l="1"/>
  <c r="C103" i="9"/>
  <c r="G20" i="9"/>
  <c r="C32" i="9"/>
  <c r="G21" i="9"/>
  <c r="D35" i="9"/>
  <c r="H118" i="9" l="1"/>
  <c r="C35" i="9"/>
  <c r="F118" i="9" s="1"/>
  <c r="F4" i="52" l="1"/>
  <c r="B51" i="72" s="1"/>
  <c r="F119" i="9"/>
  <c r="F5" i="52" s="1"/>
  <c r="B53" i="72" s="1"/>
  <c r="G118" i="9"/>
  <c r="G4" i="52" s="1"/>
  <c r="B52" i="72" s="1"/>
  <c r="C34" i="9"/>
  <c r="D118" i="9" s="1"/>
  <c r="J118" i="9" s="1"/>
  <c r="D14" i="74"/>
  <c r="C104" i="9"/>
  <c r="I118" i="9"/>
  <c r="H119" i="9"/>
  <c r="H5" i="52" s="1"/>
  <c r="H4" i="52"/>
  <c r="H101" i="9"/>
  <c r="D119" i="9" l="1"/>
  <c r="D5" i="52" s="1"/>
  <c r="B49" i="72" s="1"/>
  <c r="D4" i="52"/>
  <c r="B47" i="72" s="1"/>
  <c r="D5" i="53"/>
  <c r="M48" i="9"/>
  <c r="H107" i="9"/>
  <c r="D45" i="9"/>
  <c r="C105" i="9"/>
  <c r="I4" i="52"/>
  <c r="H102" i="9"/>
  <c r="D7" i="53" s="1"/>
  <c r="B21" i="72" s="1"/>
  <c r="E118" i="9"/>
  <c r="E4" i="52" s="1"/>
  <c r="B48" i="72" s="1"/>
  <c r="E14" i="74"/>
  <c r="B5" i="74"/>
  <c r="F14" i="74"/>
  <c r="C5" i="74" l="1"/>
  <c r="D5" i="74"/>
  <c r="D55" i="9"/>
  <c r="M53" i="9" s="1"/>
  <c r="C78" i="9"/>
  <c r="C73" i="9" s="1"/>
  <c r="C72" i="9"/>
  <c r="D52" i="9"/>
  <c r="C93" i="9"/>
  <c r="C86" i="9" s="1"/>
  <c r="D53" i="9"/>
  <c r="C64" i="9"/>
  <c r="C63" i="9" s="1"/>
  <c r="C67" i="9" s="1"/>
  <c r="C68" i="9" s="1"/>
  <c r="D54" i="9" s="1"/>
  <c r="C85" i="9"/>
  <c r="M49" i="9"/>
  <c r="D122" i="9"/>
  <c r="H108" i="9"/>
  <c r="D15" i="53" s="1"/>
  <c r="B31" i="72" s="1"/>
  <c r="D13" i="53"/>
  <c r="B20" i="72"/>
  <c r="D6" i="53"/>
  <c r="B22" i="72" s="1"/>
  <c r="C79" i="9" l="1"/>
  <c r="C80" i="9" s="1"/>
  <c r="E80" i="9" s="1"/>
  <c r="E81" i="9" s="1"/>
  <c r="B30" i="72"/>
  <c r="D14" i="53"/>
  <c r="B32" i="72" s="1"/>
  <c r="D8" i="52"/>
  <c r="G14" i="74"/>
  <c r="B6" i="74" s="1"/>
  <c r="D123" i="9"/>
  <c r="D9" i="52" s="1"/>
  <c r="C95" i="9"/>
  <c r="L65" i="9"/>
  <c r="M65" i="9" s="1"/>
  <c r="L67" i="9"/>
  <c r="M67" i="9" s="1"/>
  <c r="L66" i="9"/>
  <c r="M66" i="9" s="1"/>
  <c r="L64" i="9"/>
  <c r="M64" i="9" s="1"/>
  <c r="L68" i="9"/>
  <c r="M68" i="9" s="1"/>
  <c r="L63" i="9"/>
  <c r="M63" i="9" s="1"/>
  <c r="C81" i="9" l="1"/>
  <c r="M69" i="9"/>
  <c r="N69" i="9" s="1"/>
  <c r="C96" i="9"/>
  <c r="E96" i="9" s="1"/>
  <c r="E97" i="9" s="1"/>
  <c r="D6" i="74"/>
  <c r="C6" i="74"/>
  <c r="C97" i="9" l="1"/>
  <c r="D58" i="9" s="1"/>
  <c r="D56" i="9" s="1"/>
  <c r="M54" i="9" s="1"/>
  <c r="N57" i="9" s="1"/>
  <c r="N59" i="9" s="1"/>
  <c r="N58" i="9" l="1"/>
  <c r="P57"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<sst xmlns="http://schemas.openxmlformats.org/spreadsheetml/2006/main" count="8547" uniqueCount="3359">
  <si>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</si>
  <si>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</si>
  <si>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</si>
  <si>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</si>
  <si>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</si>
  <si>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</si>
  <si>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</si>
  <si>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</si>
  <si>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</si>
  <si>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</si>
  <si>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</si>
  <si>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</si>
  <si>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</si>
  <si>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</si>
  <si>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</si>
  <si>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</si>
  <si>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</si>
  <si>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</si>
  <si>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</si>
  <si>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</si>
  <si>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</si>
  <si>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</si>
  <si>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</si>
  <si>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</si>
  <si>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</si>
  <si>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</si>
  <si>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</si>
  <si>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</si>
  <si>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</si>
  <si>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</si>
  <si>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</si>
  <si>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</si>
  <si>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</si>
  <si>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</si>
  <si>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</si>
  <si>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</si>
  <si>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</si>
  <si>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</si>
  <si>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</si>
  <si>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</si>
  <si>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</si>
  <si>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</si>
  <si>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</si>
  <si>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</si>
  <si>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</si>
  <si>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</si>
  <si>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</si>
  <si>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</si>
  <si>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</si>
  <si>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</si>
  <si>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</si>
  <si>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</si>
  <si>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</si>
  <si>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</si>
  <si>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</si>
  <si>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</si>
  <si>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</si>
  <si>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</si>
  <si>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</si>
  <si>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</si>
  <si>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</si>
  <si>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</si>
  <si>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</si>
  <si>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</si>
  <si>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</si>
  <si>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</si>
  <si>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</si>
  <si>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</si>
  <si>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</si>
  <si>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</si>
  <si>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</si>
  <si>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</si>
  <si>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</si>
  <si>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</si>
  <si>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</si>
  <si>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</si>
  <si>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</si>
  <si>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</si>
  <si>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</si>
  <si>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</si>
  <si>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</si>
  <si>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</si>
  <si>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</si>
  <si>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</si>
  <si>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</si>
  <si>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</si>
  <si>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</si>
  <si>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</si>
  <si>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</si>
  <si>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</si>
  <si>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</si>
  <si>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</si>
  <si>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</si>
  <si>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</si>
  <si>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</si>
  <si>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</si>
  <si>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</si>
  <si>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</si>
  <si>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</si>
  <si>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</si>
  <si>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</si>
  <si>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</si>
  <si>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</si>
  <si>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</si>
  <si>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</si>
  <si>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</si>
  <si>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</si>
  <si>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</si>
  <si>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</si>
  <si>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</si>
  <si>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</si>
  <si>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</si>
  <si>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</si>
  <si>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</si>
  <si>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</si>
  <si>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</si>
  <si>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</si>
  <si>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</si>
  <si>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</si>
  <si>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</si>
  <si>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</si>
  <si>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</si>
  <si>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</si>
  <si>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</si>
  <si>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</si>
  <si>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</si>
  <si>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</si>
  <si>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</si>
  <si>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</si>
  <si>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</si>
  <si>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</si>
  <si>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</si>
  <si>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</si>
  <si>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</si>
  <si>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</si>
  <si>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</si>
  <si>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</si>
  <si>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</si>
  <si>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</si>
  <si>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</si>
  <si>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</si>
  <si>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</si>
  <si>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</si>
  <si>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</si>
  <si>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</si>
  <si>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</si>
  <si>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</si>
  <si>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</si>
  <si>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</si>
  <si>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</si>
  <si>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</si>
  <si>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</si>
  <si>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</si>
  <si>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</si>
  <si>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</si>
  <si>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</si>
  <si>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</si>
  <si>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</si>
  <si>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</si>
  <si>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</si>
  <si>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</si>
  <si>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</si>
  <si>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</si>
  <si>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</si>
  <si>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</si>
  <si>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</si>
  <si>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</si>
  <si>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</si>
  <si>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</si>
  <si>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</si>
  <si>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</si>
  <si>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</si>
  <si>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</si>
  <si>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</si>
  <si>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</si>
  <si>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</si>
  <si>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</si>
  <si>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</si>
  <si>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</si>
  <si>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</si>
  <si>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</si>
  <si>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</si>
  <si>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</si>
  <si>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</si>
  <si>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</si>
  <si>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</si>
  <si>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</si>
  <si>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</si>
  <si>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</si>
  <si>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</si>
  <si>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</si>
  <si>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</si>
  <si>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</si>
  <si>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</si>
  <si>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</si>
  <si>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</si>
  <si>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</si>
  <si>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</si>
  <si>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</si>
  <si>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</si>
  <si>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</si>
  <si>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</si>
  <si>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</si>
  <si>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</si>
  <si>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</si>
  <si>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</si>
  <si>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</si>
  <si>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</si>
  <si>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</si>
  <si>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</si>
  <si>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</si>
  <si>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</si>
  <si>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</si>
  <si>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</si>
  <si>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</si>
  <si>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</si>
  <si>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</si>
  <si>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</si>
  <si>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</si>
  <si>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</si>
  <si>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</si>
  <si>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</si>
  <si>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</si>
  <si>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</si>
  <si>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</si>
  <si>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</si>
  <si>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</si>
  <si>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</si>
  <si>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</si>
  <si>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</si>
  <si>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</si>
  <si>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</si>
  <si>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</si>
  <si>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</si>
  <si>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</si>
  <si>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</si>
  <si>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</si>
  <si>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</si>
  <si>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</si>
  <si>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</si>
  <si>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</si>
  <si>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</si>
  <si>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</si>
  <si>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</si>
  <si>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</si>
  <si>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</si>
  <si>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</si>
  <si>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</si>
  <si>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</si>
  <si>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</si>
  <si>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</si>
  <si>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</si>
  <si>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</si>
  <si>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</si>
  <si>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</si>
  <si>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</si>
  <si>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</si>
  <si>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</si>
  <si>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</si>
  <si>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</si>
  <si>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</si>
  <si>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</si>
  <si>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</si>
  <si>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</si>
  <si>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</si>
  <si>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</si>
  <si>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</si>
  <si>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</si>
  <si>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</si>
  <si>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</si>
  <si>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</si>
  <si>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</si>
  <si>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</si>
  <si>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</si>
  <si>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</si>
  <si>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</si>
  <si>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</si>
  <si>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</si>
  <si>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</si>
  <si>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</si>
  <si>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</si>
  <si>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</si>
  <si>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</si>
  <si>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</si>
  <si>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</si>
  <si>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</si>
  <si>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</si>
  <si>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</si>
  <si>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</si>
  <si>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</si>
  <si>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</si>
  <si>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</si>
  <si>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</si>
  <si>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</si>
  <si>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</si>
  <si>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</si>
  <si>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</si>
  <si>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</si>
  <si>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</si>
  <si>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</si>
  <si>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</si>
  <si>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</si>
  <si>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</si>
  <si>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</si>
  <si>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</si>
  <si>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</si>
  <si>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</si>
  <si>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</si>
  <si>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</si>
  <si>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</si>
  <si>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</si>
  <si>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</si>
  <si>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</si>
  <si>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</si>
  <si>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</si>
  <si>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</si>
  <si>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</si>
  <si>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</si>
  <si>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</si>
  <si>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</si>
  <si>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</si>
  <si>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</si>
  <si>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</si>
  <si>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</si>
  <si>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</si>
  <si>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</si>
  <si>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</si>
  <si>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</si>
  <si>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</si>
  <si>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</si>
  <si>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</si>
  <si>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</si>
  <si>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</si>
  <si>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</si>
  <si>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</si>
  <si>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</si>
  <si>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</si>
  <si>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</si>
  <si>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</si>
  <si>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</si>
  <si>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</si>
  <si>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</si>
  <si>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</si>
  <si>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</si>
  <si>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</si>
  <si>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</si>
  <si>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</si>
  <si>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</si>
  <si>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</si>
  <si>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</si>
  <si>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</si>
  <si>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</si>
  <si>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</si>
  <si>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</si>
  <si>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</si>
  <si>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</si>
  <si>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</si>
  <si>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</si>
  <si>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</si>
  <si>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</si>
  <si>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</si>
  <si>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</si>
  <si>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</si>
  <si>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</si>
  <si>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</si>
  <si>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</si>
  <si>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</si>
  <si>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</si>
  <si>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</si>
  <si>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</si>
  <si>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</si>
  <si>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</si>
  <si>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</si>
  <si>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</si>
  <si>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</si>
  <si>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</si>
  <si>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</si>
  <si>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</si>
  <si>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</si>
  <si>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</si>
  <si>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</si>
  <si>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</si>
  <si>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</si>
  <si>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</si>
  <si>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</si>
  <si>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</si>
  <si>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</si>
  <si>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</si>
  <si>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</si>
  <si>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</si>
  <si>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</si>
  <si>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</si>
  <si>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</si>
  <si>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</si>
  <si>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</si>
  <si>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</si>
  <si>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</si>
  <si>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</si>
  <si>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</si>
  <si>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</si>
  <si>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</si>
  <si>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</si>
  <si>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</si>
  <si>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</si>
  <si>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</si>
  <si>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</si>
  <si>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</si>
  <si>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</si>
  <si>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</si>
  <si>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</si>
  <si>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</si>
  <si>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</si>
  <si>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</si>
  <si>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</si>
  <si>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</si>
  <si>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</si>
  <si>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</si>
  <si>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</si>
  <si>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</si>
  <si>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</si>
  <si>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</si>
  <si>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</si>
  <si>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</si>
  <si>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</si>
  <si>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</si>
  <si>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</si>
  <si>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</si>
  <si>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</si>
  <si>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</si>
  <si>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</si>
  <si>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</si>
  <si>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</si>
  <si>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</si>
  <si>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</si>
  <si>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</si>
  <si>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</si>
  <si>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</si>
  <si>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</si>
  <si>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</si>
  <si>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</si>
  <si>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</si>
  <si>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</si>
  <si>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</si>
  <si>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</si>
  <si>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</si>
  <si>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</si>
  <si>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</si>
  <si>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</si>
  <si>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</si>
  <si>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</si>
  <si>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</si>
  <si>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</si>
  <si>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</si>
  <si>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</si>
  <si>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</si>
  <si>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</si>
  <si>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</si>
  <si>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</si>
  <si>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</si>
  <si>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</si>
  <si>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</si>
  <si>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</si>
  <si>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</si>
  <si>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</si>
  <si>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</si>
  <si>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</si>
  <si>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</si>
  <si>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</si>
  <si>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</si>
  <si>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</si>
  <si>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</si>
  <si>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</si>
  <si>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</si>
  <si>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</si>
  <si>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</si>
  <si>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</si>
  <si>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</si>
  <si>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</si>
  <si>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</si>
  <si>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</si>
  <si>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</si>
  <si>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</si>
  <si>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</si>
  <si>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</si>
  <si>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</si>
  <si>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</si>
  <si>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</si>
  <si>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</si>
  <si>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</si>
  <si>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</si>
  <si>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</si>
  <si>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</si>
  <si>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</si>
  <si>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</si>
  <si>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</si>
  <si>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</si>
  <si>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</si>
  <si>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</si>
  <si>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</si>
  <si>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</si>
  <si>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</si>
  <si>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</si>
  <si>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</si>
  <si>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</si>
  <si>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</si>
  <si>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</si>
  <si>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</si>
  <si>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</si>
  <si>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</si>
  <si>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</si>
  <si>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</si>
  <si>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</si>
  <si>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</si>
  <si>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</si>
  <si>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</si>
  <si>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</si>
  <si>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</si>
  <si>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</si>
  <si>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</si>
  <si>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</si>
  <si>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</si>
  <si>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</si>
  <si>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</si>
  <si>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</si>
  <si>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</si>
  <si>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</si>
  <si>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</si>
  <si>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</si>
  <si>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</si>
  <si>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</si>
  <si>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</si>
  <si>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</si>
  <si>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</si>
  <si>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</si>
  <si>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</si>
  <si>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</si>
  <si>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</si>
  <si>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</si>
  <si>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</si>
  <si>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</si>
  <si>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</si>
  <si>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</si>
  <si>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</si>
  <si>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</si>
  <si>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</si>
  <si>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</si>
  <si>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</si>
  <si>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</si>
  <si>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</si>
  <si>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</si>
  <si>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</si>
  <si>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</si>
  <si>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</si>
  <si>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</si>
  <si>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</si>
  <si>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</si>
  <si>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</si>
  <si>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</si>
  <si>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</si>
  <si>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</si>
  <si>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</si>
  <si>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</si>
  <si>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</si>
  <si>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</si>
  <si>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</si>
  <si>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</si>
  <si>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</si>
  <si>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</si>
  <si>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</si>
  <si>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</si>
  <si>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</si>
  <si>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</si>
  <si>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</si>
  <si>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</si>
  <si>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</si>
  <si>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</si>
  <si>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</si>
  <si>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</si>
  <si>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</si>
  <si>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</si>
  <si>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</si>
  <si>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</si>
  <si>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</si>
  <si>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</si>
  <si>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</si>
  <si>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</si>
  <si>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</si>
  <si>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</si>
  <si>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</si>
  <si>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</si>
  <si>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</si>
  <si>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</si>
  <si>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</si>
  <si>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</si>
  <si>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</si>
  <si>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</si>
  <si>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</si>
  <si>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</si>
  <si>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</si>
  <si>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</si>
  <si>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</si>
  <si>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</si>
  <si>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</si>
  <si>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</si>
  <si>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</si>
  <si>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</si>
  <si>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</si>
  <si>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</si>
  <si>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</si>
  <si>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</si>
  <si>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</si>
  <si>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</si>
  <si>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</si>
  <si>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</si>
  <si>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</si>
  <si>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</si>
  <si>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</si>
  <si>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</si>
  <si>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</si>
  <si>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</si>
  <si>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</si>
  <si>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</si>
  <si>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</si>
  <si>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</si>
  <si>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</si>
  <si>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</si>
  <si>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</si>
  <si>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</si>
  <si>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</si>
  <si>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</si>
  <si>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</si>
  <si>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</si>
  <si>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</si>
  <si>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</si>
  <si>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</si>
  <si>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</si>
  <si>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</si>
  <si>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</si>
  <si>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</si>
  <si>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</si>
  <si>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</si>
  <si>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</si>
  <si>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</si>
  <si>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</si>
  <si>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</si>
  <si>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</si>
  <si>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</si>
  <si>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</si>
  <si>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</si>
  <si>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</si>
  <si>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</si>
  <si>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</si>
  <si>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</si>
  <si>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</si>
  <si>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</si>
  <si>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</si>
  <si>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</si>
  <si>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</si>
  <si>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</si>
  <si>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</si>
  <si>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</si>
  <si>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</si>
  <si>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</si>
  <si>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</si>
  <si>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</si>
  <si>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</si>
  <si>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</si>
  <si>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</si>
  <si>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</si>
  <si>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</si>
  <si>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</si>
  <si>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</si>
  <si>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</si>
  <si>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</si>
  <si>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</si>
  <si>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</si>
  <si>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</si>
  <si>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</si>
  <si>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</si>
  <si>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</si>
  <si>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</si>
  <si>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</si>
  <si>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</si>
  <si>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</si>
  <si>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</si>
  <si>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</si>
  <si>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</si>
  <si>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</si>
  <si>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</si>
  <si>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</si>
  <si>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</si>
  <si>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</si>
  <si>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</si>
  <si>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</si>
  <si>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</si>
  <si>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</si>
  <si>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</si>
  <si>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</si>
  <si>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</si>
  <si>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</si>
  <si>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</si>
  <si>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</si>
  <si>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</si>
  <si>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</si>
  <si>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</si>
  <si>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</si>
  <si>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</si>
  <si>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</si>
  <si>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</si>
  <si>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</si>
  <si>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</si>
  <si>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</si>
  <si>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</si>
  <si>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</si>
  <si>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</si>
  <si>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</si>
  <si>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</si>
  <si>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</si>
  <si>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</si>
  <si>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</si>
  <si>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</si>
  <si>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</si>
  <si>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</si>
  <si>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</si>
  <si>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</si>
  <si>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</si>
  <si>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</si>
  <si>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</si>
  <si>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</si>
  <si>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</si>
  <si>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</si>
  <si>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</si>
  <si>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</si>
  <si>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</si>
  <si>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</si>
  <si>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</si>
  <si>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</si>
  <si>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</si>
  <si>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</si>
  <si>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</si>
  <si>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</si>
  <si>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</si>
  <si>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</si>
  <si>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</si>
  <si>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</si>
  <si>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</si>
  <si>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</si>
  <si>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</si>
  <si>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</si>
  <si>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</si>
  <si>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</si>
  <si>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</si>
  <si>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</si>
  <si>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</si>
  <si>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</si>
  <si>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</si>
  <si>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</si>
  <si>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</si>
  <si>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</si>
  <si>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</si>
  <si>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</si>
  <si>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</si>
  <si>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</si>
  <si>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</si>
  <si>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</si>
  <si>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</si>
  <si>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</si>
  <si>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</si>
  <si>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</si>
  <si>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</si>
  <si>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</si>
  <si>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</si>
  <si>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</si>
  <si>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</si>
  <si>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</si>
  <si>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</si>
  <si>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</si>
  <si>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</si>
  <si>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</si>
  <si>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</si>
  <si>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</si>
  <si>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</si>
  <si>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</si>
  <si>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</si>
  <si>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</si>
  <si>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</si>
  <si>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</si>
  <si>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</si>
  <si>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</si>
  <si>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</si>
  <si>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</si>
  <si>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</si>
  <si>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</si>
  <si>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</si>
  <si>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</si>
  <si>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</si>
  <si>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</si>
  <si>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</si>
  <si>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</si>
  <si>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</si>
  <si>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</si>
  <si>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</si>
  <si>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</si>
  <si>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</si>
  <si>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</si>
  <si>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</si>
  <si>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</si>
  <si>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</si>
  <si>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</si>
  <si>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</si>
  <si>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</si>
  <si>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</si>
  <si>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</si>
  <si>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</si>
  <si>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</si>
  <si>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</si>
  <si>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</si>
  <si>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</si>
  <si>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</si>
  <si>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</si>
  <si>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</si>
  <si>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</si>
  <si>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</si>
  <si>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</si>
  <si>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</si>
  <si>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</si>
  <si>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</si>
  <si>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</si>
  <si>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</si>
  <si>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</si>
  <si>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</si>
  <si>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</si>
  <si>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</si>
  <si>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</si>
  <si>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</si>
  <si>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</si>
  <si>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</si>
  <si>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</si>
  <si>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</si>
  <si>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</si>
  <si>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</si>
  <si>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</si>
  <si>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</si>
  <si>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</si>
  <si>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</si>
  <si>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</si>
  <si>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</si>
  <si>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</si>
  <si>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</si>
  <si>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</si>
  <si>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</si>
  <si>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</si>
  <si>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</si>
  <si>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</si>
  <si>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</si>
  <si>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</si>
  <si>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</si>
  <si>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</si>
  <si>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</si>
  <si>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</si>
  <si>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</si>
  <si>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</si>
  <si>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</si>
  <si>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</si>
  <si>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</si>
  <si>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</si>
  <si>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</si>
  <si>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</si>
  <si>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</si>
  <si>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</si>
  <si>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</si>
  <si>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</si>
  <si>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</si>
  <si>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</si>
  <si>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</si>
  <si>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</si>
  <si>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</si>
  <si>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</si>
  <si>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</si>
  <si>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</si>
  <si>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</si>
  <si>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</si>
  <si>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</si>
  <si>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</si>
  <si>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</si>
  <si>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</si>
  <si>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</si>
  <si>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</si>
  <si>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</si>
  <si>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</si>
  <si>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</si>
  <si>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</si>
  <si>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</si>
  <si>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</si>
  <si>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</si>
  <si>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</si>
  <si>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</si>
  <si>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</si>
  <si>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</si>
  <si>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</si>
  <si>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</si>
  <si>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</si>
  <si>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</si>
  <si>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</si>
  <si>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</si>
  <si>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</si>
  <si>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</si>
  <si>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</si>
  <si>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</si>
  <si>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</si>
  <si>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</si>
  <si>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</si>
  <si>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</si>
  <si>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</si>
  <si>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</si>
  <si>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</si>
  <si>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</si>
  <si>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</si>
  <si>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</si>
  <si>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</si>
  <si>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</si>
  <si>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</si>
  <si>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</si>
  <si>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</si>
  <si>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</si>
  <si>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</si>
  <si>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</si>
  <si>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</si>
  <si>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</si>
  <si>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</si>
  <si>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</si>
  <si>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</si>
  <si>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</si>
  <si>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</si>
  <si>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</si>
  <si>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</si>
  <si>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</si>
  <si>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</si>
  <si>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</si>
  <si>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</si>
  <si>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</si>
  <si>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</si>
  <si>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</si>
  <si>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</si>
  <si>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</si>
  <si>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</si>
  <si>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</si>
  <si>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</si>
  <si>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</si>
  <si>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</si>
  <si>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</si>
  <si>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</si>
  <si>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</si>
  <si>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</si>
  <si>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</si>
  <si>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</si>
  <si>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</si>
  <si>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</si>
  <si>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</si>
  <si>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</si>
  <si>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</si>
  <si>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</si>
  <si>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</si>
  <si>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</si>
  <si>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</si>
  <si>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</si>
  <si>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</si>
  <si>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</si>
  <si>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</si>
  <si>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</si>
  <si>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</si>
  <si>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</si>
  <si>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</si>
  <si>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</si>
  <si>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</si>
  <si>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</si>
  <si>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</si>
  <si>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</si>
  <si>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</si>
  <si>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</si>
  <si>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</si>
  <si>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</si>
  <si>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</si>
  <si>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</si>
  <si>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</si>
  <si>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</si>
  <si>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</si>
  <si>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</si>
  <si>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</si>
  <si>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</si>
  <si>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</si>
  <si>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</si>
  <si>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</si>
  <si>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</si>
  <si>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</si>
  <si>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</si>
  <si>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</si>
  <si>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</si>
  <si>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</si>
  <si>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</si>
  <si>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</si>
  <si>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</si>
  <si>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</si>
  <si>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</si>
  <si>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</si>
  <si>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</si>
  <si>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</si>
  <si>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</si>
  <si>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</si>
  <si>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</si>
  <si>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</si>
  <si>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</si>
  <si>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</si>
  <si>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</si>
  <si>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</si>
  <si>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</si>
  <si>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</si>
  <si>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</si>
  <si>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</si>
  <si>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</si>
  <si>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</si>
  <si>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</si>
  <si>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</si>
  <si>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</si>
  <si>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</si>
  <si>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</si>
  <si>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</si>
  <si>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</si>
  <si>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</si>
  <si>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</si>
  <si>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</si>
  <si>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</si>
  <si>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</si>
  <si>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</si>
  <si>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</si>
  <si>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</si>
  <si>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</si>
  <si>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</si>
  <si>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</si>
  <si>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</si>
  <si>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</si>
  <si>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</si>
  <si>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</si>
  <si>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</si>
  <si>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</si>
  <si>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</si>
  <si>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</si>
  <si>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</si>
  <si>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</si>
  <si>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</si>
  <si>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</si>
  <si>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</si>
  <si>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</si>
  <si>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</si>
  <si>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</si>
  <si>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</si>
  <si>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</si>
  <si>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</si>
  <si>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</si>
  <si>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</si>
  <si>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</si>
  <si>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</si>
  <si>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</si>
  <si>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</si>
  <si>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</si>
  <si>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</si>
  <si>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</si>
  <si>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</si>
  <si>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</si>
  <si>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</si>
  <si>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</si>
  <si>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</si>
  <si>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</si>
  <si>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</si>
  <si>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</si>
  <si>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</si>
  <si>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</si>
  <si>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</si>
  <si>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</si>
  <si>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</si>
  <si>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</si>
  <si>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</si>
  <si>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</si>
  <si>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</si>
  <si>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</si>
  <si>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</si>
  <si>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</si>
  <si>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</si>
  <si>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</si>
  <si>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</si>
  <si>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</si>
  <si>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</si>
  <si>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</si>
  <si>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</si>
  <si>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</si>
  <si>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</si>
  <si>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</si>
  <si>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</si>
  <si>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</si>
  <si>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</si>
  <si>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</si>
  <si>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</si>
  <si>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</si>
  <si>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</si>
  <si>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</si>
  <si>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</si>
  <si>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</si>
  <si>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</si>
  <si>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</si>
  <si>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</si>
  <si>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</si>
  <si>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</si>
  <si>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</si>
  <si>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</si>
  <si>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</si>
  <si>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</si>
  <si>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</si>
  <si>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</si>
  <si>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</si>
  <si>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</si>
  <si>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</si>
  <si>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</si>
  <si>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</si>
  <si>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</si>
  <si>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</si>
  <si>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</si>
  <si>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</si>
  <si>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</si>
  <si>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</si>
  <si>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</si>
  <si>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</si>
  <si>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</si>
  <si>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</si>
  <si>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</si>
  <si>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</si>
  <si>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</si>
  <si>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</si>
  <si>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</si>
  <si>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</si>
  <si>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</si>
  <si>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</si>
  <si>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</si>
  <si>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</si>
  <si>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</si>
  <si>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</si>
  <si>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</si>
  <si>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</si>
  <si>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</si>
  <si>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</si>
  <si>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</si>
  <si>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</si>
  <si>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</si>
  <si>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</si>
  <si>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</si>
  <si>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</si>
  <si>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</si>
  <si>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</si>
  <si>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</si>
  <si>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</si>
  <si>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</si>
  <si>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</si>
  <si>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</si>
  <si>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</si>
  <si>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</si>
  <si>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</si>
  <si>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</si>
  <si>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</si>
  <si>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</si>
  <si>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</si>
  <si>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</si>
  <si>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</si>
  <si>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</si>
  <si>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</si>
  <si>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</si>
  <si>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</si>
  <si>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</si>
  <si>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</si>
  <si>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</si>
  <si>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</si>
  <si>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</si>
  <si>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</si>
  <si>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</si>
  <si>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</si>
  <si>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</si>
  <si>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</si>
  <si>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</si>
  <si>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</si>
  <si>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</si>
  <si>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</si>
  <si>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</si>
  <si>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</si>
  <si>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</si>
  <si>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</si>
  <si>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</si>
  <si>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</si>
  <si>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</si>
  <si>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</si>
  <si>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</si>
  <si>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</si>
  <si>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</si>
  <si>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</si>
  <si>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</si>
  <si>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</si>
  <si>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</si>
  <si>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</si>
  <si>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</si>
  <si>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</si>
  <si>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</si>
  <si>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</si>
  <si>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</si>
  <si>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</si>
  <si>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</si>
  <si>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</si>
  <si>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</si>
  <si>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</si>
  <si>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</si>
  <si>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</si>
  <si>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</si>
  <si>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</si>
  <si>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</si>
  <si>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</si>
  <si>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</si>
  <si>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</si>
  <si>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</si>
  <si>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</si>
  <si>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</si>
  <si>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</si>
  <si>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</si>
  <si>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</si>
  <si>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</si>
  <si>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</si>
  <si>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</si>
  <si>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</si>
  <si>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</si>
  <si>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</si>
  <si>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</si>
  <si>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</si>
  <si>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</si>
  <si>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</si>
  <si>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</si>
  <si>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</si>
  <si>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</si>
  <si>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</si>
  <si>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</si>
  <si>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</si>
  <si>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</si>
  <si>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</si>
  <si>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</si>
  <si>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</si>
  <si>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</si>
  <si>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</si>
  <si>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</si>
  <si>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</si>
  <si>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</si>
  <si>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</si>
  <si>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</si>
  <si>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</si>
  <si>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</si>
  <si>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</si>
  <si>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</si>
  <si>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</si>
  <si>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</si>
  <si>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</si>
  <si>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</si>
  <si>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</si>
  <si>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</si>
  <si>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</si>
  <si>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</si>
  <si>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</si>
  <si>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</si>
  <si>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</si>
  <si>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</si>
  <si>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</si>
  <si>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</si>
  <si>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</si>
  <si>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</si>
  <si>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</si>
  <si>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</si>
  <si>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</si>
  <si>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</si>
  <si>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</si>
  <si>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</si>
  <si>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</si>
  <si>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</si>
  <si>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</si>
  <si>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</si>
  <si>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</si>
  <si>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</si>
  <si>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</si>
  <si>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</si>
  <si>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</si>
  <si>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</si>
  <si>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</si>
  <si>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</si>
  <si>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</si>
  <si>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</si>
  <si>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</si>
  <si>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</si>
  <si>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</si>
  <si>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</si>
  <si>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</si>
  <si>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</si>
  <si>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</si>
  <si>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</si>
  <si>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</si>
  <si>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</si>
  <si>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</si>
  <si>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</si>
  <si>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</si>
  <si>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</si>
  <si>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</si>
  <si>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</si>
  <si>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</si>
  <si>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</si>
  <si>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</si>
  <si>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</si>
  <si>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</si>
  <si>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</si>
  <si>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</si>
  <si>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</si>
  <si>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</si>
  <si>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</si>
  <si>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</si>
  <si>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</si>
  <si>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</si>
  <si>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</si>
  <si>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</si>
  <si>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</si>
  <si>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</si>
  <si>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</si>
  <si>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</si>
  <si>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</si>
  <si>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</si>
  <si>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</si>
  <si>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</si>
  <si>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</si>
  <si>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</si>
  <si>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</si>
  <si>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</si>
  <si>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</si>
  <si>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</si>
  <si>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</si>
  <si>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</si>
  <si>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</si>
  <si>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</si>
  <si>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</si>
  <si>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</si>
  <si>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</si>
  <si>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</si>
  <si>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</si>
  <si>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</si>
  <si>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</si>
  <si>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</si>
  <si>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</si>
  <si>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</si>
  <si>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</si>
  <si>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</si>
  <si>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</si>
  <si>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</si>
  <si>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</si>
  <si>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</si>
  <si>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</si>
  <si>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</si>
  <si>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</si>
  <si>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</si>
  <si>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</si>
  <si>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</si>
  <si>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</si>
  <si>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</si>
  <si>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</si>
  <si>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</si>
  <si>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</si>
  <si>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</si>
  <si>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</si>
  <si>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</si>
  <si>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</si>
  <si>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</si>
  <si>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</si>
  <si>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</si>
  <si>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</si>
  <si>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</si>
  <si>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</si>
  <si>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</si>
  <si>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</si>
  <si>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</si>
  <si>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</si>
  <si>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</si>
  <si>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</si>
  <si>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</si>
  <si>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</si>
  <si>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</si>
  <si>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</si>
  <si>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</si>
  <si>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</si>
  <si>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</si>
  <si>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</si>
  <si>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</si>
  <si>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</si>
  <si>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</si>
  <si>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</si>
  <si>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</si>
  <si>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</si>
  <si>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</si>
  <si>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</si>
  <si>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</si>
  <si>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</si>
  <si>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</si>
  <si>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</si>
  <si>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</si>
  <si>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</si>
  <si>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</si>
  <si>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</si>
  <si>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</si>
  <si>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</si>
  <si>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</si>
  <si>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</si>
  <si>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</si>
  <si>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</si>
  <si>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</si>
  <si>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</si>
  <si>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</si>
  <si>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</si>
  <si>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</si>
  <si>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</si>
  <si>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</si>
  <si>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</si>
  <si>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</si>
  <si>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</si>
  <si>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</si>
  <si>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</si>
  <si>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</si>
  <si>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</si>
  <si>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</si>
  <si>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</si>
  <si>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</si>
  <si>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</si>
  <si>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</si>
  <si>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</si>
  <si>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</si>
  <si>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</si>
  <si>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</si>
  <si>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</si>
  <si>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</si>
  <si>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</si>
  <si>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</si>
  <si>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</si>
  <si>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</si>
  <si>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</si>
  <si>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</si>
  <si>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</si>
  <si>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</si>
  <si>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</si>
  <si>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</si>
  <si>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</si>
  <si>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</si>
  <si>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</si>
  <si>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</si>
  <si>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</si>
  <si>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</si>
  <si>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</si>
  <si>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</si>
  <si>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</si>
  <si>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</si>
  <si>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</si>
  <si>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</si>
  <si>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</si>
  <si>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</si>
  <si>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</si>
  <si>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</si>
  <si>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</si>
  <si>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</si>
  <si>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</si>
  <si>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</si>
  <si>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</si>
  <si>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</si>
  <si>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</si>
  <si>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</si>
  <si>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</si>
  <si>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</si>
  <si>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</si>
  <si>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</si>
  <si>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</si>
  <si>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</si>
  <si>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</si>
  <si>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</si>
  <si>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</si>
  <si>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</si>
  <si>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</si>
  <si>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</si>
  <si>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</si>
  <si>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</si>
  <si>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</si>
  <si>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</si>
  <si>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</si>
  <si>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</si>
  <si>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</si>
  <si>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</si>
  <si>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</si>
  <si>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</si>
  <si>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</si>
  <si>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</si>
  <si>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</si>
  <si>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</si>
  <si>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</si>
  <si>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</si>
  <si>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</si>
  <si>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</si>
  <si>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</si>
  <si>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</si>
  <si>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</si>
  <si>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</si>
  <si>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</si>
  <si>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</si>
  <si>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</si>
  <si>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</si>
  <si>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</si>
  <si>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</si>
  <si>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</si>
  <si>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</si>
  <si>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</si>
  <si>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</si>
  <si>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</si>
  <si>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</si>
  <si>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</si>
  <si>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</si>
  <si>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</si>
  <si>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</si>
  <si>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</si>
  <si>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</si>
  <si>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</si>
  <si>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</si>
  <si>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</si>
  <si>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</si>
  <si>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</si>
  <si>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</si>
  <si>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</si>
  <si>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</si>
  <si>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</si>
  <si>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</si>
  <si>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</si>
  <si>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</si>
  <si>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</si>
  <si>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</si>
  <si>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</si>
  <si>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</si>
  <si>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</si>
  <si>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</si>
  <si>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</si>
  <si>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</si>
  <si>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</si>
  <si>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</si>
  <si>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</si>
  <si>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</si>
  <si>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</si>
  <si>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</si>
  <si>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</si>
  <si>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</si>
  <si>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</si>
  <si>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</si>
  <si>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</si>
  <si>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</si>
  <si>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</si>
  <si>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</si>
  <si>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</si>
  <si>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</si>
  <si>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</si>
  <si>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</si>
  <si>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</si>
  <si>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</si>
  <si>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</si>
  <si>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</si>
  <si>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</si>
  <si>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</si>
  <si>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</si>
  <si>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</si>
  <si>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</si>
  <si>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</si>
  <si>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</si>
  <si>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</si>
  <si>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</si>
  <si>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</si>
  <si>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</si>
  <si>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</si>
  <si>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</si>
  <si>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</si>
  <si>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</si>
  <si>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</si>
  <si>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</si>
  <si>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</si>
  <si>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</si>
  <si>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</si>
  <si>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</si>
  <si>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</si>
  <si>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</si>
  <si>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</si>
  <si>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</si>
  <si>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</si>
  <si>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</si>
  <si>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</si>
  <si>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</si>
  <si>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</si>
  <si>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</si>
  <si>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</si>
  <si>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</si>
  <si>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</si>
  <si>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</si>
  <si>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</si>
  <si>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</si>
  <si>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</si>
  <si>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</si>
  <si>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</si>
  <si>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</si>
  <si>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</si>
  <si>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</si>
  <si>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</si>
  <si>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</si>
  <si>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</si>
  <si>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</si>
  <si>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</si>
  <si>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</si>
  <si>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</si>
  <si>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</si>
  <si>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</si>
  <si>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</si>
  <si>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</si>
  <si>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</si>
  <si>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</si>
  <si>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</si>
  <si>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</si>
  <si>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</si>
  <si>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</si>
  <si>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</si>
  <si>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</si>
  <si>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</si>
  <si>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</si>
  <si>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</si>
  <si>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</si>
  <si>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</si>
  <si>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</si>
  <si>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</si>
  <si>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</si>
  <si>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</si>
  <si>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</si>
  <si>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</si>
  <si>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</si>
  <si>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</si>
  <si>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</si>
  <si>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</si>
  <si>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</si>
  <si>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</si>
  <si>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</si>
  <si>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</si>
  <si>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</si>
  <si>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</si>
  <si>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</si>
  <si>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</si>
  <si>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</si>
  <si>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</si>
  <si>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</si>
  <si>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</si>
  <si>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</si>
  <si>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</si>
  <si>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</si>
  <si>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</si>
  <si>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</si>
  <si>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</si>
  <si>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</si>
  <si>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</si>
  <si>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</si>
  <si>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</si>
  <si>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</si>
  <si>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</si>
  <si>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</si>
  <si>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</si>
  <si>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</si>
  <si>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</si>
  <si>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</si>
  <si>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</si>
  <si>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</si>
  <si>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</si>
  <si>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</si>
  <si>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</si>
  <si>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</si>
  <si>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</si>
  <si>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</si>
  <si>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</si>
  <si>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</si>
  <si>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</si>
  <si>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</si>
  <si>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</si>
  <si>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</si>
  <si>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</si>
  <si>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</si>
  <si>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</si>
  <si>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</si>
  <si>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</si>
  <si>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</si>
  <si>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</si>
  <si>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</si>
  <si>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</si>
  <si>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</si>
  <si>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</si>
  <si>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</si>
  <si>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</si>
  <si>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</si>
  <si>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</si>
  <si>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</si>
  <si>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</si>
  <si>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</si>
  <si>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</si>
  <si>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</si>
  <si>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</si>
  <si>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</si>
  <si>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</si>
  <si>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</si>
  <si>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</si>
  <si>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</si>
  <si>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</si>
  <si>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</si>
  <si>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</si>
  <si>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</si>
  <si>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</si>
  <si>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</si>
  <si>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</si>
  <si>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</si>
  <si>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</si>
  <si>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</si>
  <si>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</si>
  <si>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</si>
  <si>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</si>
  <si>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</si>
  <si>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</si>
  <si>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</si>
  <si>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</si>
  <si>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</si>
  <si>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</si>
  <si>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</si>
  <si>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</si>
  <si>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</si>
  <si>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</si>
  <si>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</si>
  <si>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</si>
  <si>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</si>
  <si>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</si>
  <si>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</si>
  <si>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</si>
  <si>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</si>
  <si>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</si>
  <si>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</si>
  <si>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</si>
  <si>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</si>
  <si>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</si>
  <si>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</si>
  <si>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</si>
  <si>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</si>
  <si>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</si>
  <si>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</si>
  <si>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</si>
  <si>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</si>
  <si>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</si>
  <si>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</si>
  <si>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</si>
  <si>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</si>
  <si>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</si>
  <si>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</si>
  <si>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</si>
  <si>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</si>
  <si>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</si>
  <si>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</si>
  <si>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</si>
  <si>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</si>
  <si>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</si>
  <si>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</si>
  <si>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</si>
  <si>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</si>
  <si>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</si>
  <si>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</si>
  <si>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</si>
  <si>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</si>
  <si>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</si>
  <si>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</si>
  <si>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</si>
  <si>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</si>
  <si>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</si>
  <si>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</si>
  <si>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</si>
  <si>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</si>
  <si>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</si>
  <si>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</si>
  <si>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</si>
  <si>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</si>
  <si>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</si>
  <si>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</si>
  <si>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</si>
  <si>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</si>
  <si>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</si>
  <si>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</si>
  <si>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</si>
  <si>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</si>
  <si>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</si>
  <si>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</si>
  <si>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</si>
  <si>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</si>
  <si>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</si>
  <si>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</si>
  <si>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</si>
  <si>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</si>
  <si>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</si>
  <si>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</si>
  <si>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</si>
  <si>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</si>
  <si>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</si>
  <si>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原件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</si>
  <si>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</si>
  <si>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</si>
  <si>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</si>
  <si>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</si>
  <si>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</si>
  <si>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</si>
  <si>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</si>
  <si>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</si>
  <si>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</si>
  <si>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</si>
  <si>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</si>
  <si>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</si>
  <si>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</si>
  <si>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</si>
  <si>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</si>
  <si>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</si>
  <si>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</si>
  <si>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</si>
  <si>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</si>
  <si>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</si>
  <si>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</si>
  <si>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</si>
  <si>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</si>
  <si>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</si>
  <si>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</si>
  <si>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</si>
  <si>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</si>
  <si>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</si>
  <si>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</si>
  <si>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</si>
  <si>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</si>
  <si>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</si>
  <si>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</si>
  <si>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</si>
  <si>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</si>
  <si>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</si>
  <si>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</si>
  <si>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</si>
  <si>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</si>
  <si>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</si>
  <si>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</si>
  <si>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</si>
  <si>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</si>
  <si>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</si>
  <si>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</si>
  <si>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</si>
  <si>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</si>
  <si>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</si>
  <si>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</si>
  <si>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</si>
  <si>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</si>
  <si>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</si>
  <si>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</si>
  <si>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</si>
  <si>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</si>
  <si>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</si>
  <si>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</si>
  <si>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</si>
  <si>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</si>
  <si>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</si>
  <si>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</si>
  <si>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</si>
  <si>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</si>
  <si>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</si>
  <si>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</si>
  <si>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</si>
  <si>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</si>
  <si>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</si>
  <si>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</si>
  <si>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</si>
  <si>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</si>
  <si>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</si>
  <si>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</si>
  <si>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</si>
  <si>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</si>
  <si>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</si>
  <si>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</si>
  <si>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</si>
  <si>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</si>
  <si>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</si>
  <si>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</si>
  <si>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</si>
  <si>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</si>
  <si>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</si>
  <si>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</si>
  <si>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</si>
  <si>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</si>
  <si>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</si>
  <si>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</si>
  <si>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</si>
  <si>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</si>
  <si>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</si>
  <si>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</si>
  <si>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</si>
  <si>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</si>
  <si>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</si>
  <si>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</si>
  <si>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</si>
  <si>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</si>
  <si>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</si>
  <si>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</si>
  <si>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</si>
  <si>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</si>
  <si>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</si>
  <si>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</si>
  <si>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</si>
  <si>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</si>
  <si>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</si>
  <si>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</si>
  <si>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</si>
  <si>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</si>
  <si>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</si>
  <si>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</si>
  <si>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</si>
  <si>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</si>
  <si>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</si>
  <si>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</si>
  <si>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</si>
  <si>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</si>
  <si>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</si>
  <si>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</si>
  <si>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</si>
  <si>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</si>
  <si>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</si>
  <si>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</si>
  <si>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</si>
  <si>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</si>
  <si>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</si>
  <si>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</si>
  <si>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</si>
  <si>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</si>
  <si>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</si>
  <si>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</si>
  <si>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</si>
  <si>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</si>
  <si>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</si>
  <si>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</si>
  <si>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</si>
  <si>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</si>
  <si>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</si>
  <si>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</si>
  <si>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</si>
  <si>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</si>
  <si>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</si>
  <si>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</si>
  <si>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</si>
  <si>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</si>
  <si>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</si>
  <si>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</si>
  <si>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</si>
  <si>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</si>
  <si>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</si>
  <si>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</si>
  <si>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</si>
  <si>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</si>
  <si>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</si>
  <si>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</si>
  <si>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</si>
  <si>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</si>
  <si>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</si>
  <si>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</si>
  <si>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</si>
  <si>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</si>
  <si>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</si>
  <si>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</si>
  <si>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</si>
  <si>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</si>
  <si>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</si>
  <si>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</si>
  <si>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</si>
  <si>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</si>
  <si>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</si>
  <si>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</si>
  <si>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</si>
  <si>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</si>
  <si>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</si>
  <si>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</si>
  <si>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</si>
  <si>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</si>
  <si>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</si>
  <si>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</si>
  <si>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</si>
  <si>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</si>
  <si>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</si>
  <si>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</si>
  <si>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</si>
  <si>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</si>
  <si>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</si>
  <si>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</si>
  <si>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</si>
  <si>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</si>
  <si>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</si>
  <si>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</si>
  <si>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</si>
  <si>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</si>
  <si>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</si>
  <si>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</si>
  <si>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</si>
  <si>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</si>
  <si>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</si>
  <si>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</si>
  <si>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</si>
  <si>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</si>
  <si>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</si>
  <si>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</si>
  <si>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</si>
  <si>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</si>
  <si>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</si>
  <si>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</si>
  <si>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</si>
  <si>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</si>
  <si>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</si>
  <si>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</si>
  <si>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</si>
  <si>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</si>
  <si>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</si>
  <si>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</si>
  <si>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</si>
  <si>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</si>
  <si>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</si>
  <si>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</si>
  <si>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</si>
  <si>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</si>
  <si>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</si>
  <si>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</si>
  <si>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</si>
  <si>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</si>
  <si>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</si>
  <si>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</si>
  <si>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</si>
  <si>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</si>
  <si>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</si>
  <si>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</si>
  <si>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</si>
  <si>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</si>
  <si>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</si>
  <si>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</si>
  <si>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</si>
  <si>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</si>
  <si>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</si>
  <si>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</si>
  <si>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</si>
  <si>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</si>
  <si>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</si>
  <si>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</si>
  <si>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</si>
  <si>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</si>
  <si>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</si>
  <si>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</si>
  <si>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</si>
  <si>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</si>
  <si>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</si>
  <si>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</si>
  <si>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</si>
  <si>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</si>
  <si>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</si>
  <si>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</si>
  <si>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</si>
  <si>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</si>
  <si>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</si>
  <si>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</si>
  <si>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</si>
  <si>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</si>
  <si>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</si>
  <si>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</si>
  <si>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</si>
  <si>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</si>
  <si>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</si>
  <si>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</si>
  <si>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</si>
  <si>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</si>
  <si>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</si>
  <si>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</si>
  <si>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</si>
  <si>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</si>
  <si>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</si>
  <si>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</si>
  <si>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</si>
  <si>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</si>
  <si>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</si>
  <si>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</si>
  <si>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</si>
  <si>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</si>
  <si>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</si>
  <si>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</si>
  <si>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</si>
  <si>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</si>
  <si>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</si>
  <si>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</si>
  <si>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</si>
  <si>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</si>
  <si>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</si>
  <si>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</si>
  <si>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</si>
  <si>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</si>
  <si>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</si>
  <si>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</si>
  <si>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</si>
  <si>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</si>
  <si>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</si>
  <si>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</si>
  <si>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</si>
  <si>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</si>
  <si>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</si>
  <si>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</si>
  <si>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</si>
  <si>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</si>
  <si>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</si>
  <si>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</si>
  <si>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</si>
  <si>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</si>
  <si>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</si>
  <si>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</si>
  <si>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</si>
  <si>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</si>
  <si>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</si>
  <si>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</si>
  <si>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</si>
  <si>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</si>
  <si>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</si>
  <si>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</si>
  <si>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</si>
  <si>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</si>
  <si>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</si>
  <si>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</si>
  <si>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</si>
  <si>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</si>
  <si>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</si>
  <si>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</si>
  <si>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</si>
  <si>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</si>
  <si>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</si>
  <si>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</si>
  <si>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</si>
  <si>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</si>
  <si>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</si>
  <si>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</si>
  <si>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</si>
  <si>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</si>
  <si>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</si>
  <si>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</si>
  <si>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</si>
  <si>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</si>
  <si>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</si>
  <si>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</si>
  <si>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</si>
  <si>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</si>
  <si>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</si>
  <si>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</si>
  <si>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</si>
  <si>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</si>
  <si>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</si>
  <si>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</si>
  <si>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</si>
  <si>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</si>
  <si>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</si>
  <si>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</si>
  <si>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</si>
  <si>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</si>
  <si>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</si>
  <si>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</si>
  <si>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</si>
  <si>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</si>
  <si>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</si>
  <si>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</si>
  <si>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</si>
  <si>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</si>
  <si>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</si>
  <si>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</si>
  <si>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</si>
  <si>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</si>
  <si>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</si>
  <si>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</si>
  <si>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</si>
  <si>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</si>
  <si>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</si>
  <si>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</si>
  <si>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</si>
  <si>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</si>
  <si>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</si>
  <si>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</si>
  <si>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</si>
  <si>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</si>
  <si>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</si>
  <si>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</si>
  <si>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</si>
  <si>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</si>
  <si>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</si>
  <si>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</si>
  <si>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</si>
  <si>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</si>
  <si>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</si>
  <si>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</si>
  <si>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</si>
  <si>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</si>
  <si>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</si>
  <si>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</si>
  <si>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</si>
  <si>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</si>
  <si>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</si>
  <si>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</si>
  <si>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</si>
  <si>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</si>
  <si>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</si>
  <si>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</si>
  <si>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</si>
  <si>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</si>
  <si>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</si>
  <si>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</si>
  <si>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</si>
  <si>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</si>
  <si>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</si>
  <si>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</si>
  <si>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</si>
  <si>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</si>
  <si>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</si>
  <si>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</si>
  <si>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</si>
  <si>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</si>
  <si>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</si>
  <si>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</si>
  <si>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</si>
  <si>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</si>
  <si>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</si>
  <si>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</si>
  <si>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</si>
  <si>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</si>
  <si>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</si>
  <si>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</si>
  <si>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</si>
  <si>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</si>
  <si>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</si>
  <si>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</si>
  <si>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</si>
  <si>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</si>
  <si>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</si>
  <si>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</si>
  <si>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</si>
  <si>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</si>
  <si>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</si>
  <si>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</si>
  <si>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</si>
  <si>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</si>
  <si>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</si>
  <si>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</si>
  <si>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</si>
  <si>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</si>
  <si>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</si>
  <si>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</si>
  <si>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</si>
  <si>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</si>
  <si>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</si>
  <si>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</si>
  <si>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</si>
  <si>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</si>
  <si>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</si>
  <si>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</si>
  <si>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</si>
  <si>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</si>
  <si>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</si>
  <si>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</si>
  <si>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</si>
  <si>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</si>
  <si>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</si>
  <si>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</si>
  <si>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</si>
  <si>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</si>
  <si>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</si>
  <si>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</si>
  <si>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</si>
  <si>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</si>
  <si>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</si>
  <si>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</si>
  <si>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</si>
  <si>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</si>
  <si>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</si>
  <si>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</si>
  <si>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</si>
  <si>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</si>
  <si>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</si>
  <si>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</si>
  <si>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</si>
  <si>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</si>
  <si>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</si>
  <si>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</si>
  <si>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</si>
  <si>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</si>
  <si>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</si>
  <si>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</si>
  <si>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</si>
  <si>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</si>
  <si>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</si>
  <si>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</si>
  <si>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</si>
  <si>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</si>
  <si>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</si>
  <si>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</si>
  <si>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</si>
  <si>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</si>
  <si>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</si>
  <si>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</si>
  <si>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</si>
  <si>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</si>
  <si>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</si>
  <si>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</si>
  <si>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</si>
  <si>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</si>
  <si>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</si>
  <si>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</si>
  <si>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</si>
  <si>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</si>
  <si>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</si>
  <si>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</si>
  <si>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</si>
  <si>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</si>
  <si>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</si>
  <si>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</si>
  <si>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</si>
  <si>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</si>
  <si>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</si>
  <si>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</si>
  <si>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</si>
  <si>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</si>
  <si>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</si>
  <si>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</si>
  <si>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</si>
  <si>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</si>
  <si>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</si>
  <si>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</si>
  <si>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</si>
  <si>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</si>
  <si>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</si>
  <si>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</si>
  <si>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</si>
  <si>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</si>
  <si>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</si>
  <si>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</si>
  <si>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</si>
  <si>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</si>
  <si>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</si>
  <si>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</si>
  <si>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</si>
  <si>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</si>
  <si>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</si>
  <si>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</si>
  <si>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</si>
  <si>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</si>
  <si>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</si>
  <si>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</si>
  <si>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</si>
  <si>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</si>
  <si>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</si>
  <si>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</si>
  <si>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</si>
  <si>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</si>
  <si>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</si>
  <si>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</si>
  <si>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</si>
  <si>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</si>
  <si>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</si>
  <si>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</si>
  <si>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</si>
  <si>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</si>
  <si>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</si>
  <si>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</si>
  <si>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</si>
  <si>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</si>
  <si>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</si>
  <si>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</si>
  <si>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</si>
  <si>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</si>
  <si>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</si>
  <si>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</si>
  <si>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</si>
  <si>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</si>
  <si>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</si>
  <si>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</si>
  <si>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</si>
  <si>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</si>
  <si>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</si>
  <si>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</si>
  <si>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</si>
  <si>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</si>
  <si>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</si>
  <si>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</si>
  <si>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</si>
  <si>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</si>
  <si>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</si>
  <si>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</si>
  <si>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</si>
  <si>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</si>
  <si>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</si>
  <si>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</si>
  <si>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</si>
  <si>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</si>
  <si>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</si>
  <si>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</si>
  <si>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</si>
  <si>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</si>
  <si>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</si>
  <si>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</si>
  <si>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</si>
  <si>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</si>
  <si>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</si>
  <si>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</si>
  <si>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</si>
  <si>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</si>
  <si>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</si>
  <si>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</si>
  <si>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</si>
  <si>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</si>
  <si>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</si>
  <si>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</si>
  <si>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</si>
  <si>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</si>
  <si>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</si>
  <si>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</si>
  <si>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</si>
  <si>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</si>
  <si>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</si>
  <si>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</si>
  <si>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</si>
  <si>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</si>
  <si>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</si>
  <si>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</si>
  <si>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</si>
  <si>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</si>
  <si>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</si>
  <si>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</si>
  <si>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</si>
  <si>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</si>
  <si>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</si>
  <si>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</si>
  <si>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</si>
  <si>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</si>
  <si>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</si>
  <si>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</si>
  <si>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</si>
  <si>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</si>
  <si>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</si>
  <si>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</si>
  <si>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</si>
  <si>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</si>
  <si>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</si>
  <si>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</si>
  <si>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</si>
  <si>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</si>
  <si>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</si>
  <si>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</si>
  <si>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</si>
  <si>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</si>
  <si>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</si>
  <si>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</si>
  <si>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</si>
  <si>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</si>
  <si>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</si>
  <si>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</si>
  <si>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</si>
  <si>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</si>
  <si>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</si>
  <si>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</si>
  <si>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</si>
  <si>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</si>
  <si>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</si>
  <si>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</si>
  <si>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</si>
  <si>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</si>
  <si>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</si>
  <si>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</si>
  <si>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</si>
  <si>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</si>
  <si>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</si>
  <si>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</si>
  <si>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</si>
  <si>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</si>
  <si>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</si>
  <si>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</si>
  <si>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</si>
  <si>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</si>
  <si>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</si>
  <si>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</si>
  <si>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</si>
  <si>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</si>
  <si>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</si>
  <si>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</si>
  <si>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</si>
  <si>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</si>
  <si>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</si>
  <si>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</si>
  <si>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</si>
  <si>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</si>
  <si>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</si>
  <si>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</si>
  <si>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</si>
  <si>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</si>
  <si>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</si>
  <si>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</si>
  <si>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</si>
  <si>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</si>
  <si>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</si>
  <si>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</si>
  <si>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</si>
  <si>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</si>
  <si>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</si>
  <si>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</si>
  <si>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</si>
  <si>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</si>
  <si>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</si>
  <si>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</si>
  <si>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</si>
  <si>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</si>
  <si>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</si>
  <si>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</si>
  <si>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</si>
  <si>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</si>
  <si>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</si>
  <si>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</si>
  <si>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</si>
  <si>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</si>
  <si>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</si>
  <si>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</si>
  <si>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</si>
  <si>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</si>
  <si>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</si>
  <si>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</si>
  <si>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</si>
  <si>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</si>
  <si>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</si>
  <si>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</si>
  <si>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</si>
  <si>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</si>
  <si>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</si>
  <si>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</si>
  <si>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</si>
  <si>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</si>
  <si>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</si>
  <si>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</si>
  <si>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</si>
  <si>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</si>
  <si>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</si>
  <si>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</si>
  <si>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</si>
  <si>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</si>
  <si>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</si>
  <si>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</si>
  <si>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</si>
  <si>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</si>
  <si>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</si>
  <si>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</si>
  <si>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</si>
  <si>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</si>
  <si>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</si>
  <si>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</si>
  <si>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</si>
  <si>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</si>
  <si>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</si>
  <si>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</si>
  <si>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</si>
  <si>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</si>
  <si>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</si>
  <si>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</si>
  <si>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</si>
  <si>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</si>
  <si>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</si>
  <si>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</si>
  <si>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</si>
  <si>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</si>
  <si>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</si>
  <si>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</si>
  <si>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</si>
  <si>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</si>
  <si>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</si>
  <si>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</si>
  <si>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</si>
  <si>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</si>
  <si>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</si>
  <si>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</si>
  <si>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</si>
  <si>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</si>
  <si>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</si>
  <si>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</si>
  <si>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</si>
  <si>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</si>
  <si>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</si>
  <si>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</si>
  <si>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</si>
  <si>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</si>
  <si>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</si>
  <si>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</si>
  <si>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</si>
  <si>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</si>
  <si>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</si>
  <si>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</si>
  <si>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</si>
  <si>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</si>
  <si>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</si>
  <si>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</si>
  <si>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</si>
  <si>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</si>
  <si>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</si>
  <si>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</si>
  <si>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</si>
  <si>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</si>
  <si>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</si>
  <si>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</si>
  <si>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</si>
  <si>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</si>
  <si>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</si>
  <si>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</si>
  <si>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</si>
  <si>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</si>
  <si>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</si>
  <si>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</si>
  <si>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</si>
  <si>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</si>
  <si>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</si>
  <si>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</si>
  <si>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</si>
  <si>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</si>
  <si>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</si>
  <si>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</si>
  <si>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</si>
  <si>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</si>
  <si>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</si>
  <si>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</si>
  <si>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</si>
  <si>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</si>
  <si>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</si>
  <si>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</si>
  <si>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</si>
  <si>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</si>
  <si>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</si>
  <si>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</si>
  <si>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</si>
  <si>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</si>
  <si>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</si>
  <si>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</si>
  <si>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</si>
  <si>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</si>
  <si>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</si>
  <si>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</si>
  <si>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</si>
  <si>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</si>
  <si>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</si>
  <si>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</si>
  <si>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</si>
  <si>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</si>
  <si>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</si>
  <si>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</si>
  <si>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</si>
  <si>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</si>
  <si>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</si>
  <si>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</si>
  <si>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</si>
  <si>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</si>
  <si>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</si>
  <si>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</si>
  <si>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</si>
  <si>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</si>
  <si>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</si>
  <si>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</si>
  <si>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</si>
  <si>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</si>
  <si>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</si>
  <si>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</si>
  <si>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</si>
  <si>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</si>
  <si>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</si>
  <si>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</si>
  <si>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</si>
  <si>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</si>
  <si>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</si>
  <si>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</si>
  <si>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</si>
  <si>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</si>
  <si>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</si>
  <si>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</si>
  <si>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</si>
  <si>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</si>
  <si>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</si>
  <si>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</si>
  <si>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</si>
  <si>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</si>
  <si>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</si>
  <si>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</si>
  <si>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</si>
  <si>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</si>
  <si>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</si>
  <si>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</si>
  <si>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</si>
  <si>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</si>
  <si>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</si>
  <si>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</si>
  <si>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</si>
  <si>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</si>
  <si>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</si>
  <si>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</si>
  <si>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</si>
  <si>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</si>
  <si>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</si>
  <si>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</si>
  <si>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</si>
  <si>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</si>
  <si>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</si>
  <si>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</si>
  <si>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</si>
  <si>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</si>
  <si>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</si>
  <si>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</si>
  <si>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</si>
  <si>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</si>
  <si>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</si>
  <si>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</si>
  <si>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</si>
  <si>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</si>
  <si>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</si>
  <si>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</si>
  <si>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</si>
  <si>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</si>
  <si>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</si>
  <si>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</si>
  <si>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</si>
  <si>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</si>
  <si>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</si>
  <si>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</si>
  <si>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</si>
  <si>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</si>
  <si>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</si>
  <si>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</si>
  <si>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</si>
  <si>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</si>
  <si>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</si>
  <si>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</si>
  <si>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</si>
  <si>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</si>
  <si>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</si>
  <si>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</si>
  <si>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</si>
  <si>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</si>
  <si>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</si>
  <si>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</si>
  <si>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</si>
  <si>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</si>
  <si>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</si>
  <si>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</si>
  <si>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</si>
  <si>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</si>
  <si>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</si>
  <si>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</si>
  <si>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</si>
  <si>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</si>
  <si>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</si>
  <si>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</si>
  <si>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</si>
  <si>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</si>
  <si>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</si>
  <si>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</si>
  <si>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</si>
  <si>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</si>
  <si>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</si>
  <si>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</si>
  <si>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</si>
  <si>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</si>
  <si>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</si>
  <si>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</si>
  <si>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</si>
  <si>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</si>
  <si>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</si>
  <si>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</si>
  <si>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</si>
  <si>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</si>
  <si>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</si>
  <si>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</si>
  <si>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</si>
  <si>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</si>
  <si>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</si>
  <si>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</si>
  <si>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</si>
  <si>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</si>
  <si>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</si>
  <si>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</si>
  <si>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</si>
  <si>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</si>
  <si>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</si>
  <si>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</si>
  <si>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</si>
  <si>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</si>
  <si>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</si>
  <si>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</si>
  <si>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</si>
  <si>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</si>
  <si>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</si>
  <si>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</si>
  <si>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</si>
  <si>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</si>
  <si>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</si>
  <si>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</si>
  <si>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</si>
  <si>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</si>
  <si>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</si>
  <si>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</si>
  <si>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</si>
  <si>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</si>
  <si>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</si>
  <si>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</si>
  <si>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</si>
  <si>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</si>
  <si>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</si>
  <si>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</si>
  <si>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</si>
  <si>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</si>
  <si>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</si>
  <si>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</si>
  <si>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</si>
  <si>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</si>
  <si>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</si>
  <si>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</si>
  <si>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</si>
  <si>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</si>
  <si>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</si>
  <si>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</si>
  <si>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</si>
  <si>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</si>
  <si>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</si>
  <si>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</si>
  <si>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</si>
  <si>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</si>
  <si>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</si>
  <si>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</si>
  <si>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</si>
  <si>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</si>
  <si>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</si>
  <si>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</si>
  <si>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</si>
  <si>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</si>
  <si>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</si>
  <si>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</si>
  <si>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</si>
  <si>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</si>
  <si>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</si>
  <si>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</si>
  <si>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</si>
  <si>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</si>
  <si>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</si>
  <si>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</si>
  <si>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</si>
  <si>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</si>
  <si>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</si>
  <si>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</si>
  <si>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</si>
  <si>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</si>
  <si>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</si>
  <si>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</si>
  <si>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</si>
  <si>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</si>
  <si>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</si>
  <si>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</si>
  <si>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</si>
  <si>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</si>
  <si>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</si>
  <si>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</si>
  <si>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</si>
  <si>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</si>
  <si>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</si>
  <si>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</si>
  <si>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</si>
  <si>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</si>
  <si>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</si>
  <si>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</si>
  <si>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</si>
  <si>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</si>
  <si>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</si>
  <si>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</si>
  <si>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</si>
  <si>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</si>
  <si>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</si>
  <si>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</si>
  <si>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</si>
  <si>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</si>
  <si>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</si>
  <si>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</si>
  <si>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</si>
  <si>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</si>
  <si>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</si>
  <si>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</si>
  <si>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</si>
  <si>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</si>
  <si>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</si>
  <si>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</si>
  <si>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</si>
  <si>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</si>
  <si>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</si>
  <si>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</si>
  <si>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</si>
  <si>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</si>
  <si>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</si>
  <si>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</si>
  <si>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</si>
  <si>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</si>
  <si>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</si>
  <si>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</si>
  <si>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</si>
  <si>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</si>
  <si>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</si>
  <si>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</si>
  <si>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</si>
  <si>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</si>
  <si>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</si>
  <si>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</si>
  <si>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</si>
  <si>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</si>
  <si>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</si>
  <si>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</si>
  <si>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</si>
  <si>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</si>
  <si>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</si>
  <si>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</si>
  <si>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</si>
  <si>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</si>
  <si>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</si>
  <si>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</si>
  <si>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</si>
  <si>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</si>
  <si>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</si>
  <si>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</si>
  <si>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</si>
  <si>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</si>
  <si>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</si>
  <si>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</si>
  <si>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</si>
  <si>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</si>
  <si>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</si>
  <si>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</si>
  <si>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</si>
  <si>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</si>
  <si>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</si>
  <si>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</si>
  <si>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</si>
  <si>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</si>
  <si>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</si>
  <si>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</si>
  <si>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</si>
  <si>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</si>
  <si>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</si>
  <si>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</si>
  <si>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</si>
  <si>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</si>
  <si>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</si>
  <si>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</si>
  <si>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</si>
  <si>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</si>
  <si>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</si>
  <si>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</si>
  <si>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</si>
  <si>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</si>
  <si>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</si>
  <si>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</si>
  <si>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</si>
  <si>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</si>
  <si>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</si>
  <si>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</si>
  <si>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</si>
  <si>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</si>
  <si>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</si>
  <si>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</si>
  <si>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</si>
  <si>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</si>
  <si>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</si>
  <si>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</si>
  <si>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</si>
  <si>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</si>
  <si>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</si>
  <si>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</si>
  <si>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</si>
  <si>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</si>
  <si>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</si>
  <si>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</si>
  <si>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</si>
  <si>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</si>
  <si>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</si>
  <si>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</si>
  <si>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</si>
  <si>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</si>
  <si>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</si>
  <si>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</si>
  <si>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</si>
  <si>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</si>
  <si>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</si>
  <si>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</si>
  <si>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</si>
  <si>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</si>
  <si>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</si>
  <si>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</si>
  <si>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</si>
  <si>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</si>
  <si>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</si>
  <si>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</si>
  <si>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</si>
  <si>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</si>
  <si>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</si>
  <si>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</si>
  <si>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</si>
  <si>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</si>
  <si>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</si>
  <si>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</si>
  <si>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</si>
  <si>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</si>
  <si>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</si>
  <si>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</si>
  <si>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</si>
  <si>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</si>
  <si>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</si>
  <si>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</si>
  <si>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</si>
  <si>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</si>
  <si>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</si>
  <si>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</si>
  <si>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</si>
  <si>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</si>
  <si>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</si>
  <si>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</si>
  <si>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</si>
  <si>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</si>
  <si>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</si>
  <si>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</si>
  <si>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</si>
  <si>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</si>
  <si>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</si>
  <si>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</si>
  <si>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143" type="noConversion"/>
  </si>
  <si>
    <t>2018-4</t>
    <phoneticPr fontId="3" type="noConversion"/>
  </si>
  <si>
    <t>抵押</t>
  </si>
  <si>
    <t>房地产抵押价值</t>
  </si>
  <si>
    <t>北京市</t>
  </si>
  <si>
    <t>企业</t>
  </si>
  <si>
    <t>出让</t>
  </si>
  <si>
    <t>工业项目</t>
  </si>
  <si>
    <t>否</t>
  </si>
  <si>
    <t>现房</t>
  </si>
  <si>
    <t>土地</t>
  </si>
  <si>
    <t>通路</t>
  </si>
  <si>
    <t>通电</t>
  </si>
  <si>
    <t>通讯</t>
  </si>
  <si>
    <t>通上水</t>
  </si>
  <si>
    <t>通下水</t>
  </si>
  <si>
    <t>是</t>
  </si>
  <si>
    <t>地上</t>
  </si>
  <si>
    <t>标准厂房</t>
  </si>
  <si>
    <t>成新度</t>
  </si>
  <si>
    <t>正常</t>
  </si>
  <si>
    <t>工业</t>
    <phoneticPr fontId="33" type="noConversion"/>
  </si>
  <si>
    <r>
      <t>31.48</t>
    </r>
    <r>
      <rPr>
        <sz val="12"/>
        <color theme="9" tint="-0.249977111117893"/>
        <rFont val="宋体"/>
        <family val="3"/>
        <charset val="134"/>
      </rPr>
      <t>年</t>
    </r>
    <phoneticPr fontId="6" type="noConversion"/>
  </si>
  <si>
    <t>较好</t>
  </si>
  <si>
    <t>一般</t>
  </si>
  <si>
    <t>五通</t>
  </si>
  <si>
    <t>双面临街</t>
  </si>
  <si>
    <t>高速路</t>
    <phoneticPr fontId="33" type="noConversion"/>
  </si>
  <si>
    <t>快速路</t>
    <phoneticPr fontId="33" type="noConversion"/>
  </si>
  <si>
    <t>主干道</t>
    <phoneticPr fontId="33" type="noConversion"/>
  </si>
  <si>
    <t>次干道</t>
    <phoneticPr fontId="33" type="noConversion"/>
  </si>
  <si>
    <t>支路</t>
    <phoneticPr fontId="33" type="noConversion"/>
  </si>
  <si>
    <t>规则</t>
    <phoneticPr fontId="33" type="noConversion"/>
  </si>
  <si>
    <t>较规则</t>
  </si>
  <si>
    <t>较规则</t>
    <phoneticPr fontId="33" type="noConversion"/>
  </si>
  <si>
    <t>不规则</t>
    <phoneticPr fontId="33" type="noConversion"/>
  </si>
  <si>
    <t>较不规则</t>
    <phoneticPr fontId="33" type="noConversion"/>
  </si>
  <si>
    <t>七通</t>
  </si>
  <si>
    <t>六通</t>
  </si>
  <si>
    <t>四通</t>
  </si>
  <si>
    <t>三通</t>
  </si>
  <si>
    <t>好</t>
  </si>
  <si>
    <t>较差</t>
  </si>
  <si>
    <t>差</t>
  </si>
  <si>
    <t>押一</t>
  </si>
  <si>
    <t>按租金收入计税</t>
  </si>
  <si>
    <t>钢混</t>
  </si>
  <si>
    <t>生产用房</t>
  </si>
  <si>
    <t>未包含在土地购买价格中</t>
  </si>
  <si>
    <t>全部缴纳</t>
  </si>
  <si>
    <t>已包含在土地取得成本中</t>
  </si>
  <si>
    <t>成本法</t>
  </si>
  <si>
    <t>单位面积地价</t>
  </si>
  <si>
    <t>成本比率</t>
  </si>
  <si>
    <t>办公楼</t>
  </si>
  <si>
    <t>北京新能源汽车股份有限公司</t>
    <phoneticPr fontId="6" type="noConversion"/>
  </si>
  <si>
    <r>
      <rPr>
        <sz val="12"/>
        <color theme="9" tint="-0.249977111117893"/>
        <rFont val="宋体"/>
        <family val="3"/>
        <charset val="134"/>
      </rPr>
      <t>北京经济技术开发区东环中路</t>
    </r>
    <r>
      <rPr>
        <sz val="12"/>
        <color theme="9" tint="-0.249977111117893"/>
        <rFont val="Arial"/>
        <family val="2"/>
      </rPr>
      <t>5</t>
    </r>
    <r>
      <rPr>
        <sz val="12"/>
        <color theme="9" tint="-0.249977111117893"/>
        <rFont val="宋体"/>
        <family val="3"/>
        <charset val="134"/>
      </rPr>
      <t>号</t>
    </r>
    <r>
      <rPr>
        <sz val="12"/>
        <color theme="9" tint="-0.249977111117893"/>
        <rFont val="Arial"/>
        <family val="2"/>
      </rPr>
      <t>11</t>
    </r>
    <r>
      <rPr>
        <sz val="12"/>
        <color theme="9" tint="-0.249977111117893"/>
        <rFont val="宋体"/>
        <family val="3"/>
        <charset val="134"/>
      </rPr>
      <t>幢等</t>
    </r>
    <r>
      <rPr>
        <sz val="12"/>
        <color theme="9" tint="-0.249977111117893"/>
        <rFont val="Arial"/>
        <family val="2"/>
      </rPr>
      <t>6</t>
    </r>
    <r>
      <rPr>
        <sz val="12"/>
        <color theme="9" tint="-0.249977111117893"/>
        <rFont val="宋体"/>
        <family val="3"/>
        <charset val="134"/>
      </rPr>
      <t>幢楼工业用房</t>
    </r>
    <phoneticPr fontId="6" type="noConversion"/>
  </si>
  <si>
    <t>崔锴</t>
  </si>
  <si>
    <t>地下</t>
  </si>
  <si>
    <r>
      <t>2</t>
    </r>
    <r>
      <rPr>
        <sz val="10"/>
        <color indexed="8"/>
        <rFont val="宋体"/>
        <family val="3"/>
        <charset val="134"/>
      </rPr>
      <t>（</t>
    </r>
    <r>
      <rPr>
        <sz val="10"/>
        <color indexed="8"/>
        <rFont val="Arial"/>
        <family val="2"/>
      </rPr>
      <t>1-3</t>
    </r>
    <r>
      <rPr>
        <sz val="10"/>
        <color indexed="8"/>
        <rFont val="宋体"/>
        <family val="3"/>
        <charset val="134"/>
      </rPr>
      <t>层）</t>
    </r>
    <phoneticPr fontId="3" type="noConversion"/>
  </si>
  <si>
    <r>
      <t>2</t>
    </r>
    <r>
      <rPr>
        <sz val="10"/>
        <color indexed="8"/>
        <rFont val="宋体"/>
        <family val="3"/>
        <charset val="134"/>
      </rPr>
      <t>（附属）</t>
    </r>
    <phoneticPr fontId="3" type="noConversion"/>
  </si>
  <si>
    <r>
      <t>3</t>
    </r>
    <r>
      <rPr>
        <sz val="10"/>
        <color indexed="8"/>
        <rFont val="宋体"/>
        <family val="3"/>
        <charset val="134"/>
      </rPr>
      <t>（附属）</t>
    </r>
    <phoneticPr fontId="3" type="noConversion"/>
  </si>
  <si>
    <r>
      <t>3</t>
    </r>
    <r>
      <rPr>
        <sz val="10"/>
        <color indexed="8"/>
        <rFont val="宋体"/>
        <family val="3"/>
        <charset val="134"/>
      </rPr>
      <t>（</t>
    </r>
    <r>
      <rPr>
        <sz val="10"/>
        <color indexed="8"/>
        <rFont val="Arial"/>
        <family val="2"/>
      </rPr>
      <t>1-2</t>
    </r>
    <r>
      <rPr>
        <sz val="10"/>
        <color indexed="8"/>
        <rFont val="宋体"/>
        <family val="3"/>
        <charset val="134"/>
      </rPr>
      <t>层）</t>
    </r>
    <phoneticPr fontId="3" type="noConversion"/>
  </si>
  <si>
    <r>
      <t>4</t>
    </r>
    <r>
      <rPr>
        <sz val="10"/>
        <color indexed="8"/>
        <rFont val="宋体"/>
        <family val="3"/>
        <charset val="134"/>
      </rPr>
      <t>（</t>
    </r>
    <r>
      <rPr>
        <sz val="10"/>
        <color indexed="8"/>
        <rFont val="Arial"/>
        <family val="2"/>
      </rPr>
      <t>1</t>
    </r>
    <r>
      <rPr>
        <sz val="10"/>
        <color indexed="8"/>
        <rFont val="宋体"/>
        <family val="3"/>
        <charset val="134"/>
      </rPr>
      <t>层）</t>
    </r>
    <phoneticPr fontId="3" type="noConversion"/>
  </si>
  <si>
    <r>
      <t>5</t>
    </r>
    <r>
      <rPr>
        <sz val="10"/>
        <color indexed="8"/>
        <rFont val="宋体"/>
        <family val="3"/>
        <charset val="134"/>
      </rPr>
      <t>（</t>
    </r>
    <r>
      <rPr>
        <sz val="10"/>
        <color indexed="8"/>
        <rFont val="Arial"/>
        <family val="2"/>
      </rPr>
      <t>1</t>
    </r>
    <r>
      <rPr>
        <sz val="10"/>
        <color indexed="8"/>
        <rFont val="宋体"/>
        <family val="3"/>
        <charset val="134"/>
      </rPr>
      <t>层）</t>
    </r>
    <phoneticPr fontId="3" type="noConversion"/>
  </si>
  <si>
    <r>
      <t>6</t>
    </r>
    <r>
      <rPr>
        <sz val="10"/>
        <color indexed="8"/>
        <rFont val="宋体"/>
        <family val="3"/>
        <charset val="134"/>
      </rPr>
      <t>（</t>
    </r>
    <r>
      <rPr>
        <sz val="10"/>
        <color indexed="8"/>
        <rFont val="Arial"/>
        <family val="2"/>
      </rPr>
      <t>1</t>
    </r>
    <r>
      <rPr>
        <sz val="10"/>
        <color indexed="8"/>
        <rFont val="宋体"/>
        <family val="3"/>
        <charset val="134"/>
      </rPr>
      <t>层）</t>
    </r>
    <phoneticPr fontId="3" type="noConversion"/>
  </si>
  <si>
    <r>
      <t>6</t>
    </r>
    <r>
      <rPr>
        <sz val="10"/>
        <color indexed="8"/>
        <rFont val="宋体"/>
        <family val="3"/>
        <charset val="134"/>
      </rPr>
      <t>（</t>
    </r>
    <r>
      <rPr>
        <sz val="10"/>
        <color indexed="8"/>
        <rFont val="Arial"/>
        <family val="2"/>
      </rPr>
      <t>-1</t>
    </r>
    <r>
      <rPr>
        <sz val="10"/>
        <color indexed="8"/>
        <rFont val="宋体"/>
        <family val="3"/>
        <charset val="134"/>
      </rPr>
      <t>层）</t>
    </r>
    <phoneticPr fontId="3" type="noConversion"/>
  </si>
  <si>
    <r>
      <t>6</t>
    </r>
    <r>
      <rPr>
        <sz val="10"/>
        <color indexed="8"/>
        <rFont val="宋体"/>
        <family val="3"/>
        <charset val="134"/>
      </rPr>
      <t>（附属）</t>
    </r>
    <phoneticPr fontId="3" type="noConversion"/>
  </si>
  <si>
    <r>
      <t>7</t>
    </r>
    <r>
      <rPr>
        <sz val="10"/>
        <color indexed="8"/>
        <rFont val="宋体"/>
        <family val="3"/>
        <charset val="134"/>
      </rPr>
      <t>（</t>
    </r>
    <r>
      <rPr>
        <sz val="10"/>
        <color indexed="8"/>
        <rFont val="Arial"/>
        <family val="2"/>
      </rPr>
      <t>1-4</t>
    </r>
    <r>
      <rPr>
        <sz val="10"/>
        <color indexed="8"/>
        <rFont val="宋体"/>
        <family val="3"/>
        <charset val="134"/>
      </rPr>
      <t>层）</t>
    </r>
    <phoneticPr fontId="3" type="noConversion"/>
  </si>
  <si>
    <r>
      <t>13</t>
    </r>
    <r>
      <rPr>
        <sz val="10"/>
        <color indexed="8"/>
        <rFont val="宋体"/>
        <family val="3"/>
        <charset val="134"/>
      </rPr>
      <t>（</t>
    </r>
    <r>
      <rPr>
        <sz val="10"/>
        <color indexed="8"/>
        <rFont val="Arial"/>
        <family val="2"/>
      </rPr>
      <t>1</t>
    </r>
    <r>
      <rPr>
        <sz val="10"/>
        <color indexed="8"/>
        <rFont val="宋体"/>
        <family val="3"/>
        <charset val="134"/>
      </rPr>
      <t>层）</t>
    </r>
    <phoneticPr fontId="3" type="noConversion"/>
  </si>
  <si>
    <t>车库</t>
  </si>
  <si>
    <t>工业</t>
    <phoneticPr fontId="7" type="noConversion"/>
  </si>
  <si>
    <t>办公</t>
    <phoneticPr fontId="7" type="noConversion"/>
  </si>
  <si>
    <t>收益法-办公</t>
  </si>
  <si>
    <t>收益法-办公</t>
    <phoneticPr fontId="16" type="noConversion"/>
  </si>
  <si>
    <t>收益法-工业</t>
  </si>
  <si>
    <t>收益法-工业</t>
    <phoneticPr fontId="16" type="noConversion"/>
  </si>
  <si>
    <t>收益法（汇总）</t>
  </si>
  <si>
    <t>建筑面积</t>
  </si>
  <si>
    <t>土地面积</t>
  </si>
  <si>
    <t>建筑物价值</t>
  </si>
  <si>
    <t>证载用途</t>
    <phoneticPr fontId="143" type="noConversion"/>
  </si>
  <si>
    <t>建筑结构</t>
    <phoneticPr fontId="143" type="noConversion"/>
  </si>
  <si>
    <t>建筑面积</t>
    <phoneticPr fontId="143" type="noConversion"/>
  </si>
  <si>
    <t>直线折旧</t>
    <phoneticPr fontId="143" type="noConversion"/>
  </si>
  <si>
    <t>综合成新率</t>
    <phoneticPr fontId="143" type="noConversion"/>
  </si>
  <si>
    <t>钢混</t>
    <phoneticPr fontId="143" type="noConversion"/>
  </si>
  <si>
    <t>钢、钢混</t>
    <phoneticPr fontId="143" type="noConversion"/>
  </si>
  <si>
    <t>钢</t>
    <phoneticPr fontId="143" type="noConversion"/>
  </si>
  <si>
    <t>能源中心</t>
    <phoneticPr fontId="143" type="noConversion"/>
  </si>
  <si>
    <t>研发楼</t>
    <phoneticPr fontId="143" type="noConversion"/>
  </si>
  <si>
    <t>车库</t>
    <phoneticPr fontId="143" type="noConversion"/>
  </si>
  <si>
    <t>风雨走廊</t>
    <phoneticPr fontId="143" type="noConversion"/>
  </si>
  <si>
    <t>保安室</t>
    <phoneticPr fontId="143" type="noConversion"/>
  </si>
  <si>
    <t>连廊</t>
    <phoneticPr fontId="143" type="noConversion"/>
  </si>
  <si>
    <t>工业</t>
    <phoneticPr fontId="143" type="noConversion"/>
  </si>
  <si>
    <t>观察成新</t>
    <phoneticPr fontId="143" type="noConversion"/>
  </si>
  <si>
    <t>地块名称</t>
  </si>
  <si>
    <t>城市</t>
  </si>
  <si>
    <t>用地性质</t>
  </si>
  <si>
    <t>区县</t>
  </si>
  <si>
    <t>板块</t>
  </si>
  <si>
    <t>土地位置</t>
  </si>
  <si>
    <t>出让方式</t>
  </si>
  <si>
    <t>地块编号</t>
  </si>
  <si>
    <t>详细规划</t>
  </si>
  <si>
    <t>建设用地面积(㎡)</t>
  </si>
  <si>
    <t>规划建筑面积(㎡)</t>
  </si>
  <si>
    <t>容积率</t>
  </si>
  <si>
    <t>开发进度</t>
  </si>
  <si>
    <t>公告时间</t>
  </si>
  <si>
    <t>起始日期</t>
  </si>
  <si>
    <t>截止日期</t>
  </si>
  <si>
    <t>成交日期</t>
  </si>
  <si>
    <t>公告编号</t>
  </si>
  <si>
    <t>交易状态</t>
  </si>
  <si>
    <t>受让单位</t>
  </si>
  <si>
    <t>保证金(万元)</t>
  </si>
  <si>
    <t>起始价(万元)</t>
  </si>
  <si>
    <t>成交价(万元)</t>
  </si>
  <si>
    <t>推出每亩价(万元/亩)</t>
  </si>
  <si>
    <t>成交每亩价(万元/亩)</t>
  </si>
  <si>
    <t>推出楼面价(元/㎡)</t>
  </si>
  <si>
    <t>成交楼面价(元/㎡)</t>
  </si>
  <si>
    <t>成交楼面价(除保障房)(元/㎡)</t>
  </si>
  <si>
    <t>溢价率</t>
  </si>
  <si>
    <t>出让年限</t>
  </si>
  <si>
    <t>竞报整体自持比例(%)</t>
  </si>
  <si>
    <t>竞报商品住房自持比例(%)</t>
  </si>
  <si>
    <t>竞报商办部分自持比例(%)</t>
  </si>
  <si>
    <t>土地星级</t>
  </si>
  <si>
    <t>北京经济技术开发区路南区N43M1地块工业项目国有建设用地</t>
  </si>
  <si>
    <t>工业用地</t>
  </si>
  <si>
    <t>大兴区</t>
  </si>
  <si>
    <t>北京经济技术开发区路南区N43M1地块</t>
  </si>
  <si>
    <t>挂牌</t>
  </si>
  <si>
    <t>京开国土挂[2018]7号</t>
  </si>
  <si>
    <t>北京经济技术开发区路南区N12M1地块</t>
  </si>
  <si>
    <t>京开国土挂[2018]6号</t>
  </si>
  <si>
    <t>北京经济技术开发区路南区N20M1地块</t>
  </si>
  <si>
    <t>京开国土挂[2018]5号</t>
  </si>
  <si>
    <t>北京经济技术开发区河西区X6-1M4地块工业项目国有建设用地</t>
  </si>
  <si>
    <t>北京经济技术开发区河西区X6-1M4地块</t>
  </si>
  <si>
    <t>京开国土挂[2018]3号</t>
  </si>
  <si>
    <t>北京经济技术开发区路南区N19M1地块工业项目国有建设用地</t>
  </si>
  <si>
    <t>北京经济技术开发区路南区N19M1地块</t>
  </si>
  <si>
    <t>京开国土挂[2018]4号</t>
  </si>
  <si>
    <t>未开工</t>
  </si>
  <si>
    <t>2018-12-11</t>
  </si>
  <si>
    <t>2019-01-02</t>
  </si>
  <si>
    <t>2019-01-16</t>
  </si>
  <si>
    <t>已成交</t>
  </si>
  <si>
    <t>北京亦庄盛元投资开发有限公司</t>
  </si>
  <si>
    <t>20年</t>
  </si>
  <si>
    <t>0星</t>
  </si>
  <si>
    <t>2018-07-31</t>
  </si>
  <si>
    <t>2018-08-20</t>
  </si>
  <si>
    <t>2018-09-03</t>
  </si>
  <si>
    <t>北京视源创新科技有限公司</t>
  </si>
  <si>
    <t>北京经济技术开发区河西区X55M1地块</t>
  </si>
  <si>
    <t>京开国土挂[2018]2号</t>
  </si>
  <si>
    <t>≥1.5且≤1.7</t>
  </si>
  <si>
    <t>北京经济技术开发区路东区B5M4地块</t>
  </si>
  <si>
    <t>京开国土挂[2018]1号</t>
  </si>
  <si>
    <t>北京经济技术开发区河西区X6-1M3地块</t>
  </si>
  <si>
    <t>京开国土挂[2017]5号</t>
  </si>
  <si>
    <t>开工中</t>
  </si>
  <si>
    <t>2018-05-04</t>
  </si>
  <si>
    <t>2018-05-24</t>
  </si>
  <si>
    <t>2018-06-06</t>
  </si>
  <si>
    <t>北京康弘生物医药有限公司</t>
  </si>
  <si>
    <t>3星</t>
  </si>
  <si>
    <t>神州细胞工程有限公司</t>
  </si>
  <si>
    <t>5星</t>
  </si>
  <si>
    <t>2017-11-27</t>
  </si>
  <si>
    <t>2017-12-18</t>
  </si>
  <si>
    <t>2018-01-03</t>
  </si>
  <si>
    <t>北京佳讯云创科技有限公司</t>
  </si>
  <si>
    <t>50年</t>
  </si>
  <si>
    <t>北京经济技术开发区路南区N31M2地块工业项目</t>
  </si>
  <si>
    <t>北京经济技术开发区路南区N31M2地块</t>
  </si>
  <si>
    <t>京开国土挂[2017]4号</t>
  </si>
  <si>
    <t>北京经济技术开发区核心区55M4-2地块</t>
  </si>
  <si>
    <t>京开国土挂[2017]3号</t>
  </si>
  <si>
    <t>2017-08-30</t>
  </si>
  <si>
    <t>2017-09-19</t>
  </si>
  <si>
    <t>2017-10-09</t>
  </si>
  <si>
    <t>北京奔驰汽车有限公司</t>
  </si>
  <si>
    <t>2017-07-14</t>
  </si>
  <si>
    <t>2017-08-03</t>
  </si>
  <si>
    <t>2017-08-17</t>
  </si>
  <si>
    <t>北京京东方光电科技有限公司</t>
  </si>
  <si>
    <t>北京经济技术开发区路东区B15M1地块</t>
  </si>
  <si>
    <t>京开国土挂[2017]2号</t>
  </si>
  <si>
    <t>1-1.5</t>
  </si>
  <si>
    <t>北京经济技术开发区路东区C8M3地块</t>
  </si>
  <si>
    <t>京开国土挂[2017]1号</t>
  </si>
  <si>
    <t>≤1.5</t>
  </si>
  <si>
    <t>北京经济技术开发区路东区B11M1地块</t>
  </si>
  <si>
    <t>京开国土挂[2016]7号</t>
  </si>
  <si>
    <t>北京经济技术开发区路东区B10M1地块</t>
  </si>
  <si>
    <t>京开国土挂[2016]6号</t>
  </si>
  <si>
    <t>北京经济技术开发区河西区X52M1地块</t>
  </si>
  <si>
    <t>京开国土挂[2016]5号</t>
  </si>
  <si>
    <t>≤2</t>
  </si>
  <si>
    <t>北京经济技术开发区77M1-a地块</t>
  </si>
  <si>
    <t>京开国土挂[2016]4号</t>
  </si>
  <si>
    <t>京开国土挂[2016]2号</t>
  </si>
  <si>
    <t>北京经济技术开发区路东区C4M-1地块</t>
  </si>
  <si>
    <t>京开国土挂[2016]3号</t>
  </si>
  <si>
    <t>北京经济技术开发区河西区X18-1M2地块工业项目</t>
  </si>
  <si>
    <t>北京经济技术开发区河西区X18-1M2地块</t>
  </si>
  <si>
    <t>京开国土挂[2016]1号</t>
  </si>
  <si>
    <t>北京经济技术开发区路南区N13M1地块</t>
  </si>
  <si>
    <t>京开国土挂[2015]5号</t>
  </si>
  <si>
    <t>≤1.2</t>
  </si>
  <si>
    <t>北京经济技术开发区核心区76M2地块工业项目</t>
  </si>
  <si>
    <t>北京经济技术开发区核心区76M2地块</t>
  </si>
  <si>
    <t>京开国土挂[2015]4号</t>
  </si>
  <si>
    <t>2017-02-20</t>
  </si>
  <si>
    <t>2017-03-13</t>
  </si>
  <si>
    <t>2017-03-23</t>
  </si>
  <si>
    <t>北京燕东微电子科技有限公司</t>
  </si>
  <si>
    <t>华卓精科(北京)精密运动系统科技有限公司</t>
  </si>
  <si>
    <t>2016-11-30</t>
  </si>
  <si>
    <t>2016-12-20</t>
  </si>
  <si>
    <t>2017-01-23</t>
  </si>
  <si>
    <t>纳微矽磊国际科技(北京)有限公司</t>
  </si>
  <si>
    <t>2016-09-13</t>
  </si>
  <si>
    <t>2016-10-10</t>
  </si>
  <si>
    <t>2016-10-24</t>
  </si>
  <si>
    <t>北京屹唐集成电路科技有限公司</t>
  </si>
  <si>
    <t>2016-08-12</t>
  </si>
  <si>
    <t>2016-09-01</t>
  </si>
  <si>
    <t>2016-09-18</t>
  </si>
  <si>
    <t>中国机动车辆安全鉴定检测中心</t>
  </si>
  <si>
    <t>2016-05-10</t>
  </si>
  <si>
    <t>2016-05-30</t>
  </si>
  <si>
    <t>2016-06-17</t>
  </si>
  <si>
    <t>北京市机动车排放管理中心</t>
  </si>
  <si>
    <t>2016-06-14</t>
  </si>
  <si>
    <t>北京惠买控股集团有限公司</t>
  </si>
  <si>
    <t>东方雨虹民用建材有限责任公司</t>
  </si>
  <si>
    <t>2016-01-05</t>
  </si>
  <si>
    <t>2016-01-25</t>
  </si>
  <si>
    <t>2016-02-06</t>
  </si>
  <si>
    <t>阿尔特置业(北京)有限公司</t>
  </si>
  <si>
    <t>已完工</t>
  </si>
  <si>
    <t>2015-11-20</t>
  </si>
  <si>
    <t>2015-12-10</t>
  </si>
  <si>
    <t>2015-12-24</t>
  </si>
  <si>
    <t>2015-09-21</t>
  </si>
  <si>
    <t>2015-10-12</t>
  </si>
  <si>
    <t>2015-10-22</t>
  </si>
  <si>
    <t>流拍</t>
  </si>
  <si>
    <t>北京经济技术开发区路东区C11M-2地块</t>
  </si>
  <si>
    <t>京开国土挂[2015]3号</t>
  </si>
  <si>
    <t>2015-08-12</t>
  </si>
  <si>
    <t>2015-09-01</t>
  </si>
  <si>
    <t>2015-09-16</t>
  </si>
  <si>
    <t>京唯科技(北京)有限公司</t>
  </si>
  <si>
    <t>北京经济技术开发区路东区E6M-1地块工业项目</t>
  </si>
  <si>
    <t>北京经济技术开发区路东区E6M-1地块</t>
  </si>
  <si>
    <t>京开国土挂[2015]2号</t>
  </si>
  <si>
    <t>北京经济技术开发区80M10-1地块工业项目</t>
  </si>
  <si>
    <t>北京经济技术开发区80M10-1地块</t>
  </si>
  <si>
    <t>京开国土挂[2015]1号</t>
  </si>
  <si>
    <t>2015-07-03</t>
  </si>
  <si>
    <t>2015-07-23</t>
  </si>
  <si>
    <t>2015-08-06</t>
  </si>
  <si>
    <t>北京小米电子产品有限公司</t>
  </si>
  <si>
    <t>2015-01-27</t>
  </si>
  <si>
    <t>2015-02-16</t>
  </si>
  <si>
    <t>2015-03-06</t>
  </si>
  <si>
    <t>森特士兴集团股份有限公司</t>
  </si>
  <si>
    <t>北京经济技术开发区路东区A13M3地块工业项目</t>
  </si>
  <si>
    <t>北京经济技术开发区路东区A13M3地块</t>
  </si>
  <si>
    <t>京开国土挂[2014]6号</t>
  </si>
  <si>
    <t>北京经济技术开发区河西区X27F3地块工业项目</t>
  </si>
  <si>
    <t>北京经济技术开发区河西区X27F3地块</t>
  </si>
  <si>
    <t>京开国土挂[2014]3号</t>
  </si>
  <si>
    <t>1.5-2</t>
  </si>
  <si>
    <t>北京经济技术开发区河西区X61M1地块工业项目</t>
  </si>
  <si>
    <t>北京经济技术开发区河西区X61M1地块</t>
  </si>
  <si>
    <t>京开国土挂[2014]4号</t>
  </si>
  <si>
    <t>2014-08-01</t>
  </si>
  <si>
    <t>2014-08-21</t>
  </si>
  <si>
    <t>2014-09-05</t>
  </si>
  <si>
    <t>北京华兴长泰物联网技术研究院有限责任公司</t>
  </si>
  <si>
    <t>北京行有恒医药有限公司</t>
  </si>
  <si>
    <t>北京世纪兴卓科技股份有限公司</t>
  </si>
  <si>
    <t>单位面积地价</t>
    <phoneticPr fontId="143" type="noConversion"/>
  </si>
  <si>
    <t>北京经济技术开发区核心区55M4-2地块</t>
    <phoneticPr fontId="143" type="noConversion"/>
  </si>
  <si>
    <t>北京经济技术开发区77M1-a地块</t>
    <phoneticPr fontId="143" type="noConversion"/>
  </si>
  <si>
    <t>北京经济技术开发区80M10-2地块</t>
    <phoneticPr fontId="143" type="noConversion"/>
  </si>
  <si>
    <t>北京经济技术开发区</t>
    <phoneticPr fontId="3" type="noConversion"/>
  </si>
  <si>
    <t>支路</t>
  </si>
  <si>
    <t>多面临街</t>
  </si>
  <si>
    <t>单面临街</t>
  </si>
  <si>
    <t>按面积比例</t>
  </si>
  <si>
    <t>北京新能源汽车股份有限公司</t>
    <phoneticPr fontId="6" type="noConversion"/>
  </si>
  <si>
    <t>无</t>
  </si>
  <si>
    <t>北京新能源汽车公司</t>
    <phoneticPr fontId="3" type="noConversion"/>
  </si>
  <si>
    <t>北京经济技术开发区东环中路5号</t>
    <phoneticPr fontId="3" type="noConversion"/>
  </si>
  <si>
    <t>《不动产权证书》</t>
  </si>
  <si>
    <t>2019-1-0124-P01DYGJ1</t>
    <phoneticPr fontId="6" type="noConversion"/>
  </si>
  <si>
    <t>中国农业银行股份有限公司北京顺义支行</t>
    <phoneticPr fontId="6" type="noConversion"/>
  </si>
  <si>
    <t>郑燚</t>
  </si>
  <si>
    <t>Ⅶ-亦1</t>
  </si>
  <si>
    <t>工业</t>
    <phoneticPr fontId="6" type="noConversion"/>
  </si>
  <si>
    <t>燃气</t>
  </si>
  <si>
    <r>
      <rPr>
        <sz val="12"/>
        <color theme="9" tint="-0.249977111117893"/>
        <rFont val="宋体"/>
        <family val="3"/>
        <charset val="134"/>
      </rPr>
      <t>《不动产权证书》</t>
    </r>
    <r>
      <rPr>
        <sz val="12"/>
        <color theme="9" tint="-0.249977111117893"/>
        <rFont val="Arial"/>
        <family val="2"/>
      </rPr>
      <t>[</t>
    </r>
    <r>
      <rPr>
        <sz val="12"/>
        <color theme="9" tint="-0.249977111117893"/>
        <rFont val="宋体"/>
        <family val="3"/>
        <charset val="134"/>
      </rPr>
      <t>京（</t>
    </r>
    <r>
      <rPr>
        <sz val="12"/>
        <color theme="9" tint="-0.249977111117893"/>
        <rFont val="Arial"/>
        <family val="2"/>
      </rPr>
      <t>2017</t>
    </r>
    <r>
      <rPr>
        <sz val="12"/>
        <color theme="9" tint="-0.249977111117893"/>
        <rFont val="宋体"/>
        <family val="3"/>
        <charset val="134"/>
      </rPr>
      <t>）开不动产权第</t>
    </r>
    <r>
      <rPr>
        <sz val="12"/>
        <color theme="9" tint="-0.249977111117893"/>
        <rFont val="Arial"/>
        <family val="2"/>
      </rPr>
      <t>0027947</t>
    </r>
    <r>
      <rPr>
        <sz val="12"/>
        <color theme="9" tint="-0.249977111117893"/>
        <rFont val="宋体"/>
        <family val="3"/>
        <charset val="134"/>
      </rPr>
      <t>、</t>
    </r>
    <r>
      <rPr>
        <sz val="12"/>
        <color theme="9" tint="-0.249977111117893"/>
        <rFont val="Arial"/>
        <family val="2"/>
      </rPr>
      <t>0027948</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
    </r>
    <phoneticPr fontId="6"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</si>
  <si>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</si>
  <si>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t>55M4-2地块</t>
    <phoneticPr fontId="3" type="noConversion"/>
  </si>
  <si>
    <t>北京经济技术开发区</t>
    <phoneticPr fontId="3" type="noConversion"/>
  </si>
  <si>
    <t>77M1-a地块</t>
    <phoneticPr fontId="3" type="noConversion"/>
  </si>
  <si>
    <t>80M10-2地块</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</si>
</sst>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C00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32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47" fillId="6" borderId="1" xfId="0" applyFont="1" applyFill="1" applyBorder="1" applyAlignment="1" applyProtection="1">
      <alignment horizontal="center" vertical="center" wrapText="1"/>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47" fillId="6" borderId="3" xfId="0"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90" fillId="7" borderId="54" xfId="0" applyFont="1" applyFill="1" applyBorder="1" applyAlignment="1" applyProtection="1">
      <alignment vertical="center"/>
      <protection locked="0"/>
    </xf>
    <xf numFmtId="0" fontId="190" fillId="7" borderId="5" xfId="0" applyFont="1" applyFill="1" applyBorder="1" applyAlignment="1" applyProtection="1">
      <alignment vertical="center"/>
      <protection locked="0"/>
    </xf>
    <xf numFmtId="9" fontId="120" fillId="5" borderId="1" xfId="1" applyNumberFormat="1" applyFont="1" applyFill="1" applyBorder="1" applyAlignment="1" applyProtection="1">
      <alignment horizontal="center" vertical="center"/>
      <protection locked="0"/>
    </xf>
    <xf numFmtId="10" fontId="106" fillId="5" borderId="1" xfId="1" applyNumberFormat="1" applyFont="1" applyFill="1" applyBorder="1" applyAlignment="1" applyProtection="1">
      <alignment horizontal="center" vertical="center"/>
      <protection locked="0"/>
    </xf>
    <xf numFmtId="181" fontId="106" fillId="5" borderId="24" xfId="0" applyNumberFormat="1" applyFont="1" applyFill="1" applyBorder="1" applyAlignment="1" applyProtection="1">
      <alignment vertical="center"/>
      <protection locked="0"/>
    </xf>
    <xf numFmtId="0" fontId="0" fillId="5" borderId="0" xfId="0" applyFill="1">
      <alignment vertical="center"/>
    </xf>
    <xf numFmtId="0" fontId="0" fillId="0" borderId="0" xfId="0" applyFill="1">
      <alignment vertical="center"/>
    </xf>
    <xf numFmtId="0" fontId="50" fillId="0" borderId="1" xfId="0" applyFont="1" applyFill="1" applyBorder="1" applyAlignment="1" applyProtection="1">
      <alignment horizontal="center" vertical="center" wrapText="1"/>
      <protection locked="0"/>
    </xf>
    <xf numFmtId="0" fontId="50" fillId="17" borderId="1" xfId="0" applyFont="1" applyFill="1" applyBorder="1" applyAlignment="1" applyProtection="1">
      <alignment horizontal="center" vertical="center" wrapText="1"/>
      <protection locked="0"/>
    </xf>
    <xf numFmtId="0" fontId="0" fillId="0" borderId="1" xfId="0" applyBorder="1">
      <alignment vertical="center"/>
    </xf>
    <xf numFmtId="0" fontId="99" fillId="0" borderId="1" xfId="0" applyFont="1" applyBorder="1">
      <alignment vertical="center"/>
    </xf>
    <xf numFmtId="10" fontId="0" fillId="0" borderId="1" xfId="0" applyNumberFormat="1" applyBorder="1">
      <alignment vertical="center"/>
    </xf>
    <xf numFmtId="0" fontId="0" fillId="0" borderId="1" xfId="0" applyFill="1" applyBorder="1">
      <alignment vertical="center"/>
    </xf>
    <xf numFmtId="0" fontId="99" fillId="0" borderId="1" xfId="0" applyFont="1" applyFill="1" applyBorder="1">
      <alignment vertical="center"/>
    </xf>
    <xf numFmtId="10" fontId="0" fillId="0" borderId="1" xfId="0" applyNumberFormat="1" applyFill="1" applyBorder="1">
      <alignment vertical="center"/>
    </xf>
    <xf numFmtId="0" fontId="47" fillId="0" borderId="1" xfId="0" applyFont="1" applyFill="1" applyBorder="1" applyAlignment="1" applyProtection="1">
      <alignment horizontal="center" vertical="center" wrapText="1"/>
      <protection locked="0"/>
    </xf>
    <xf numFmtId="0" fontId="0" fillId="17" borderId="1" xfId="0" applyFill="1" applyBorder="1">
      <alignment vertical="center"/>
    </xf>
    <xf numFmtId="0" fontId="99" fillId="17" borderId="1" xfId="0" applyFont="1" applyFill="1" applyBorder="1">
      <alignment vertical="center"/>
    </xf>
    <xf numFmtId="10" fontId="0" fillId="17" borderId="1" xfId="0" applyNumberFormat="1" applyFill="1" applyBorder="1">
      <alignment vertical="center"/>
    </xf>
    <xf numFmtId="0" fontId="0" fillId="18" borderId="0" xfId="0" applyFill="1">
      <alignment vertical="center"/>
    </xf>
    <xf numFmtId="0" fontId="0" fillId="0" borderId="0" xfId="0" applyFill="1" applyAlignment="1"/>
    <xf numFmtId="0" fontId="0" fillId="5" borderId="0" xfId="0" applyFill="1" applyAlignment="1"/>
    <xf numFmtId="0" fontId="0" fillId="19" borderId="0" xfId="0" applyFill="1" applyAlignment="1"/>
    <xf numFmtId="0" fontId="0" fillId="19" borderId="0" xfId="0" applyFill="1">
      <alignment vertical="center"/>
    </xf>
    <xf numFmtId="0" fontId="54" fillId="7" borderId="11" xfId="0" applyNumberFormat="1" applyFont="1" applyFill="1" applyBorder="1" applyAlignment="1" applyProtection="1">
      <alignment horizontal="center" vertical="center" wrapText="1"/>
    </xf>
    <xf numFmtId="0" fontId="106" fillId="7" borderId="14" xfId="0" applyNumberFormat="1" applyFont="1" applyFill="1" applyBorder="1" applyAlignment="1" applyProtection="1">
      <alignment horizontal="center" vertical="center" wrapText="1"/>
    </xf>
    <xf numFmtId="49" fontId="106" fillId="7" borderId="35" xfId="0" applyNumberFormat="1" applyFont="1" applyFill="1" applyBorder="1" applyAlignment="1" applyProtection="1">
      <alignment horizontal="center" vertical="center" wrapText="1"/>
      <protection locked="0"/>
    </xf>
    <xf numFmtId="49" fontId="106" fillId="7" borderId="14" xfId="0" applyNumberFormat="1" applyFont="1" applyFill="1" applyBorder="1" applyAlignment="1" applyProtection="1">
      <alignment horizontal="center" vertical="center" wrapText="1"/>
      <protection locked="0"/>
    </xf>
    <xf numFmtId="0" fontId="99" fillId="0" borderId="0" xfId="0" applyFont="1" applyAlignment="1"/>
    <xf numFmtId="0" fontId="0" fillId="7" borderId="0" xfId="0" applyFill="1" applyAlignment="1"/>
    <xf numFmtId="0" fontId="0" fillId="7" borderId="0" xfId="0" applyFill="1">
      <alignment vertical="center"/>
    </xf>
    <xf numFmtId="0" fontId="99" fillId="19" borderId="0" xfId="0" applyFont="1" applyFill="1" applyAlignment="1"/>
    <xf numFmtId="0" fontId="190" fillId="7" borderId="151" xfId="0" applyFont="1" applyFill="1" applyBorder="1" applyAlignment="1" applyProtection="1">
      <alignment vertical="center"/>
      <protection locked="0"/>
    </xf>
    <xf numFmtId="1" fontId="56" fillId="0" borderId="0" xfId="0" applyNumberFormat="1" applyFont="1" applyFill="1" applyAlignment="1" applyProtection="1">
      <alignment vertical="center"/>
      <protection locked="0"/>
    </xf>
    <xf numFmtId="2" fontId="104" fillId="6" borderId="5" xfId="0" applyNumberFormat="1" applyFont="1" applyFill="1" applyBorder="1" applyProtection="1">
      <alignment vertical="center"/>
    </xf>
    <xf numFmtId="10" fontId="99" fillId="17" borderId="1" xfId="0" applyNumberFormat="1" applyFont="1" applyFill="1" applyBorder="1">
      <alignment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225" fillId="0" borderId="23" xfId="0" applyFont="1" applyFill="1" applyBorder="1" applyAlignment="1" applyProtection="1">
      <alignment horizontal="center" vertical="center" wrapText="1"/>
      <protection locked="0"/>
    </xf>
    <xf numFmtId="0" fontId="98"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225" fillId="0" borderId="37" xfId="0" applyFont="1" applyFill="1" applyBorder="1" applyAlignment="1" applyProtection="1">
      <alignment horizontal="center" vertical="center" wrapText="1"/>
      <protection locked="0"/>
    </xf>
    <xf numFmtId="0" fontId="225" fillId="0" borderId="48" xfId="0" applyFont="1" applyFill="1" applyBorder="1" applyAlignment="1" applyProtection="1">
      <alignment horizontal="center" vertical="center" wrapText="1"/>
      <protection locked="0"/>
    </xf>
    <xf numFmtId="0" fontId="98"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10" fontId="0" fillId="17" borderId="1" xfId="0" applyNumberFormat="1" applyFill="1" applyBorder="1" applyAlignment="1">
      <alignment horizontal="center" vertical="center"/>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13">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 sqref="B1:B1048576"/>
    </sheetView>
  </sheetViews>
  <sheetFormatPr defaultColWidth="9" defaultRowHeight="14.25"/>
  <cols>
    <col min="1" max="1" width="35.625" style="1587" customWidth="1"/>
    <col min="2" max="2" width="81" style="1604" customWidth="1"/>
    <col min="3" max="16384" width="9" style="1602"/>
  </cols>
  <sheetData>
    <row r="1" spans="1:2" s="1590" customFormat="1" ht="16.5" thickBot="1">
      <c r="A1" s="1589" t="s">
        <v>1215</v>
      </c>
      <c r="B1" s="1588" t="s">
        <v>1294</v>
      </c>
    </row>
    <row r="2" spans="1:2" s="1593" customFormat="1" ht="15" thickTop="1">
      <c r="A2" s="1591" t="s">
        <v>1216</v>
      </c>
      <c r="B2" s="1592" t="str">
        <f>'预评函-封皮'!B37:I37</f>
        <v>北京市北京经济技术开发区东环中路5号11幢等6幢楼工业用房房地产抵押价值预评估</v>
      </c>
    </row>
    <row r="3" spans="1:2" s="1596" customFormat="1">
      <c r="A3" s="1594" t="s">
        <v>1217</v>
      </c>
      <c r="B3" s="1595" t="str">
        <f>'预评函-封皮'!B40</f>
        <v>北京新能源汽车股份有限公司</v>
      </c>
    </row>
    <row r="4" spans="1:2" s="1596" customFormat="1">
      <c r="A4" s="1594" t="s">
        <v>1218</v>
      </c>
      <c r="B4" s="1595" t="str">
        <f ca="1">'预评函-封皮'!B46</f>
        <v>崔锴（注册号：1120100036)、郑燚（注册号：1120070131)</v>
      </c>
    </row>
    <row r="5" spans="1:2" s="1590" customFormat="1" ht="15" thickBot="1">
      <c r="A5" s="1597" t="s">
        <v>1219</v>
      </c>
      <c r="B5" s="1598" t="str">
        <f>'预评函-封皮'!B49</f>
        <v>康正预评字2019-1-0124-P01DYGJ1号</v>
      </c>
    </row>
    <row r="6" spans="1:2" s="1593" customFormat="1" ht="15" thickTop="1">
      <c r="A6" s="1591" t="s">
        <v>1220</v>
      </c>
      <c r="B6" s="1592" t="str">
        <f>'预评函-1'!A4</f>
        <v>受贵公司委托，我公司对北京市北京经济技术开发区东环中路5号11幢等6幢楼工业用房房地产抵押价值进行了预评估。</v>
      </c>
    </row>
    <row r="7" spans="1:2" s="1596" customFormat="1">
      <c r="A7" s="1594" t="s">
        <v>1260</v>
      </c>
      <c r="B7" s="1595" t="str">
        <f>'预评函-1'!A7</f>
        <v>估价对象为北京市北京经济技术开发区东环中路5号11幢等6幢楼工业用房房地产，为北京新能源汽车股份有限公司所有。根据，估价对象（分摊）出让国有建设用地使用权面积为109852.9平方米，建筑面积为134490.28平方米。</v>
      </c>
    </row>
    <row r="8" spans="1:2" s="1596" customFormat="1">
      <c r="A8" s="1594" t="s">
        <v>1261</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1262</v>
      </c>
      <c r="B9" s="1595" t="str">
        <f>'预评函-1'!A10</f>
        <v>估价对象为北京市北京经济技术开发区东环中路5号11幢等6幢楼工业用房房地产,属北京新能源汽车股份有限公司开发建设的工业项目，该项目尚在开发建设中。根据，估价对象（分摊）出让国有建设用地使用权面积为109852.9平方米，规划建筑面积为134490.28平方米。</v>
      </c>
    </row>
    <row r="10" spans="1:2" s="1596" customFormat="1">
      <c r="A10" s="1594" t="s">
        <v>1263</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1221</v>
      </c>
      <c r="B11" s="1595" t="str">
        <f>'预评函-1'!A13</f>
        <v>为估价委托人在向中国农业银行股份有限公司北京顺义支行办理贷款手续过程中，确定房地产抵押贷款额度提供参考依据而评估房地产抵押价值。</v>
      </c>
    </row>
    <row r="12" spans="1:2" s="1596" customFormat="1">
      <c r="A12" s="1594" t="s">
        <v>1222</v>
      </c>
      <c r="B12" s="1595" t="str">
        <f>'预评函-1'!A15</f>
        <v>2019年3月4日（评估专业人员实地查勘之日）</v>
      </c>
    </row>
    <row r="13" spans="1:2" s="1596" customFormat="1">
      <c r="A13" s="1594" t="s">
        <v>1223</v>
      </c>
      <c r="B13" s="1595" t="str">
        <f>'预评函-1'!A18</f>
        <v>本次估价的“房地产价值”是指在正常市场情况下，在价值时点2019年3月4日，估价对象规划用途为工业，土地取得方式为出让，出让国有建设用地使用权剩余土地使用年限为31.48年，假定未设立法定优先受偿款下的房地产市场价值。</v>
      </c>
    </row>
    <row r="14" spans="1:2" s="1596" customFormat="1">
      <c r="A14" s="1594" t="s">
        <v>1224</v>
      </c>
      <c r="B14" s="1595" t="str">
        <f>'预评函-1'!A19</f>
        <v>其中，“出让国有建设用地使用权价值”是指估价对象用途为工业，实际开发程度为宗地红线外“六通”（即通路、通电、通讯、通上水、通下水、燃气）、红线内场地平整条件下，剩余土地使用年限为31.48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6" customFormat="1">
      <c r="A15" s="1594" t="s">
        <v>1225</v>
      </c>
      <c r="B15" s="1595" t="str">
        <f>'预评函-1'!A20</f>
        <v>本次估价的“房地产抵押价值”是指估价对象在价值时点的“房地产价值”扣减估价师于价值时点所知悉的法定优先受偿款后的余额。</v>
      </c>
    </row>
    <row r="16" spans="1:2" s="1596" customFormat="1">
      <c r="A16" s="1594" t="s">
        <v>1226</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1227</v>
      </c>
      <c r="B17" s="1595"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90" customFormat="1" ht="15" thickBot="1">
      <c r="A18" s="1597" t="s">
        <v>1228</v>
      </c>
      <c r="B18" s="1598" t="str">
        <f>'预评函-1'!A24</f>
        <v>本次评估采用的主估价方法为成本法和收益法。</v>
      </c>
    </row>
    <row r="19" spans="1:2" s="1593" customFormat="1" ht="15" thickTop="1">
      <c r="A19" s="1591" t="s">
        <v>1229</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1230</v>
      </c>
      <c r="B20" s="1595">
        <f ca="1">'预评函-2'!D5</f>
        <v>125754</v>
      </c>
    </row>
    <row r="21" spans="1:2" s="1596" customFormat="1">
      <c r="A21" s="1594" t="s">
        <v>1231</v>
      </c>
      <c r="B21" s="1595">
        <f ca="1">'预评函-2'!D7</f>
        <v>9350</v>
      </c>
    </row>
    <row r="22" spans="1:2" s="1596" customFormat="1">
      <c r="A22" s="1594" t="s">
        <v>1232</v>
      </c>
      <c r="B22" s="1595" t="str">
        <f ca="1">'预评函-2'!D6</f>
        <v>壹拾贰亿伍仟柒佰伍拾肆万元整</v>
      </c>
    </row>
    <row r="23" spans="1:2" s="1596" customFormat="1">
      <c r="A23" s="1594" t="s">
        <v>1283</v>
      </c>
      <c r="B23" s="1595" t="str">
        <f>'预评函-2'!B8</f>
        <v>2.估价师知悉的法定优先受偿款</v>
      </c>
    </row>
    <row r="24" spans="1:2" s="1596" customFormat="1">
      <c r="A24" s="1594" t="s">
        <v>1289</v>
      </c>
      <c r="B24" s="1595">
        <f>'预评函-2'!D8</f>
        <v>0</v>
      </c>
    </row>
    <row r="25" spans="1:2" s="1596" customFormat="1">
      <c r="A25" s="1594" t="s">
        <v>1233</v>
      </c>
      <c r="B25" s="1595" t="str">
        <f>'预评函-2'!D9</f>
        <v>零元整</v>
      </c>
    </row>
    <row r="26" spans="1:2" s="1596" customFormat="1">
      <c r="A26" s="1594" t="s">
        <v>1234</v>
      </c>
      <c r="B26" s="1595">
        <f>'预评函-2'!D10</f>
        <v>0</v>
      </c>
    </row>
    <row r="27" spans="1:2" s="1596" customFormat="1">
      <c r="A27" s="1594" t="s">
        <v>1235</v>
      </c>
      <c r="B27" s="1595">
        <f>'预评函-2'!D11</f>
        <v>0</v>
      </c>
    </row>
    <row r="28" spans="1:2" s="1596" customFormat="1">
      <c r="A28" s="1594" t="s">
        <v>1236</v>
      </c>
      <c r="B28" s="1595">
        <f>'预评函-2'!D12</f>
        <v>0</v>
      </c>
    </row>
    <row r="29" spans="1:2" s="1596" customFormat="1">
      <c r="A29" s="1594" t="s">
        <v>1287</v>
      </c>
      <c r="B29" s="1595" t="str">
        <f>'预评函-2'!B13</f>
        <v>3.房地产抵押价值</v>
      </c>
    </row>
    <row r="30" spans="1:2" s="1596" customFormat="1">
      <c r="A30" s="1594" t="s">
        <v>1288</v>
      </c>
      <c r="B30" s="1595">
        <f ca="1">'预评函-2'!D13</f>
        <v>125754</v>
      </c>
    </row>
    <row r="31" spans="1:2" s="1596" customFormat="1">
      <c r="A31" s="1594" t="s">
        <v>1270</v>
      </c>
      <c r="B31" s="1595">
        <f ca="1">'预评函-2'!D15</f>
        <v>9350</v>
      </c>
    </row>
    <row r="32" spans="1:2" s="1596" customFormat="1">
      <c r="A32" s="1594" t="s">
        <v>1237</v>
      </c>
      <c r="B32" s="1595" t="str">
        <f ca="1">'预评函-2'!D14</f>
        <v>壹拾贰亿伍仟柒佰伍拾肆万元整</v>
      </c>
    </row>
    <row r="33" spans="1:2" s="1596" customFormat="1">
      <c r="A33" s="1594" t="s">
        <v>1272</v>
      </c>
      <c r="B33" s="1595" t="str">
        <f>'预评函-2'!B16</f>
        <v>——</v>
      </c>
    </row>
    <row r="34" spans="1:2" s="1596" customFormat="1">
      <c r="A34" s="1594" t="s">
        <v>1290</v>
      </c>
      <c r="B34" s="1595" t="str">
        <f>'预评函-2'!D16</f>
        <v>——</v>
      </c>
    </row>
    <row r="35" spans="1:2" s="1596" customFormat="1">
      <c r="A35" s="1594" t="s">
        <v>1271</v>
      </c>
      <c r="B35" s="1595" t="str">
        <f>'预评函-2'!D18</f>
        <v>——</v>
      </c>
    </row>
    <row r="36" spans="1:2" s="1596" customFormat="1">
      <c r="A36" s="1594" t="s">
        <v>1238</v>
      </c>
      <c r="B36" s="1595" t="e">
        <f>'预评函-2'!D17</f>
        <v>#VALUE!</v>
      </c>
    </row>
    <row r="37" spans="1:2" s="1596" customFormat="1">
      <c r="A37" s="1594" t="s">
        <v>1273</v>
      </c>
      <c r="B37" s="1595" t="str">
        <f>'预评函-2'!B19</f>
        <v>——</v>
      </c>
    </row>
    <row r="38" spans="1:2" s="1596" customFormat="1">
      <c r="A38" s="1594" t="s">
        <v>1291</v>
      </c>
      <c r="B38" s="1595" t="str">
        <f>'预评函-2'!D19</f>
        <v>——</v>
      </c>
    </row>
    <row r="39" spans="1:2" s="1596" customFormat="1">
      <c r="A39" s="1594" t="s">
        <v>1239</v>
      </c>
      <c r="B39" s="1595" t="str">
        <f>'预评函-2'!D21</f>
        <v>——</v>
      </c>
    </row>
    <row r="40" spans="1:2" s="1596" customFormat="1">
      <c r="A40" s="1594" t="s">
        <v>1240</v>
      </c>
      <c r="B40" s="1595" t="e">
        <f>'预评函-2'!D20</f>
        <v>#VALUE!</v>
      </c>
    </row>
    <row r="41" spans="1:2" s="1596" customFormat="1">
      <c r="A41" s="1594" t="s">
        <v>1286</v>
      </c>
      <c r="B41" s="1595" t="str">
        <f>'预评函-3'!A4</f>
        <v>北京市北京经济技术开发区东环中路5号11幢等6幢楼工业用房房地产</v>
      </c>
    </row>
    <row r="42" spans="1:2" s="1596" customFormat="1">
      <c r="A42" s="1594" t="s">
        <v>1284</v>
      </c>
      <c r="B42" s="1595" t="str">
        <f>'预评函-3'!B2</f>
        <v>建筑面积</v>
      </c>
    </row>
    <row r="43" spans="1:2" s="1596" customFormat="1">
      <c r="A43" s="1594" t="s">
        <v>1285</v>
      </c>
      <c r="B43" s="1595">
        <f>'预评函-3'!B4</f>
        <v>134490.28</v>
      </c>
    </row>
    <row r="44" spans="1:2" s="1596" customFormat="1">
      <c r="A44" s="1594" t="s">
        <v>1269</v>
      </c>
      <c r="B44" s="1595" t="str">
        <f>'预评函-3'!C2</f>
        <v>(分摊)土地面积</v>
      </c>
    </row>
    <row r="45" spans="1:2" s="1596" customFormat="1">
      <c r="A45" s="1594" t="s">
        <v>1241</v>
      </c>
      <c r="B45" s="1595">
        <f>'预评函-3'!C4</f>
        <v>109852.9</v>
      </c>
    </row>
    <row r="46" spans="1:2" s="1596" customFormat="1">
      <c r="A46" s="1594" t="s">
        <v>1267</v>
      </c>
      <c r="B46" s="1595" t="str">
        <f>'预评函-3'!D2</f>
        <v>出让国有建设用地使用权价值</v>
      </c>
    </row>
    <row r="47" spans="1:2" s="1596" customFormat="1">
      <c r="A47" s="1594" t="s">
        <v>1242</v>
      </c>
      <c r="B47" s="1595">
        <f ca="1">'预评函-3'!D4</f>
        <v>37852</v>
      </c>
    </row>
    <row r="48" spans="1:2" s="1596" customFormat="1">
      <c r="A48" s="1594" t="s">
        <v>1243</v>
      </c>
      <c r="B48" s="1595">
        <f ca="1">'预评函-3'!E4</f>
        <v>2814</v>
      </c>
    </row>
    <row r="49" spans="1:2" s="1596" customFormat="1">
      <c r="A49" s="1594" t="s">
        <v>1244</v>
      </c>
      <c r="B49" s="1595" t="str">
        <f ca="1">'预评函-3'!D5</f>
        <v>叁亿柒仟捌佰伍拾贰万元整</v>
      </c>
    </row>
    <row r="50" spans="1:2" s="1596" customFormat="1">
      <c r="A50" s="1594" t="s">
        <v>1268</v>
      </c>
      <c r="B50" s="1595" t="str">
        <f>'预评函-3'!F2</f>
        <v>建筑物价值</v>
      </c>
    </row>
    <row r="51" spans="1:2" s="1596" customFormat="1">
      <c r="A51" s="1594" t="s">
        <v>1245</v>
      </c>
      <c r="B51" s="1595">
        <f ca="1">'预评函-3'!F4</f>
        <v>87902</v>
      </c>
    </row>
    <row r="52" spans="1:2" s="1596" customFormat="1">
      <c r="A52" s="1594" t="s">
        <v>1246</v>
      </c>
      <c r="B52" s="1595">
        <f ca="1">'预评函-3'!G4</f>
        <v>6536</v>
      </c>
    </row>
    <row r="53" spans="1:2" s="1596" customFormat="1">
      <c r="A53" s="1594" t="s">
        <v>1274</v>
      </c>
      <c r="B53" s="1595" t="str">
        <f ca="1">'预评函-3'!F5</f>
        <v>捌亿柒仟玖佰零贰万元整</v>
      </c>
    </row>
    <row r="54" spans="1:2" s="1596" customFormat="1">
      <c r="A54" s="1594" t="s">
        <v>1292</v>
      </c>
      <c r="B54" s="1595" t="str">
        <f>'预评函-3'!A8</f>
        <v>房地产抵押价值</v>
      </c>
    </row>
    <row r="55" spans="1:2" s="1596" customFormat="1">
      <c r="A55" s="1594" t="s">
        <v>1275</v>
      </c>
      <c r="B55" s="1595" t="str">
        <f>'预评函-3'!A10</f>
        <v/>
      </c>
    </row>
    <row r="56" spans="1:2" s="1596" customFormat="1">
      <c r="A56" s="1594" t="s">
        <v>1276</v>
      </c>
      <c r="B56" s="1595" t="str">
        <f>'预评函-3'!A12</f>
        <v/>
      </c>
    </row>
    <row r="57" spans="1:2" s="1590" customFormat="1" ht="15" thickBot="1">
      <c r="A57" s="1597" t="s">
        <v>1293</v>
      </c>
      <c r="B57" s="1598" t="str">
        <f>'预评函-3'!A6</f>
        <v>估价师知悉的法定优先受偿款</v>
      </c>
    </row>
    <row r="58" spans="1:2" s="1593" customFormat="1" ht="15" thickTop="1">
      <c r="A58" s="1591" t="s">
        <v>1247</v>
      </c>
      <c r="B58" s="1592" t="str">
        <f>'预评函-4'!A12</f>
        <v>2.本《评估意见函》仅供金融机构进行内部审核使用，不做其他目的之用。</v>
      </c>
    </row>
    <row r="59" spans="1:2" s="1596" customFormat="1">
      <c r="A59" s="1594" t="s">
        <v>1248</v>
      </c>
      <c r="B59" s="1595" t="str">
        <f>'预评函-4'!A13</f>
        <v>3.抵押双方在办理抵押登记手续时，应使用本公司出具的正式《房地产评估报告》，特提醒报告使用者注意。</v>
      </c>
    </row>
    <row r="60" spans="1:2" s="1596" customFormat="1">
      <c r="A60" s="1594" t="s">
        <v>1249</v>
      </c>
      <c r="B60" s="1595" t="str">
        <f>'预评函-4'!A14</f>
        <v>4.本次评估估价师所知悉的法定优先受偿款情况说明如下：</v>
      </c>
    </row>
    <row r="61" spans="1:2" s="1596" customFormat="1">
      <c r="A61" s="1594" t="s">
        <v>1250</v>
      </c>
      <c r="B61" s="1595" t="str">
        <f>'预评函-4'!A15</f>
        <v>（1）根据估价对象《不动产权证书》原件，截至价值时点，估价对象抵押权未见登记。</v>
      </c>
    </row>
    <row r="62" spans="1:2" s="1596" customFormat="1">
      <c r="A62" s="1594" t="s">
        <v>1251</v>
      </c>
      <c r="B62" s="1595" t="str">
        <f>'预评函-4'!A16</f>
        <v>（2）根据《工程款支付情况说明》，截至价值时点，估价对象不存在应付未付工程款项。（只要没有施工方盖章的，均“设定”进行表述）</v>
      </c>
    </row>
    <row r="63" spans="1:2" s="1596" customFormat="1">
      <c r="A63" s="1594" t="s">
        <v>1252</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1264</v>
      </c>
      <c r="B64" s="1595" t="str">
        <f>'预评函-4'!A18</f>
        <v>故，本次评估不存在估价师知悉的法定优先受偿款</v>
      </c>
    </row>
    <row r="65" spans="1:2" s="1596" customFormat="1">
      <c r="A65" s="1594" t="s">
        <v>1253</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1254</v>
      </c>
      <c r="B66" s="1595" t="str">
        <f>'预评函-4'!A20</f>
        <v>——</v>
      </c>
    </row>
    <row r="67" spans="1:2" s="1596" customFormat="1">
      <c r="A67" s="1594" t="s">
        <v>1265</v>
      </c>
      <c r="B67" s="1595" t="str">
        <f>'预评函-4'!A21</f>
        <v>——</v>
      </c>
    </row>
    <row r="68" spans="1:2" s="1596" customFormat="1">
      <c r="A68" s="1594" t="s">
        <v>1266</v>
      </c>
      <c r="B68" s="1595" t="str">
        <f>'预评函-4'!A22</f>
        <v>8.其他需特殊说明事项：无（注意调整序号）</v>
      </c>
    </row>
    <row r="69" spans="1:2" s="1590" customFormat="1" ht="15" thickBot="1">
      <c r="A69" s="1597" t="s">
        <v>1255</v>
      </c>
      <c r="B69" s="1599">
        <f>'预评函-4'!C31</f>
        <v>42551</v>
      </c>
    </row>
    <row r="70" spans="1:2" ht="15" thickTop="1">
      <c r="A70" s="1600" t="s">
        <v>1256</v>
      </c>
      <c r="B70" s="1601" t="str">
        <f>'预评函-4'!A4</f>
        <v>崔锴</v>
      </c>
    </row>
    <row r="71" spans="1:2">
      <c r="A71" s="1594" t="s">
        <v>1257</v>
      </c>
      <c r="B71" s="1595">
        <f ca="1">'预评函-4'!B4</f>
        <v>1120100036</v>
      </c>
    </row>
    <row r="72" spans="1:2">
      <c r="A72" s="1594" t="s">
        <v>1258</v>
      </c>
      <c r="B72" s="1603" t="str">
        <f>'预评函-4'!A5</f>
        <v>郑燚</v>
      </c>
    </row>
    <row r="73" spans="1:2" s="1590" customFormat="1" ht="15" thickBot="1">
      <c r="A73" s="1597" t="s">
        <v>1259</v>
      </c>
      <c r="B73" s="1598">
        <f ca="1">'预评函-4'!B5</f>
        <v>1120070131</v>
      </c>
    </row>
    <row r="74" spans="1:2" ht="15" thickTop="1">
      <c r="A74" s="1587" t="s">
        <v>1295</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9" sqref="B19"/>
    </sheetView>
  </sheetViews>
  <sheetFormatPr defaultColWidth="9" defaultRowHeight="13.5"/>
  <cols>
    <col min="1" max="1" width="13.5" style="2027" customWidth="1"/>
    <col min="2" max="2" width="23.25" style="1978" customWidth="1"/>
    <col min="3" max="3" width="13" style="2022" customWidth="1"/>
    <col min="4" max="4" width="5.75" style="2019" customWidth="1"/>
    <col min="5" max="5" width="7.125" style="2019" customWidth="1"/>
    <col min="6" max="6" width="10.625" style="2019" customWidth="1"/>
    <col min="7" max="7" width="7.5" style="2019" customWidth="1"/>
    <col min="8" max="8" width="9" style="2022" customWidth="1"/>
    <col min="9" max="9" width="11.625" style="2022" customWidth="1"/>
    <col min="10" max="10" width="9" style="2022" customWidth="1"/>
    <col min="11" max="19" width="9" style="2019" customWidth="1"/>
    <col min="20" max="23" width="9" style="2022" customWidth="1"/>
    <col min="24" max="24" width="21.125" style="1978" customWidth="1"/>
    <col min="25" max="16384" width="9" style="1978"/>
  </cols>
  <sheetData>
    <row r="1" spans="1:23" s="2016" customFormat="1" ht="27">
      <c r="A1" s="2010" t="s">
        <v>71</v>
      </c>
      <c r="B1" s="2011" t="s">
        <v>1686</v>
      </c>
      <c r="C1" s="2012" t="s">
        <v>759</v>
      </c>
      <c r="D1" s="2013" t="s">
        <v>1687</v>
      </c>
      <c r="E1" s="2013" t="s">
        <v>1688</v>
      </c>
      <c r="F1" s="2013" t="s">
        <v>1689</v>
      </c>
      <c r="G1" s="2013" t="s">
        <v>1690</v>
      </c>
      <c r="H1" s="2013" t="s">
        <v>1691</v>
      </c>
      <c r="I1" s="2013" t="s">
        <v>1692</v>
      </c>
      <c r="J1" s="2013" t="s">
        <v>1693</v>
      </c>
      <c r="K1" s="2013" t="s">
        <v>1694</v>
      </c>
      <c r="L1" s="2013" t="s">
        <v>1695</v>
      </c>
      <c r="M1" s="2013" t="s">
        <v>1696</v>
      </c>
      <c r="N1" s="2013" t="s">
        <v>1697</v>
      </c>
      <c r="O1" s="2013" t="s">
        <v>1698</v>
      </c>
      <c r="P1" s="2014" t="s">
        <v>753</v>
      </c>
      <c r="Q1" s="2014" t="s">
        <v>1141</v>
      </c>
      <c r="R1" s="2013" t="s">
        <v>1135</v>
      </c>
      <c r="S1" s="2013" t="s">
        <v>1699</v>
      </c>
      <c r="T1" s="2015" t="s">
        <v>1700</v>
      </c>
      <c r="U1" s="2013" t="s">
        <v>1701</v>
      </c>
      <c r="V1" s="2013" t="s">
        <v>1702</v>
      </c>
      <c r="W1" s="2013" t="s">
        <v>755</v>
      </c>
    </row>
    <row r="2" spans="1:23">
      <c r="A2" s="2017" t="s">
        <v>22</v>
      </c>
      <c r="B2" s="2017" t="s">
        <v>1703</v>
      </c>
      <c r="C2" s="2018" t="s">
        <v>760</v>
      </c>
      <c r="D2" s="2019" t="s">
        <v>1704</v>
      </c>
      <c r="E2" s="2019" t="s">
        <v>1705</v>
      </c>
      <c r="F2" s="2019" t="s">
        <v>1706</v>
      </c>
      <c r="G2" s="2019">
        <v>40</v>
      </c>
      <c r="H2" s="2019" t="s">
        <v>1706</v>
      </c>
      <c r="I2" s="2019" t="s">
        <v>1707</v>
      </c>
      <c r="J2" s="2019" t="s">
        <v>1708</v>
      </c>
      <c r="K2" s="2019" t="s">
        <v>1709</v>
      </c>
      <c r="L2" s="2019" t="s">
        <v>1709</v>
      </c>
      <c r="M2" s="2019" t="s">
        <v>1709</v>
      </c>
      <c r="N2" s="2019" t="s">
        <v>1709</v>
      </c>
      <c r="O2" s="2019" t="s">
        <v>1709</v>
      </c>
      <c r="P2" s="2019" t="s">
        <v>1709</v>
      </c>
      <c r="Q2" s="2019" t="s">
        <v>1709</v>
      </c>
      <c r="R2" s="2019" t="s">
        <v>1137</v>
      </c>
      <c r="S2" s="2019" t="s">
        <v>1709</v>
      </c>
      <c r="T2" s="2019" t="s">
        <v>1710</v>
      </c>
      <c r="U2" s="2019" t="s">
        <v>1709</v>
      </c>
      <c r="V2" s="2019" t="s">
        <v>1711</v>
      </c>
      <c r="W2" s="2019" t="s">
        <v>1709</v>
      </c>
    </row>
    <row r="3" spans="1:23">
      <c r="A3" s="2017" t="s">
        <v>1712</v>
      </c>
      <c r="B3" s="2020" t="s">
        <v>1142</v>
      </c>
      <c r="C3" s="2021" t="s">
        <v>761</v>
      </c>
      <c r="D3" s="2019" t="s">
        <v>1713</v>
      </c>
      <c r="E3" s="2019" t="s">
        <v>16</v>
      </c>
      <c r="F3" s="2019" t="s">
        <v>1714</v>
      </c>
      <c r="G3" s="2019">
        <v>50</v>
      </c>
      <c r="H3" s="2019" t="s">
        <v>1714</v>
      </c>
      <c r="I3" s="2019" t="s">
        <v>1715</v>
      </c>
      <c r="J3" s="2019" t="s">
        <v>1716</v>
      </c>
      <c r="K3" s="2019" t="s">
        <v>1717</v>
      </c>
      <c r="L3" s="2019" t="s">
        <v>1717</v>
      </c>
      <c r="M3" s="2019" t="s">
        <v>1717</v>
      </c>
      <c r="N3" s="2019" t="s">
        <v>1717</v>
      </c>
      <c r="O3" s="2019" t="s">
        <v>1717</v>
      </c>
      <c r="P3" s="2019" t="s">
        <v>1717</v>
      </c>
      <c r="Q3" s="2019" t="s">
        <v>1717</v>
      </c>
      <c r="R3" s="2019" t="s">
        <v>1136</v>
      </c>
      <c r="S3" s="2019" t="s">
        <v>1717</v>
      </c>
      <c r="T3" s="2019" t="s">
        <v>1718</v>
      </c>
      <c r="U3" s="2019" t="s">
        <v>1717</v>
      </c>
      <c r="V3" s="2019" t="s">
        <v>1719</v>
      </c>
      <c r="W3" s="2019" t="s">
        <v>1717</v>
      </c>
    </row>
    <row r="4" spans="1:23">
      <c r="A4" s="2017" t="s">
        <v>1720</v>
      </c>
      <c r="B4" s="2017" t="s">
        <v>1721</v>
      </c>
      <c r="C4" s="2018" t="s">
        <v>762</v>
      </c>
      <c r="D4" s="2019" t="s">
        <v>865</v>
      </c>
      <c r="E4" s="2019" t="s">
        <v>1722</v>
      </c>
      <c r="F4" s="2019" t="s">
        <v>1723</v>
      </c>
      <c r="G4" s="2019">
        <v>70</v>
      </c>
      <c r="H4" s="2019" t="s">
        <v>1723</v>
      </c>
      <c r="I4" s="2019" t="s">
        <v>1724</v>
      </c>
      <c r="K4" s="2019" t="s">
        <v>1725</v>
      </c>
      <c r="L4" s="2019" t="s">
        <v>1725</v>
      </c>
      <c r="M4" s="2019" t="s">
        <v>1725</v>
      </c>
      <c r="N4" s="2019" t="s">
        <v>1725</v>
      </c>
      <c r="O4" s="2019" t="s">
        <v>1725</v>
      </c>
      <c r="P4" s="2019" t="s">
        <v>1725</v>
      </c>
      <c r="Q4" s="2019" t="s">
        <v>1725</v>
      </c>
      <c r="R4" s="2019" t="s">
        <v>1138</v>
      </c>
      <c r="S4" s="2019" t="s">
        <v>1725</v>
      </c>
      <c r="T4" s="2019" t="s">
        <v>1726</v>
      </c>
      <c r="U4" s="2019" t="s">
        <v>1725</v>
      </c>
      <c r="W4" s="2019" t="s">
        <v>1725</v>
      </c>
    </row>
    <row r="5" spans="1:23">
      <c r="A5" s="2017" t="s">
        <v>1727</v>
      </c>
      <c r="B5" s="2017" t="s">
        <v>1728</v>
      </c>
      <c r="C5" s="2018" t="s">
        <v>763</v>
      </c>
      <c r="F5" s="2019" t="s">
        <v>1729</v>
      </c>
      <c r="H5" s="2019" t="s">
        <v>1730</v>
      </c>
      <c r="I5" s="2019" t="s">
        <v>1731</v>
      </c>
      <c r="K5" s="2019" t="s">
        <v>1732</v>
      </c>
      <c r="L5" s="2019" t="s">
        <v>1732</v>
      </c>
      <c r="M5" s="2019" t="s">
        <v>1732</v>
      </c>
      <c r="N5" s="2019" t="s">
        <v>1732</v>
      </c>
      <c r="O5" s="2019" t="s">
        <v>1732</v>
      </c>
      <c r="P5" s="2019" t="s">
        <v>1732</v>
      </c>
      <c r="Q5" s="2019" t="s">
        <v>1732</v>
      </c>
      <c r="R5" s="2019" t="s">
        <v>1139</v>
      </c>
      <c r="S5" s="2019" t="s">
        <v>1732</v>
      </c>
      <c r="T5" s="2019" t="s">
        <v>1733</v>
      </c>
      <c r="U5" s="2019" t="s">
        <v>1732</v>
      </c>
      <c r="W5" s="2019" t="s">
        <v>1732</v>
      </c>
    </row>
    <row r="6" spans="1:23">
      <c r="A6" s="2017" t="s">
        <v>1734</v>
      </c>
      <c r="B6" s="2020" t="s">
        <v>1143</v>
      </c>
      <c r="C6" s="2023" t="s">
        <v>30</v>
      </c>
      <c r="F6" s="2019" t="s">
        <v>1730</v>
      </c>
      <c r="H6" s="2019" t="s">
        <v>1735</v>
      </c>
      <c r="I6" s="2019" t="s">
        <v>1736</v>
      </c>
      <c r="K6" s="2019" t="s">
        <v>1737</v>
      </c>
      <c r="L6" s="2019" t="s">
        <v>1737</v>
      </c>
      <c r="M6" s="2019" t="s">
        <v>1737</v>
      </c>
      <c r="N6" s="2019" t="s">
        <v>1737</v>
      </c>
      <c r="O6" s="2019" t="s">
        <v>1737</v>
      </c>
      <c r="P6" s="2019" t="s">
        <v>1737</v>
      </c>
      <c r="Q6" s="2019" t="s">
        <v>1737</v>
      </c>
      <c r="R6" s="2019" t="s">
        <v>1140</v>
      </c>
      <c r="S6" s="2019" t="s">
        <v>1737</v>
      </c>
      <c r="T6" s="2019"/>
      <c r="U6" s="2019" t="s">
        <v>1737</v>
      </c>
      <c r="W6" s="2019" t="s">
        <v>1737</v>
      </c>
    </row>
    <row r="7" spans="1:23">
      <c r="A7" s="2017" t="s">
        <v>1738</v>
      </c>
      <c r="B7" s="2020" t="s">
        <v>1144</v>
      </c>
      <c r="C7" s="2018" t="s">
        <v>31</v>
      </c>
      <c r="F7" s="2019" t="s">
        <v>1739</v>
      </c>
      <c r="H7" s="2019" t="s">
        <v>1740</v>
      </c>
      <c r="I7" s="2019" t="s">
        <v>1741</v>
      </c>
    </row>
    <row r="8" spans="1:23">
      <c r="A8" s="2017" t="s">
        <v>1742</v>
      </c>
      <c r="B8" s="2017" t="s">
        <v>1743</v>
      </c>
      <c r="C8" s="2018" t="s">
        <v>764</v>
      </c>
      <c r="F8" s="2019" t="s">
        <v>1744</v>
      </c>
      <c r="H8" s="2019"/>
      <c r="I8" s="2019" t="s">
        <v>1745</v>
      </c>
    </row>
    <row r="9" spans="1:23">
      <c r="A9" s="2017" t="s">
        <v>1746</v>
      </c>
      <c r="B9" s="2017" t="s">
        <v>1747</v>
      </c>
      <c r="C9" s="2018" t="s">
        <v>765</v>
      </c>
      <c r="F9" s="2019" t="s">
        <v>1748</v>
      </c>
      <c r="H9" s="2019"/>
    </row>
    <row r="10" spans="1:23">
      <c r="A10" s="2017" t="s">
        <v>1749</v>
      </c>
      <c r="B10" s="2017" t="s">
        <v>1750</v>
      </c>
      <c r="C10" s="2018" t="s">
        <v>766</v>
      </c>
      <c r="F10" s="2019" t="s">
        <v>16</v>
      </c>
    </row>
    <row r="11" spans="1:23">
      <c r="A11" s="2017" t="s">
        <v>1751</v>
      </c>
      <c r="B11" s="2017" t="s">
        <v>1752</v>
      </c>
      <c r="C11" s="2018" t="s">
        <v>767</v>
      </c>
    </row>
    <row r="12" spans="1:23">
      <c r="A12" s="2017" t="s">
        <v>1753</v>
      </c>
      <c r="B12" s="2017" t="s">
        <v>1754</v>
      </c>
      <c r="C12" s="2018" t="s">
        <v>768</v>
      </c>
    </row>
    <row r="13" spans="1:23">
      <c r="A13" s="2017" t="s">
        <v>1755</v>
      </c>
      <c r="B13" s="2017" t="s">
        <v>1756</v>
      </c>
      <c r="C13" s="2018" t="s">
        <v>769</v>
      </c>
    </row>
    <row r="14" spans="1:23">
      <c r="A14" s="2017" t="s">
        <v>1757</v>
      </c>
      <c r="B14" s="2017" t="s">
        <v>1758</v>
      </c>
      <c r="C14" s="2019" t="s">
        <v>16</v>
      </c>
    </row>
    <row r="15" spans="1:23">
      <c r="A15" s="2017" t="s">
        <v>1759</v>
      </c>
      <c r="B15" s="2017" t="s">
        <v>1760</v>
      </c>
      <c r="C15" s="2018"/>
    </row>
    <row r="16" spans="1:23">
      <c r="A16" s="2017" t="s">
        <v>1761</v>
      </c>
      <c r="B16" s="2017" t="s">
        <v>756</v>
      </c>
      <c r="C16" s="2018"/>
    </row>
    <row r="17" spans="1:3">
      <c r="A17" s="2017" t="s">
        <v>1762</v>
      </c>
      <c r="B17" s="2020" t="s">
        <v>3116</v>
      </c>
      <c r="C17" s="2018"/>
    </row>
    <row r="18" spans="1:3">
      <c r="A18" s="2017" t="s">
        <v>1763</v>
      </c>
      <c r="B18" s="2020" t="s">
        <v>3118</v>
      </c>
      <c r="C18" s="2018"/>
    </row>
    <row r="19" spans="1:3">
      <c r="A19" s="2017" t="s">
        <v>1764</v>
      </c>
      <c r="B19" s="2017" t="s">
        <v>757</v>
      </c>
      <c r="C19" s="2018"/>
    </row>
    <row r="20" spans="1:3">
      <c r="A20" s="2017" t="s">
        <v>1765</v>
      </c>
      <c r="B20" s="2017" t="s">
        <v>757</v>
      </c>
      <c r="C20" s="2018"/>
    </row>
    <row r="21" spans="1:3">
      <c r="A21" s="2017" t="s">
        <v>1766</v>
      </c>
      <c r="B21" s="2017" t="s">
        <v>757</v>
      </c>
      <c r="C21" s="2018"/>
    </row>
    <row r="22" spans="1:3">
      <c r="A22" s="2017" t="s">
        <v>1767</v>
      </c>
      <c r="B22" s="2017" t="s">
        <v>757</v>
      </c>
      <c r="C22" s="2018"/>
    </row>
    <row r="23" spans="1:3">
      <c r="A23" s="2017" t="s">
        <v>1768</v>
      </c>
      <c r="B23" s="2017" t="s">
        <v>757</v>
      </c>
      <c r="C23" s="2018"/>
    </row>
    <row r="24" spans="1:3">
      <c r="A24" s="2017" t="s">
        <v>1769</v>
      </c>
      <c r="B24" s="2017" t="s">
        <v>757</v>
      </c>
      <c r="C24" s="2018"/>
    </row>
    <row r="25" spans="1:3">
      <c r="A25" s="2017" t="s">
        <v>1770</v>
      </c>
      <c r="B25" s="2017" t="s">
        <v>757</v>
      </c>
      <c r="C25" s="2018"/>
    </row>
    <row r="26" spans="1:3">
      <c r="A26" s="2017" t="s">
        <v>1771</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854</v>
      </c>
      <c r="B51" s="2025" t="str">
        <f>"为估价委托人在向"&amp;项目基本情况!B6&amp;"办理贷款手续过程中，确定房地产抵押贷款额度提供参考依据而评估房地产抵押价值。"</f>
        <v>为估价委托人在向中国农业银行股份有限公司北京顺义支行办理贷款手续过程中，确定房地产抵押贷款额度提供参考依据而评估房地产抵押价值。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新能源汽车股份有限公司拟使用北京市北京经济技术开发区东环中路5号11幢等6幢楼工业用房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D51" s="2025" t="s">
        <v>1280</v>
      </c>
    </row>
    <row r="52" spans="1:4">
      <c r="A52" s="2024" t="s">
        <v>855</v>
      </c>
      <c r="B52" s="2024" t="s">
        <v>856</v>
      </c>
      <c r="C52" s="2022" t="s">
        <v>857</v>
      </c>
      <c r="D52" s="2022" t="s">
        <v>858</v>
      </c>
    </row>
    <row r="53" spans="1:4">
      <c r="A53" s="3036" t="s">
        <v>859</v>
      </c>
      <c r="B53" s="2025" t="s">
        <v>860</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3月4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036"/>
      <c r="B54" s="2025" t="s">
        <v>861</v>
      </c>
      <c r="C54" s="2022" t="s">
        <v>1277</v>
      </c>
    </row>
    <row r="55" spans="1:4">
      <c r="A55" s="3036"/>
      <c r="B55" s="2025" t="s">
        <v>862</v>
      </c>
      <c r="C55" s="2022" t="s">
        <v>1278</v>
      </c>
    </row>
    <row r="56" spans="1:4">
      <c r="A56" s="3036"/>
      <c r="B56" s="2025" t="s">
        <v>863</v>
      </c>
      <c r="C56" s="2022" t="s">
        <v>1282</v>
      </c>
    </row>
    <row r="57" spans="1:4">
      <c r="A57" s="3036"/>
      <c r="B57" s="2025" t="s">
        <v>864</v>
      </c>
      <c r="C57" s="2022" t="s">
        <v>1279</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I13" sqref="I13"/>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59" customWidth="1"/>
    <col min="10" max="10" width="10" style="2035" customWidth="1"/>
    <col min="11" max="11" width="10" style="2160" customWidth="1"/>
    <col min="12" max="13" width="10" style="2161" customWidth="1"/>
    <col min="14" max="14" width="10" style="2035" customWidth="1"/>
    <col min="15" max="15" width="10" style="2159" customWidth="1"/>
    <col min="16" max="17" width="10" style="2035"/>
    <col min="18" max="18" width="10" style="2035" customWidth="1"/>
    <col min="19" max="16384" width="10" style="2035"/>
  </cols>
  <sheetData>
    <row r="1" spans="1:19" ht="38.25" customHeight="1" thickBot="1">
      <c r="A1" s="2028" t="s">
        <v>1772</v>
      </c>
      <c r="B1" s="3045" t="str">
        <f>IF(B10="北京市","北京市",C10)&amp;F10&amp;IF(结果表!G1="在建","出让国有建设用地使用权及在建建筑物",IF(结果表!G1="土地","出让国有建设用地使用权",))&amp;B9&amp;"预评估"</f>
        <v>北京市北京经济技术开发区东环中路5号11幢等6幢楼工业用房房地产抵押价值预评估</v>
      </c>
      <c r="C1" s="3046"/>
      <c r="D1" s="3046"/>
      <c r="E1" s="3046"/>
      <c r="F1" s="3046"/>
      <c r="G1" s="3046"/>
      <c r="H1" s="3046"/>
      <c r="I1" s="3047"/>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北京市北京经济技术开发区东环中路5号11幢等6幢楼工业用房房地产抵押价值</v>
      </c>
    </row>
    <row r="2" spans="1:19" ht="18" customHeight="1">
      <c r="A2" s="2029" t="s">
        <v>1773</v>
      </c>
      <c r="B2" s="1042" t="s">
        <v>3347</v>
      </c>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北京市北京经济技术开发区东环中路5号11幢等6幢楼工业用房房地产</v>
      </c>
    </row>
    <row r="3" spans="1:19" ht="18" customHeight="1">
      <c r="A3" s="2038" t="s">
        <v>1774</v>
      </c>
      <c r="B3" s="2039">
        <v>43528</v>
      </c>
      <c r="C3" s="2040" t="s">
        <v>1775</v>
      </c>
      <c r="D3" s="2039">
        <v>43528</v>
      </c>
      <c r="E3" s="2029"/>
      <c r="F3" s="2029"/>
      <c r="G3" s="2029"/>
      <c r="H3" s="2029"/>
      <c r="I3" s="2029"/>
      <c r="J3" s="2029"/>
      <c r="K3" s="2030"/>
      <c r="L3" s="2031"/>
      <c r="M3" s="2031"/>
      <c r="N3" s="2032"/>
      <c r="O3" s="2033"/>
      <c r="P3" s="2032"/>
      <c r="Q3" s="2032"/>
      <c r="R3" s="2032"/>
      <c r="S3" s="2034"/>
    </row>
    <row r="4" spans="1:19" ht="18" customHeight="1" thickBot="1">
      <c r="A4" s="2041" t="s">
        <v>1776</v>
      </c>
      <c r="B4" s="2042" t="s">
        <v>3099</v>
      </c>
      <c r="C4" s="1040">
        <f ca="1">SUMIF(注册房地产估价师,B4,估价师及机构信息!B3:B24)</f>
        <v>1120100036</v>
      </c>
      <c r="D4" s="2042" t="s">
        <v>3349</v>
      </c>
      <c r="E4" s="1041">
        <f ca="1">SUMIF(注册房地产估价师,D4,估价师及机构信息!B3:B24)</f>
        <v>1120070131</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崔锴（注册号：1120100036)、郑燚（注册号：1120070131)</v>
      </c>
      <c r="L4" s="2031"/>
      <c r="M4" s="2031"/>
      <c r="N4" s="2032"/>
      <c r="O4" s="2033"/>
      <c r="P4" s="2032"/>
      <c r="Q4" s="2032"/>
      <c r="R4" s="2032"/>
      <c r="S4" s="2034"/>
    </row>
    <row r="5" spans="1:19" ht="18" customHeight="1" thickTop="1">
      <c r="A5" s="2047" t="s">
        <v>1777</v>
      </c>
      <c r="B5" s="2989" t="s">
        <v>3342</v>
      </c>
      <c r="C5" s="2048"/>
      <c r="D5" s="2049"/>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thickBot="1">
      <c r="A6" s="2050" t="s">
        <v>1778</v>
      </c>
      <c r="B6" s="2958" t="s">
        <v>3348</v>
      </c>
      <c r="C6" s="2051"/>
      <c r="D6" s="2052"/>
      <c r="E6" s="2037"/>
      <c r="F6" s="2045"/>
      <c r="G6" s="2045"/>
      <c r="H6" s="2045"/>
      <c r="I6" s="2045"/>
      <c r="J6" s="2045"/>
      <c r="K6" s="2053" t="str">
        <f>IF(COUNTIF(B6,"*上海银行*"),"上海银行","")</f>
        <v/>
      </c>
      <c r="L6" s="2031"/>
      <c r="M6" s="2031"/>
      <c r="N6" s="2032"/>
      <c r="O6" s="2033"/>
      <c r="P6" s="2032"/>
      <c r="Q6" s="2032"/>
      <c r="R6" s="2032"/>
    </row>
    <row r="7" spans="1:19" ht="18" customHeight="1" thickTop="1">
      <c r="A7" s="2050" t="s">
        <v>1779</v>
      </c>
      <c r="B7" s="2989" t="s">
        <v>3342</v>
      </c>
      <c r="C7" s="2051"/>
      <c r="D7" s="2052"/>
      <c r="E7" s="2037"/>
      <c r="F7" s="2045"/>
      <c r="G7" s="2045"/>
      <c r="H7" s="2045"/>
      <c r="I7" s="2045"/>
      <c r="J7" s="2045"/>
      <c r="K7" s="2054"/>
      <c r="L7" s="2031"/>
      <c r="M7" s="2031"/>
      <c r="N7" s="2032"/>
      <c r="O7" s="2033"/>
      <c r="P7" s="2032"/>
      <c r="Q7" s="2032"/>
      <c r="R7" s="2032"/>
    </row>
    <row r="8" spans="1:19" ht="18" customHeight="1">
      <c r="A8" s="2050" t="s">
        <v>1780</v>
      </c>
      <c r="B8" s="2055" t="s">
        <v>3044</v>
      </c>
      <c r="C8" s="2056"/>
      <c r="D8" s="3048" t="s">
        <v>1781</v>
      </c>
      <c r="E8" s="2057" t="s">
        <v>3045</v>
      </c>
      <c r="F8" s="2058"/>
      <c r="G8" s="2029"/>
      <c r="H8" s="2029"/>
      <c r="I8" s="2029"/>
      <c r="J8" s="2045"/>
      <c r="K8" s="2046"/>
      <c r="L8" s="2031"/>
      <c r="M8" s="2031"/>
      <c r="N8" s="2032"/>
      <c r="O8" s="2033"/>
      <c r="P8" s="2032"/>
      <c r="Q8" s="2032"/>
      <c r="R8" s="2032"/>
    </row>
    <row r="9" spans="1:19" ht="18" customHeight="1" thickBot="1">
      <c r="A9" s="2043" t="s">
        <v>1782</v>
      </c>
      <c r="B9" s="2059" t="s">
        <v>3045</v>
      </c>
      <c r="C9" s="2060"/>
      <c r="D9" s="3049"/>
      <c r="E9" s="2059"/>
      <c r="F9" s="2061"/>
      <c r="G9" s="2062"/>
      <c r="H9" s="2062"/>
      <c r="I9" s="2062"/>
      <c r="J9" s="2045"/>
      <c r="K9" s="2054"/>
      <c r="L9" s="2031"/>
      <c r="M9" s="2031"/>
      <c r="N9" s="2032"/>
      <c r="O9" s="2033"/>
      <c r="P9" s="2032"/>
      <c r="Q9" s="2032"/>
      <c r="R9" s="2032"/>
    </row>
    <row r="10" spans="1:19" ht="18" customHeight="1" thickTop="1">
      <c r="A10" s="2063" t="s">
        <v>1783</v>
      </c>
      <c r="B10" s="2064" t="s">
        <v>3046</v>
      </c>
      <c r="C10" s="2065"/>
      <c r="D10" s="2049"/>
      <c r="E10" s="2066" t="s">
        <v>1784</v>
      </c>
      <c r="F10" s="2067" t="s">
        <v>3098</v>
      </c>
      <c r="G10" s="2068"/>
      <c r="H10" s="2069"/>
      <c r="I10" s="2049"/>
      <c r="J10" s="2045"/>
      <c r="K10" s="2054"/>
      <c r="L10" s="2031"/>
      <c r="M10" s="2031"/>
      <c r="N10" s="2032"/>
      <c r="O10" s="2033"/>
      <c r="P10" s="2032"/>
      <c r="Q10" s="2032"/>
      <c r="R10" s="2032"/>
    </row>
    <row r="11" spans="1:19" ht="18" customHeight="1">
      <c r="A11" s="2070" t="s">
        <v>1785</v>
      </c>
      <c r="B11" s="2071" t="s">
        <v>3047</v>
      </c>
      <c r="C11" s="2957" t="s">
        <v>3097</v>
      </c>
      <c r="D11" s="2072"/>
      <c r="E11" s="2045"/>
      <c r="F11" s="2045"/>
      <c r="G11" s="2045"/>
      <c r="H11" s="2045"/>
      <c r="I11" s="2045"/>
      <c r="J11" s="2045"/>
      <c r="K11" s="2054"/>
      <c r="L11" s="2031"/>
      <c r="M11" s="2031"/>
      <c r="N11" s="2032"/>
      <c r="O11" s="2033"/>
      <c r="P11" s="2032"/>
      <c r="Q11" s="2032"/>
      <c r="R11" s="2032"/>
    </row>
    <row r="12" spans="1:19" ht="18" customHeight="1">
      <c r="A12" s="2073" t="s">
        <v>1786</v>
      </c>
      <c r="B12" s="2071" t="s">
        <v>3048</v>
      </c>
      <c r="C12" s="2074" t="s">
        <v>1787</v>
      </c>
      <c r="D12" s="2075" t="s">
        <v>1788</v>
      </c>
      <c r="E12" s="2075" t="s">
        <v>1789</v>
      </c>
      <c r="F12" s="2075" t="s">
        <v>1790</v>
      </c>
      <c r="G12" s="2075" t="s">
        <v>1791</v>
      </c>
      <c r="H12" s="2075" t="s">
        <v>1792</v>
      </c>
      <c r="I12" s="2075" t="s">
        <v>1793</v>
      </c>
      <c r="J12" s="2045"/>
      <c r="K12" s="2054"/>
      <c r="L12" s="2031"/>
      <c r="M12" s="2031"/>
      <c r="N12" s="2032"/>
      <c r="O12" s="2033"/>
      <c r="P12" s="2032"/>
      <c r="Q12" s="2032"/>
      <c r="R12" s="2032"/>
    </row>
    <row r="13" spans="1:19" ht="18" customHeight="1">
      <c r="A13" s="2076"/>
      <c r="B13" s="2077"/>
      <c r="C13" s="2078" t="s">
        <v>1794</v>
      </c>
      <c r="D13" s="2079"/>
      <c r="E13" s="2079"/>
      <c r="F13" s="2079"/>
      <c r="G13" s="2079"/>
      <c r="H13" s="2079"/>
      <c r="I13" s="1050">
        <v>55000</v>
      </c>
      <c r="J13" s="2045"/>
      <c r="K13" s="2054"/>
      <c r="L13" s="2031"/>
      <c r="M13" s="2031"/>
      <c r="N13" s="2032"/>
      <c r="O13" s="2033"/>
      <c r="P13" s="2032"/>
      <c r="Q13" s="2032"/>
      <c r="R13" s="2032"/>
    </row>
    <row r="14" spans="1:19" ht="18" customHeight="1">
      <c r="A14" s="2076"/>
      <c r="B14" s="2077"/>
      <c r="C14" s="2078" t="s">
        <v>1795</v>
      </c>
      <c r="D14" s="1053"/>
      <c r="E14" s="1053"/>
      <c r="F14" s="1053"/>
      <c r="G14" s="1053"/>
      <c r="H14" s="1053"/>
      <c r="I14" s="1053">
        <v>50</v>
      </c>
      <c r="J14" s="2045"/>
      <c r="K14" s="2080"/>
      <c r="L14" s="2031"/>
      <c r="M14" s="2031"/>
      <c r="N14" s="2032"/>
      <c r="O14" s="2033"/>
      <c r="P14" s="2032"/>
      <c r="Q14" s="2032"/>
      <c r="R14" s="2032"/>
    </row>
    <row r="15" spans="1:19" ht="18" customHeight="1">
      <c r="A15" s="2063"/>
      <c r="B15" s="2081"/>
      <c r="C15" s="2078" t="s">
        <v>1796</v>
      </c>
      <c r="D15" s="1052" t="str">
        <f>IF(B12="出让",IF(D13="","",ROUNDDOWN(MIN((D13-$D$3)/365,D14),2)),D14)</f>
        <v/>
      </c>
      <c r="E15" s="1052" t="str">
        <f>IF(B12="出让",IF(E13="","",ROUNDDOWN(MIN((E13-$D$3)/365,E14),2)),E14)</f>
        <v/>
      </c>
      <c r="F15" s="1052" t="str">
        <f>IF(B12="出让",IF(F13="","",ROUNDDOWN(MIN((F13-$D$3)/365,F14),2)),F14)</f>
        <v/>
      </c>
      <c r="G15" s="1052" t="str">
        <f>IF(B12="出让",IF(G13="","",ROUNDDOWN(MIN((G13-$D$3)/365,G14),2)),G14)</f>
        <v/>
      </c>
      <c r="H15" s="1052" t="str">
        <f>IF(B12="出让",IF(H13="","",ROUNDDOWN(MIN((H13-$D$3)/365,H14),2)),H14)</f>
        <v/>
      </c>
      <c r="I15" s="1052">
        <f>IF(B12="出让",IF(I13="","",ROUNDDOWN(MIN((I13-$D$3)/365,I14),2)),I14)</f>
        <v>31.43</v>
      </c>
      <c r="J15" s="2045"/>
      <c r="K15" s="2082"/>
      <c r="L15" s="2083"/>
      <c r="M15" s="2083"/>
      <c r="N15" s="2084"/>
      <c r="O15" s="2083"/>
      <c r="P15" s="2084"/>
      <c r="Q15" s="2032"/>
      <c r="R15" s="2032"/>
    </row>
    <row r="16" spans="1:19" ht="30.75" customHeight="1">
      <c r="A16" s="2066" t="s">
        <v>1797</v>
      </c>
      <c r="B16" s="3055" t="s">
        <v>3351</v>
      </c>
      <c r="C16" s="3056"/>
      <c r="D16" s="3057"/>
      <c r="E16" s="2085" t="s">
        <v>1798</v>
      </c>
      <c r="F16" s="3058" t="s">
        <v>3064</v>
      </c>
      <c r="G16" s="3059"/>
      <c r="H16" s="3059"/>
      <c r="I16" s="3060"/>
      <c r="J16" s="2032"/>
      <c r="K16" s="2082"/>
      <c r="L16" s="2083"/>
      <c r="M16" s="2083"/>
      <c r="N16" s="2084"/>
      <c r="O16" s="2083"/>
      <c r="P16" s="2084"/>
      <c r="Q16" s="2032"/>
      <c r="R16" s="2032"/>
    </row>
    <row r="17" spans="1:22" ht="18" customHeight="1">
      <c r="A17" s="2086" t="s">
        <v>1799</v>
      </c>
      <c r="B17" s="2038" t="s">
        <v>1800</v>
      </c>
      <c r="C17" s="1057">
        <f>'数据-汇总表'!E3</f>
        <v>134490.28</v>
      </c>
      <c r="D17" s="2087" t="s">
        <v>1801</v>
      </c>
      <c r="E17" s="3061" t="s">
        <v>3353</v>
      </c>
      <c r="F17" s="3062"/>
      <c r="G17" s="3062"/>
      <c r="H17" s="3062"/>
      <c r="I17" s="3063"/>
      <c r="J17" s="2032"/>
      <c r="K17" s="2088"/>
      <c r="L17" s="2083"/>
      <c r="M17" s="2083"/>
      <c r="N17" s="2084"/>
      <c r="O17" s="2083"/>
      <c r="P17" s="2084"/>
      <c r="Q17" s="2032"/>
      <c r="R17" s="2032"/>
      <c r="S17" s="2032"/>
      <c r="T17" s="2032"/>
      <c r="U17" s="2032"/>
      <c r="V17" s="2032"/>
    </row>
    <row r="18" spans="1:22" ht="36" customHeight="1" thickBot="1">
      <c r="A18" s="2089" t="s">
        <v>1802</v>
      </c>
      <c r="B18" s="2041" t="s">
        <v>1803</v>
      </c>
      <c r="C18" s="1447">
        <f>'数据-汇总表'!D3</f>
        <v>109852.9</v>
      </c>
      <c r="D18" s="2090" t="s">
        <v>1801</v>
      </c>
      <c r="E18" s="3064"/>
      <c r="F18" s="3065"/>
      <c r="G18" s="3065"/>
      <c r="H18" s="3065"/>
      <c r="I18" s="3066"/>
      <c r="J18" s="2032"/>
      <c r="K18" s="2088"/>
      <c r="L18" s="2083"/>
      <c r="M18" s="2083"/>
      <c r="N18" s="2084"/>
      <c r="O18" s="2083"/>
      <c r="P18" s="2084"/>
      <c r="Q18" s="2032"/>
      <c r="R18" s="2032"/>
      <c r="S18" s="2032"/>
      <c r="T18" s="2032"/>
      <c r="U18" s="2032"/>
      <c r="V18" s="2032"/>
    </row>
    <row r="19" spans="1:22" ht="37.5" customHeight="1" thickTop="1" thickBot="1">
      <c r="A19" s="373" t="s">
        <v>1804</v>
      </c>
      <c r="B19" s="352" t="s">
        <v>1805</v>
      </c>
      <c r="C19" s="2091" t="s">
        <v>3050</v>
      </c>
      <c r="D19" s="2092" t="s">
        <v>1806</v>
      </c>
      <c r="E19" s="2093" t="s">
        <v>3050</v>
      </c>
      <c r="F19" s="2094" t="str">
        <f>IF(AND(C19="是",E19="否"),"是否提供他项权证或相关说明","")</f>
        <v/>
      </c>
      <c r="G19" s="2095" t="s">
        <v>70</v>
      </c>
      <c r="H19" s="2045"/>
      <c r="I19" s="2045"/>
      <c r="J19" s="2045"/>
      <c r="K19" s="2054"/>
      <c r="L19" s="2031"/>
      <c r="M19" s="2031"/>
      <c r="N19" s="2084"/>
      <c r="O19" s="2083"/>
      <c r="P19" s="2084"/>
      <c r="Q19" s="2032"/>
      <c r="R19" s="2032"/>
      <c r="S19" s="2032"/>
      <c r="T19" s="2032"/>
      <c r="U19" s="2032"/>
      <c r="V19" s="2032"/>
    </row>
    <row r="20" spans="1:22" ht="18" customHeight="1">
      <c r="A20" s="2096" t="s">
        <v>1807</v>
      </c>
      <c r="B20" s="3051" t="s">
        <v>1808</v>
      </c>
      <c r="C20" s="3052"/>
      <c r="D20" s="3053" t="s">
        <v>1809</v>
      </c>
      <c r="E20" s="3054"/>
      <c r="F20" s="2097" t="s">
        <v>1810</v>
      </c>
      <c r="G20" s="2045"/>
      <c r="H20" s="2045"/>
      <c r="I20" s="2045"/>
      <c r="J20" s="2045"/>
      <c r="K20" s="3050" t="s">
        <v>1811</v>
      </c>
      <c r="L20" s="748" t="str">
        <f>"根据估价对象"&amp;IF(B22="——",B21&amp;C21,B21&amp;C21&amp;"、"&amp;B22&amp;C22)&amp;"，"&amp;IF(C19="是","截至价值时点，估价对象已设定抵押。","截至价值时点，估价对象抵押权未见登记。")</f>
        <v>根据估价对象《不动产权证书》原件，截至价值时点，估价对象抵押权未见登记。</v>
      </c>
      <c r="M20" s="2031"/>
      <c r="N20" s="2084"/>
      <c r="O20" s="2083"/>
      <c r="P20" s="2084"/>
      <c r="Q20" s="2032"/>
      <c r="R20" s="2032"/>
      <c r="S20" s="2032"/>
      <c r="T20" s="2032"/>
      <c r="U20" s="2032"/>
      <c r="V20" s="2032"/>
    </row>
    <row r="21" spans="1:22" ht="24.75" customHeight="1">
      <c r="A21" s="2096"/>
      <c r="B21" s="2098" t="s">
        <v>3346</v>
      </c>
      <c r="C21" s="2099" t="s">
        <v>1812</v>
      </c>
      <c r="D21" s="2100"/>
      <c r="E21" s="2101" t="s">
        <v>1812</v>
      </c>
      <c r="F21" s="2102"/>
      <c r="G21" s="2045"/>
      <c r="H21" s="2045"/>
      <c r="I21" s="2045"/>
      <c r="J21" s="2045"/>
      <c r="K21" s="3050"/>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31"/>
      <c r="N21" s="2084"/>
      <c r="O21" s="2083"/>
      <c r="P21" s="2084"/>
      <c r="Q21" s="2032"/>
      <c r="R21" s="2032"/>
      <c r="S21" s="2032"/>
      <c r="T21" s="2032"/>
      <c r="U21" s="2032"/>
      <c r="V21" s="2032"/>
    </row>
    <row r="22" spans="1:22" ht="24.75" customHeight="1" thickBot="1">
      <c r="A22" s="2096"/>
      <c r="B22" s="2103" t="s">
        <v>70</v>
      </c>
      <c r="C22" s="2099"/>
      <c r="D22" s="2029"/>
      <c r="E22" s="2029"/>
      <c r="F22" s="2104"/>
      <c r="G22" s="2045"/>
      <c r="H22" s="2045"/>
      <c r="I22" s="2045"/>
      <c r="J22" s="2045"/>
      <c r="K22" s="3050"/>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4"/>
      <c r="O22" s="2083"/>
      <c r="P22" s="2084"/>
      <c r="Q22" s="2032"/>
      <c r="R22" s="2032"/>
      <c r="S22" s="2032"/>
      <c r="T22" s="2032"/>
      <c r="U22" s="2032"/>
      <c r="V22" s="2032"/>
    </row>
    <row r="23" spans="1:22" ht="18" customHeight="1">
      <c r="A23" s="2105" t="s">
        <v>1813</v>
      </c>
      <c r="B23" s="183" t="s">
        <v>1814</v>
      </c>
      <c r="C23" s="2106"/>
      <c r="D23" s="2107" t="s">
        <v>1814</v>
      </c>
      <c r="E23" s="2108"/>
      <c r="F23" s="2104"/>
      <c r="G23" s="2045"/>
      <c r="H23" s="2045"/>
      <c r="I23" s="2045"/>
      <c r="J23" s="2045"/>
      <c r="K23" s="2109"/>
      <c r="L23" s="748"/>
      <c r="M23" s="2031"/>
      <c r="N23" s="2084"/>
      <c r="O23" s="2083"/>
      <c r="P23" s="2084"/>
      <c r="Q23" s="2032"/>
      <c r="R23" s="2032"/>
      <c r="S23" s="2032"/>
      <c r="T23" s="2032"/>
      <c r="U23" s="2032"/>
      <c r="V23" s="2032"/>
    </row>
    <row r="24" spans="1:22" ht="18" customHeight="1">
      <c r="A24" s="2110"/>
      <c r="B24" s="183" t="s">
        <v>1815</v>
      </c>
      <c r="C24" s="2111"/>
      <c r="D24" s="2105" t="s">
        <v>1815</v>
      </c>
      <c r="E24" s="2112"/>
      <c r="F24" s="2104"/>
      <c r="G24" s="2045"/>
      <c r="H24" s="2045"/>
      <c r="I24" s="2045"/>
      <c r="J24" s="2045"/>
      <c r="K24" s="2109"/>
      <c r="L24" s="748"/>
      <c r="M24" s="2031"/>
      <c r="N24" s="2084"/>
      <c r="O24" s="2083"/>
      <c r="P24" s="2084"/>
      <c r="Q24" s="2032"/>
      <c r="R24" s="2032"/>
      <c r="S24" s="2032"/>
      <c r="T24" s="2032"/>
      <c r="U24" s="2032"/>
      <c r="V24" s="2032"/>
    </row>
    <row r="25" spans="1:22" ht="18" customHeight="1">
      <c r="A25" s="2110"/>
      <c r="B25" s="183" t="s">
        <v>1816</v>
      </c>
      <c r="C25" s="2111"/>
      <c r="D25" s="2105" t="s">
        <v>1816</v>
      </c>
      <c r="E25" s="2112"/>
      <c r="F25" s="2104"/>
      <c r="G25" s="2045"/>
      <c r="H25" s="2045"/>
      <c r="I25" s="2045"/>
      <c r="J25" s="2045"/>
      <c r="K25" s="2054"/>
      <c r="L25" s="2031"/>
      <c r="M25" s="2031"/>
      <c r="N25" s="2084"/>
      <c r="O25" s="2083"/>
      <c r="P25" s="2084"/>
      <c r="Q25" s="2032"/>
      <c r="R25" s="2032"/>
      <c r="S25" s="2032"/>
      <c r="T25" s="2032"/>
      <c r="U25" s="2032"/>
      <c r="V25" s="2032"/>
    </row>
    <row r="26" spans="1:22" ht="18" customHeight="1" thickBot="1">
      <c r="A26" s="2113"/>
      <c r="B26" s="2114" t="s">
        <v>1817</v>
      </c>
      <c r="C26" s="2115"/>
      <c r="D26" s="2116" t="s">
        <v>1818</v>
      </c>
      <c r="E26" s="2117"/>
      <c r="F26" s="2118"/>
      <c r="G26" s="2062"/>
      <c r="H26" s="2062"/>
      <c r="I26" s="2062"/>
      <c r="J26" s="2045"/>
      <c r="K26" s="2054"/>
      <c r="L26" s="2031"/>
      <c r="M26" s="2031"/>
      <c r="N26" s="2084"/>
      <c r="O26" s="2083"/>
      <c r="P26" s="2084"/>
      <c r="Q26" s="2032"/>
      <c r="R26" s="2032"/>
      <c r="S26" s="2032"/>
      <c r="T26" s="2032"/>
      <c r="U26" s="2032"/>
      <c r="V26" s="2032"/>
    </row>
    <row r="27" spans="1:22" ht="18" customHeight="1" thickTop="1">
      <c r="A27" s="3038" t="s">
        <v>1819</v>
      </c>
      <c r="B27" s="2063" t="s">
        <v>1820</v>
      </c>
      <c r="C27" s="2119" t="s">
        <v>3049</v>
      </c>
      <c r="D27" s="2120"/>
      <c r="E27" s="2045"/>
      <c r="F27" s="2045"/>
      <c r="G27" s="2045"/>
      <c r="H27" s="2045"/>
      <c r="I27" s="2045"/>
      <c r="J27" s="2032"/>
      <c r="K27" s="2082"/>
      <c r="L27" s="2083"/>
      <c r="M27" s="2083"/>
      <c r="N27" s="2084"/>
      <c r="O27" s="2083"/>
      <c r="P27" s="2084"/>
      <c r="Q27" s="2032"/>
      <c r="R27" s="2032"/>
      <c r="S27" s="2032"/>
      <c r="T27" s="2032"/>
      <c r="U27" s="2032"/>
      <c r="V27" s="2032"/>
    </row>
    <row r="28" spans="1:22" ht="18" customHeight="1">
      <c r="A28" s="3038"/>
      <c r="B28" s="2038" t="s">
        <v>1821</v>
      </c>
      <c r="C28" s="2121" t="s">
        <v>3343</v>
      </c>
      <c r="D28" s="2122"/>
      <c r="E28" s="2045"/>
      <c r="F28" s="2045"/>
      <c r="G28" s="2045"/>
      <c r="H28" s="2045"/>
      <c r="I28" s="2045"/>
      <c r="J28" s="2032"/>
      <c r="K28" s="2123"/>
      <c r="L28" s="2031"/>
      <c r="M28" s="2031"/>
      <c r="N28" s="2032"/>
      <c r="O28" s="2033"/>
      <c r="P28" s="2032"/>
      <c r="Q28" s="2032"/>
      <c r="R28" s="2032"/>
      <c r="S28" s="2032"/>
      <c r="T28" s="2032"/>
      <c r="U28" s="2032"/>
      <c r="V28" s="2032"/>
    </row>
    <row r="29" spans="1:22" ht="18" customHeight="1">
      <c r="A29" s="3038"/>
      <c r="B29" s="2038" t="s">
        <v>1822</v>
      </c>
      <c r="C29" s="2124" t="s">
        <v>3050</v>
      </c>
      <c r="D29" s="2125"/>
      <c r="E29" s="2045"/>
      <c r="F29" s="2045"/>
      <c r="G29" s="2045"/>
      <c r="H29" s="2045"/>
      <c r="I29" s="2045"/>
      <c r="J29" s="2032"/>
      <c r="K29" s="2123"/>
      <c r="L29" s="2031"/>
      <c r="M29" s="2031"/>
      <c r="N29" s="2032"/>
      <c r="O29" s="2033"/>
      <c r="P29" s="2032"/>
      <c r="Q29" s="2032"/>
      <c r="R29" s="2032"/>
      <c r="S29" s="2032"/>
      <c r="T29" s="2032"/>
      <c r="U29" s="2032"/>
      <c r="V29" s="2032"/>
    </row>
    <row r="30" spans="1:22" ht="18" customHeight="1">
      <c r="A30" s="3039"/>
      <c r="B30" s="2038" t="s">
        <v>1823</v>
      </c>
      <c r="C30" s="3040"/>
      <c r="D30" s="3041"/>
      <c r="E30" s="2045"/>
      <c r="F30" s="2045"/>
      <c r="G30" s="2045"/>
      <c r="H30" s="2045"/>
      <c r="I30" s="2045"/>
      <c r="J30" s="2032"/>
      <c r="K30" s="2123"/>
      <c r="L30" s="2031"/>
      <c r="M30" s="2031"/>
      <c r="N30" s="2032"/>
      <c r="O30" s="2033"/>
      <c r="P30" s="2032"/>
      <c r="Q30" s="2032"/>
      <c r="R30" s="2032"/>
      <c r="S30" s="2032"/>
      <c r="T30" s="2032"/>
      <c r="U30" s="2032"/>
      <c r="V30" s="2032"/>
    </row>
    <row r="31" spans="1:22" ht="18" customHeight="1">
      <c r="A31" s="3042" t="s">
        <v>1824</v>
      </c>
      <c r="B31" s="2126" t="s">
        <v>3051</v>
      </c>
      <c r="C31" s="2127" t="str">
        <f>IF(B31="现房","成新及维护状况正常否",IF(B31="在建","工程状态是否正常",IF(B31="土地","是否闲置","-")))</f>
        <v>成新及维护状况正常否</v>
      </c>
      <c r="D31" s="2128"/>
      <c r="E31" s="2129"/>
      <c r="F31" s="2045"/>
      <c r="G31" s="2045"/>
      <c r="H31" s="2045"/>
      <c r="I31" s="2045"/>
      <c r="J31" s="2045"/>
      <c r="K31" s="2053"/>
      <c r="L31" s="2031"/>
      <c r="M31" s="2031"/>
      <c r="N31" s="2032"/>
      <c r="O31" s="2033"/>
      <c r="P31" s="2032"/>
      <c r="Q31" s="2032"/>
      <c r="R31" s="2032"/>
      <c r="S31" s="2032"/>
      <c r="T31" s="2032"/>
      <c r="U31" s="2032"/>
      <c r="V31" s="2032"/>
    </row>
    <row r="32" spans="1:22" ht="18" customHeight="1">
      <c r="A32" s="3043"/>
      <c r="B32" s="2126" t="s">
        <v>3052</v>
      </c>
      <c r="C32" s="2127" t="str">
        <f>IF(B32="现房","成新及维护状况是否正常",IF(B32="在建","工程状态是否正常",IF(B32="土地","是否闲置","-")))</f>
        <v>是否闲置</v>
      </c>
      <c r="D32" s="2128"/>
      <c r="E32" s="2129"/>
      <c r="F32" s="2045"/>
      <c r="G32" s="2045"/>
      <c r="H32" s="2045"/>
      <c r="I32" s="2045"/>
      <c r="J32" s="2045"/>
      <c r="K32" s="2054"/>
      <c r="L32" s="2031"/>
      <c r="M32" s="2031"/>
      <c r="N32" s="2032"/>
      <c r="O32" s="2033"/>
      <c r="P32" s="2032"/>
      <c r="Q32" s="2032"/>
      <c r="R32" s="2032"/>
      <c r="S32" s="2032"/>
      <c r="T32" s="2032"/>
      <c r="U32" s="2032"/>
      <c r="V32" s="2032"/>
    </row>
    <row r="33" spans="1:22" ht="18" customHeight="1">
      <c r="A33" s="3043"/>
      <c r="B33" s="2130"/>
      <c r="C33" s="2070" t="str">
        <f>IF(B33="现房","成新及维护状况是否正常",IF(B33="在建","工程状态是否正常",IF(B33="土地","是否闲置","-")))</f>
        <v>-</v>
      </c>
      <c r="D33" s="2131"/>
      <c r="E33" s="2132"/>
      <c r="F33" s="2045"/>
      <c r="G33" s="2045"/>
      <c r="H33" s="2045"/>
      <c r="I33" s="2045"/>
      <c r="J33" s="2045"/>
      <c r="K33" s="2054"/>
      <c r="L33" s="2031"/>
      <c r="M33" s="2031"/>
      <c r="N33" s="2032"/>
      <c r="O33" s="2033"/>
      <c r="P33" s="2032"/>
      <c r="Q33" s="2032"/>
      <c r="R33" s="2032"/>
      <c r="S33" s="2032"/>
      <c r="T33" s="2032"/>
      <c r="U33" s="2032"/>
      <c r="V33" s="2032"/>
    </row>
    <row r="34" spans="1:22" ht="18" customHeight="1">
      <c r="A34" s="2038" t="s">
        <v>1825</v>
      </c>
      <c r="B34" s="2133" t="s">
        <v>3053</v>
      </c>
      <c r="C34" s="2133" t="s">
        <v>3054</v>
      </c>
      <c r="D34" s="2133" t="s">
        <v>3055</v>
      </c>
      <c r="E34" s="2133" t="s">
        <v>3056</v>
      </c>
      <c r="F34" s="2133" t="s">
        <v>3057</v>
      </c>
      <c r="G34" s="2133" t="s">
        <v>3352</v>
      </c>
      <c r="H34" s="2133" t="s">
        <v>70</v>
      </c>
      <c r="I34" s="2045"/>
      <c r="J34" s="2045"/>
      <c r="K34" s="1798">
        <f>COUNTIF(B34:H34,"——")</f>
        <v>1</v>
      </c>
      <c r="L34" s="2074" t="s">
        <v>1826</v>
      </c>
      <c r="M34" s="2074" t="s">
        <v>1827</v>
      </c>
      <c r="N34" s="2074" t="s">
        <v>1828</v>
      </c>
      <c r="O34" s="2074" t="s">
        <v>1829</v>
      </c>
      <c r="P34" s="2074" t="s">
        <v>1830</v>
      </c>
      <c r="Q34" s="2074" t="s">
        <v>1831</v>
      </c>
      <c r="R34" s="2074" t="s">
        <v>1832</v>
      </c>
      <c r="S34" s="3037" t="s">
        <v>1833</v>
      </c>
      <c r="T34" s="2134" t="str">
        <f>NUMBERSTRING(7-K34,1)&amp;"通"</f>
        <v>六通</v>
      </c>
      <c r="U34" s="2032"/>
      <c r="V34" s="2032"/>
    </row>
    <row r="35" spans="1:22" ht="18" customHeight="1">
      <c r="A35" s="2135"/>
      <c r="B35" s="3044" t="s">
        <v>1834</v>
      </c>
      <c r="C35" s="3044"/>
      <c r="D35" s="3044"/>
      <c r="E35" s="3044"/>
      <c r="F35" s="2136">
        <f>C10</f>
        <v>0</v>
      </c>
      <c r="G35" s="2045"/>
      <c r="H35" s="2045"/>
      <c r="I35" s="2045"/>
      <c r="J35" s="2045"/>
      <c r="K35" s="2074"/>
      <c r="L35" s="2074"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37"/>
      <c r="T35" s="48" t="str">
        <f>IF(T34="一通",L35,IF(T34="二通",M35,IF(T34="三通",N35,IF(T34="四通",O35,IF(T34="五通",P35,IF(T34="六通",Q35,R35))))))</f>
        <v>通路、通电、通讯、通上水、通下水、燃气</v>
      </c>
      <c r="U35" s="2032"/>
      <c r="V35" s="2032"/>
    </row>
    <row r="36" spans="1:22" ht="18" customHeight="1">
      <c r="A36" s="2137"/>
      <c r="B36" s="2136" t="s">
        <v>1835</v>
      </c>
      <c r="C36" s="2136" t="s">
        <v>1836</v>
      </c>
      <c r="D36" s="2136" t="s">
        <v>1837</v>
      </c>
      <c r="E36" s="2136" t="s">
        <v>1838</v>
      </c>
      <c r="F36" s="2138"/>
      <c r="G36" s="2045"/>
      <c r="H36" s="2045"/>
      <c r="I36" s="2045"/>
      <c r="J36" s="2045"/>
      <c r="K36" s="2054"/>
      <c r="L36" s="2031"/>
      <c r="M36" s="2031"/>
      <c r="N36" s="2032"/>
      <c r="O36" s="2033"/>
      <c r="P36" s="2032"/>
      <c r="Q36" s="2032"/>
      <c r="R36" s="2032"/>
      <c r="S36" s="2032"/>
      <c r="T36" s="2032"/>
      <c r="U36" s="2032"/>
      <c r="V36" s="2032"/>
    </row>
    <row r="37" spans="1:22" ht="18" customHeight="1">
      <c r="A37" s="2139" t="s">
        <v>1839</v>
      </c>
      <c r="B37" s="2140"/>
      <c r="C37" s="2140"/>
      <c r="D37" s="2140"/>
      <c r="E37" s="2140" t="s">
        <v>526</v>
      </c>
      <c r="F37" s="2138"/>
      <c r="G37" s="2045"/>
      <c r="H37" s="2045"/>
      <c r="I37" s="2045"/>
      <c r="J37" s="2045"/>
      <c r="K37" s="2054"/>
      <c r="L37" s="2031"/>
      <c r="M37" s="2031"/>
      <c r="N37" s="2032"/>
      <c r="O37" s="2033"/>
      <c r="P37" s="2032"/>
      <c r="Q37" s="2032"/>
      <c r="R37" s="2032"/>
      <c r="S37" s="2032"/>
      <c r="T37" s="2032"/>
      <c r="U37" s="2032"/>
      <c r="V37" s="2032"/>
    </row>
    <row r="38" spans="1:22" ht="18" customHeight="1" thickBot="1">
      <c r="A38" s="2141" t="s">
        <v>1840</v>
      </c>
      <c r="B38" s="2142"/>
      <c r="C38" s="2142"/>
      <c r="D38" s="2142"/>
      <c r="E38" s="2142" t="s">
        <v>3350</v>
      </c>
      <c r="F38" s="2143"/>
      <c r="G38" s="2062"/>
      <c r="H38" s="2062"/>
      <c r="I38" s="2062"/>
      <c r="J38" s="2045"/>
      <c r="K38" s="2054"/>
      <c r="L38" s="2031"/>
      <c r="M38" s="2031"/>
      <c r="N38" s="2032"/>
      <c r="O38" s="2033"/>
      <c r="P38" s="2032"/>
      <c r="Q38" s="2032"/>
      <c r="R38" s="2032"/>
      <c r="S38" s="2032"/>
      <c r="T38" s="2032"/>
      <c r="U38" s="2032"/>
      <c r="V38" s="2032"/>
    </row>
    <row r="39" spans="1:22" s="2148" customFormat="1" ht="18" customHeight="1" thickTop="1" thickBot="1">
      <c r="A39" s="2144" t="s">
        <v>1841</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32"/>
      <c r="B40" s="2032"/>
      <c r="C40" s="2032"/>
      <c r="D40" s="2032"/>
      <c r="E40" s="2032"/>
      <c r="F40" s="2032"/>
      <c r="G40" s="2032"/>
      <c r="H40" s="2032"/>
      <c r="I40" s="2149"/>
      <c r="J40" s="2084"/>
      <c r="K40" s="666"/>
      <c r="L40" s="2083"/>
      <c r="M40" s="2083"/>
      <c r="N40" s="2084"/>
      <c r="O40" s="2083"/>
      <c r="P40" s="2032"/>
      <c r="Q40" s="2032"/>
      <c r="R40" s="2032"/>
      <c r="S40" s="2032"/>
      <c r="T40" s="2032"/>
      <c r="U40" s="2032"/>
      <c r="V40" s="2032"/>
    </row>
    <row r="41" spans="1:22" ht="18" customHeight="1">
      <c r="A41" s="8" t="s">
        <v>1842</v>
      </c>
      <c r="B41" s="2150"/>
      <c r="C41" s="2151"/>
      <c r="D41" s="2032"/>
      <c r="E41" s="2032"/>
      <c r="F41" s="2032"/>
      <c r="G41" s="2032"/>
      <c r="H41" s="2032"/>
      <c r="I41" s="2033"/>
      <c r="J41" s="2032"/>
      <c r="K41" s="2123"/>
      <c r="L41" s="2031"/>
      <c r="M41" s="2031"/>
      <c r="N41" s="2032"/>
      <c r="O41" s="2033"/>
      <c r="P41" s="2032"/>
      <c r="Q41" s="2032"/>
      <c r="R41" s="2032"/>
      <c r="S41" s="2032"/>
      <c r="T41" s="2032"/>
      <c r="U41" s="2032"/>
      <c r="V41" s="2032"/>
    </row>
    <row r="42" spans="1:22" ht="18" customHeight="1">
      <c r="A42" s="2074" t="s">
        <v>1843</v>
      </c>
      <c r="B42" s="1798" t="s">
        <v>1844</v>
      </c>
      <c r="C42" s="1798" t="s">
        <v>1845</v>
      </c>
      <c r="D42" s="1798" t="s">
        <v>1846</v>
      </c>
      <c r="E42" s="1798" t="s">
        <v>1847</v>
      </c>
      <c r="F42" s="1798" t="s">
        <v>1848</v>
      </c>
      <c r="G42" s="1798" t="s">
        <v>1849</v>
      </c>
      <c r="H42" s="1798" t="s">
        <v>1850</v>
      </c>
      <c r="I42" s="1798" t="s">
        <v>1851</v>
      </c>
      <c r="J42" s="2152" t="s">
        <v>1852</v>
      </c>
      <c r="K42" s="2075" t="s">
        <v>1853</v>
      </c>
      <c r="L42" s="2075" t="s">
        <v>1854</v>
      </c>
      <c r="M42" s="2075" t="s">
        <v>1855</v>
      </c>
      <c r="N42" s="1798" t="s">
        <v>1856</v>
      </c>
      <c r="O42" s="1798" t="s">
        <v>1857</v>
      </c>
      <c r="P42" s="1798" t="s">
        <v>1858</v>
      </c>
      <c r="Q42" s="2074" t="s">
        <v>1859</v>
      </c>
      <c r="R42" s="2074" t="s">
        <v>1860</v>
      </c>
      <c r="S42" s="2032"/>
      <c r="T42" s="2032"/>
      <c r="U42" s="2032"/>
      <c r="V42" s="2032"/>
    </row>
    <row r="43" spans="1:22" s="2157" customFormat="1" ht="18" customHeight="1">
      <c r="A43" s="2153"/>
      <c r="B43" s="1275"/>
      <c r="C43" s="1275"/>
      <c r="D43" s="1275"/>
      <c r="E43" s="1275"/>
      <c r="F43" s="1275"/>
      <c r="G43" s="1275"/>
      <c r="H43" s="9"/>
      <c r="I43" s="9"/>
      <c r="J43" s="2154"/>
      <c r="K43" s="2155"/>
      <c r="L43" s="2155"/>
      <c r="M43" s="9"/>
      <c r="N43" s="1275"/>
      <c r="O43" s="9"/>
      <c r="P43" s="1275"/>
      <c r="Q43" s="1275"/>
      <c r="R43" s="1275"/>
      <c r="S43" s="2156"/>
      <c r="T43" s="2156"/>
      <c r="U43" s="2156"/>
      <c r="V43" s="2156"/>
    </row>
    <row r="44" spans="1:22" s="2157" customFormat="1" ht="18" customHeight="1">
      <c r="A44" s="2153"/>
      <c r="B44" s="2153"/>
      <c r="C44" s="1275"/>
      <c r="D44" s="1275"/>
      <c r="E44" s="1275"/>
      <c r="F44" s="1275"/>
      <c r="G44" s="1275"/>
      <c r="H44" s="9"/>
      <c r="I44" s="9"/>
      <c r="J44" s="2154"/>
      <c r="K44" s="2155"/>
      <c r="L44" s="2155"/>
      <c r="M44" s="9"/>
      <c r="N44" s="1275"/>
      <c r="O44" s="9"/>
      <c r="P44" s="1275"/>
      <c r="Q44" s="1275"/>
      <c r="R44" s="1275"/>
      <c r="S44" s="2156"/>
      <c r="T44" s="2156"/>
      <c r="U44" s="2156"/>
      <c r="V44" s="2156"/>
    </row>
    <row r="45" spans="1:22" s="2157" customFormat="1" ht="18" customHeight="1">
      <c r="A45" s="2153"/>
      <c r="B45" s="2153"/>
      <c r="C45" s="1275"/>
      <c r="D45" s="1275"/>
      <c r="E45" s="1275"/>
      <c r="F45" s="1275"/>
      <c r="G45" s="1275"/>
      <c r="H45" s="9"/>
      <c r="I45" s="9"/>
      <c r="J45" s="2154"/>
      <c r="K45" s="2155"/>
      <c r="L45" s="2155"/>
      <c r="M45" s="9"/>
      <c r="N45" s="1275"/>
      <c r="O45" s="9"/>
      <c r="P45" s="1275"/>
      <c r="Q45" s="1275"/>
      <c r="R45" s="1275"/>
      <c r="S45" s="2156"/>
      <c r="T45" s="2156"/>
      <c r="U45" s="2156"/>
      <c r="V45" s="2156"/>
    </row>
    <row r="46" spans="1:22" s="2157" customFormat="1" ht="18" customHeight="1">
      <c r="A46" s="2153"/>
      <c r="B46" s="2153"/>
      <c r="C46" s="1275"/>
      <c r="D46" s="1275"/>
      <c r="E46" s="1275"/>
      <c r="F46" s="1275"/>
      <c r="G46" s="1275"/>
      <c r="H46" s="9"/>
      <c r="I46" s="9"/>
      <c r="J46" s="2154"/>
      <c r="K46" s="2155"/>
      <c r="L46" s="2155"/>
      <c r="M46" s="9"/>
      <c r="N46" s="1275"/>
      <c r="O46" s="9"/>
      <c r="P46" s="1275"/>
      <c r="Q46" s="1275"/>
      <c r="R46" s="1275"/>
      <c r="S46" s="2156"/>
      <c r="T46" s="2156"/>
      <c r="U46" s="2156"/>
      <c r="V46" s="2156"/>
    </row>
    <row r="47" spans="1:22" s="2157" customFormat="1" ht="18" customHeight="1">
      <c r="A47" s="2153"/>
      <c r="B47" s="2153"/>
      <c r="C47" s="1275"/>
      <c r="D47" s="1275"/>
      <c r="E47" s="1275"/>
      <c r="F47" s="1275"/>
      <c r="G47" s="1275"/>
      <c r="H47" s="9"/>
      <c r="I47" s="9"/>
      <c r="J47" s="2154"/>
      <c r="K47" s="2155"/>
      <c r="L47" s="2155"/>
      <c r="M47" s="9"/>
      <c r="N47" s="1275"/>
      <c r="O47" s="9"/>
      <c r="P47" s="1275"/>
      <c r="Q47" s="1275"/>
      <c r="R47" s="1275"/>
      <c r="S47" s="2156"/>
      <c r="T47" s="2156"/>
      <c r="U47" s="2156"/>
      <c r="V47" s="2156"/>
    </row>
    <row r="48" spans="1:22" s="2157" customFormat="1" ht="18" customHeight="1">
      <c r="A48" s="2153"/>
      <c r="B48" s="2153"/>
      <c r="C48" s="1275"/>
      <c r="D48" s="1275"/>
      <c r="E48" s="1275"/>
      <c r="F48" s="1275"/>
      <c r="G48" s="1275"/>
      <c r="H48" s="9"/>
      <c r="I48" s="9"/>
      <c r="J48" s="2154"/>
      <c r="K48" s="2155"/>
      <c r="L48" s="2155"/>
      <c r="M48" s="9"/>
      <c r="N48" s="1275"/>
      <c r="O48" s="9"/>
      <c r="P48" s="1275"/>
      <c r="Q48" s="1275"/>
      <c r="R48" s="1275"/>
      <c r="S48" s="2156"/>
      <c r="T48" s="2156"/>
      <c r="U48" s="2156"/>
      <c r="V48" s="2156"/>
    </row>
    <row r="49" spans="1:22" s="2157" customFormat="1" ht="18" customHeight="1">
      <c r="A49" s="2153"/>
      <c r="B49" s="2153"/>
      <c r="C49" s="1275"/>
      <c r="D49" s="1275"/>
      <c r="E49" s="1275"/>
      <c r="F49" s="1275"/>
      <c r="G49" s="1275"/>
      <c r="H49" s="9"/>
      <c r="I49" s="9"/>
      <c r="J49" s="2154"/>
      <c r="K49" s="2155"/>
      <c r="L49" s="2155"/>
      <c r="M49" s="9"/>
      <c r="N49" s="1275"/>
      <c r="O49" s="9"/>
      <c r="P49" s="1275"/>
      <c r="Q49" s="1275"/>
      <c r="R49" s="1275"/>
      <c r="S49" s="2156"/>
      <c r="T49" s="2156"/>
      <c r="U49" s="2156"/>
      <c r="V49" s="2156"/>
    </row>
    <row r="50" spans="1:22" s="2157" customFormat="1" ht="18" customHeight="1">
      <c r="A50" s="2153"/>
      <c r="B50" s="2153"/>
      <c r="C50" s="1275"/>
      <c r="D50" s="1275"/>
      <c r="E50" s="1275"/>
      <c r="F50" s="1275"/>
      <c r="G50" s="1275"/>
      <c r="H50" s="9"/>
      <c r="I50" s="9"/>
      <c r="J50" s="2154"/>
      <c r="K50" s="2155"/>
      <c r="L50" s="2155"/>
      <c r="M50" s="9"/>
      <c r="N50" s="1275"/>
      <c r="O50" s="9"/>
      <c r="P50" s="1275"/>
      <c r="Q50" s="1275"/>
      <c r="R50" s="1275"/>
      <c r="S50" s="2156"/>
      <c r="T50" s="2156"/>
      <c r="U50" s="2156"/>
      <c r="V50" s="2156"/>
    </row>
    <row r="51" spans="1:22" s="2157" customFormat="1" ht="18" customHeight="1">
      <c r="A51" s="2153"/>
      <c r="B51" s="2153"/>
      <c r="C51" s="1275"/>
      <c r="D51" s="1275"/>
      <c r="E51" s="1275"/>
      <c r="F51" s="1275"/>
      <c r="G51" s="1275"/>
      <c r="H51" s="9"/>
      <c r="I51" s="9"/>
      <c r="J51" s="2154"/>
      <c r="K51" s="2155"/>
      <c r="L51" s="2155"/>
      <c r="M51" s="9"/>
      <c r="N51" s="1275"/>
      <c r="O51" s="9"/>
      <c r="P51" s="1275"/>
      <c r="Q51" s="1275"/>
      <c r="R51" s="1275"/>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6" activePane="bottomRight" state="frozen"/>
      <selection activeCell="C50" sqref="C50"/>
      <selection pane="topRight" activeCell="C50" sqref="C50"/>
      <selection pane="bottomLeft" activeCell="C50" sqref="C50"/>
      <selection pane="bottomRight" activeCell="K26" sqref="K26"/>
    </sheetView>
  </sheetViews>
  <sheetFormatPr defaultColWidth="8.875" defaultRowHeight="14.25"/>
  <cols>
    <col min="1" max="1" width="10.625" style="2159" customWidth="1"/>
    <col min="2" max="2" width="11" style="2159" customWidth="1"/>
    <col min="3" max="3" width="10.375" style="2159" customWidth="1"/>
    <col min="4" max="4" width="9.125" style="2159" customWidth="1"/>
    <col min="5" max="6" width="10" style="2222" customWidth="1"/>
    <col min="7" max="8" width="10" style="2159" customWidth="1"/>
    <col min="9" max="9" width="10.625" style="2159" customWidth="1"/>
    <col min="10" max="10" width="9.5" style="2159" customWidth="1"/>
    <col min="11" max="11" width="11" style="2159" customWidth="1"/>
    <col min="12" max="14" width="9.5" style="2159" customWidth="1"/>
    <col min="15" max="15" width="9.875" style="2159" customWidth="1"/>
    <col min="16" max="16" width="9.75" style="2159" customWidth="1"/>
    <col min="17" max="17" width="9.375" style="2159" customWidth="1"/>
    <col min="18" max="18" width="9.25" style="2159" customWidth="1"/>
    <col min="19" max="19" width="10.875" style="2159" customWidth="1"/>
    <col min="20" max="21" width="10.75" style="2159" customWidth="1"/>
    <col min="22" max="22" width="10.875" style="2159" customWidth="1"/>
    <col min="23" max="27" width="10.75" style="2159" customWidth="1"/>
    <col min="28" max="28" width="10.875" style="2159" customWidth="1"/>
    <col min="29" max="29" width="11" style="2159" bestFit="1" customWidth="1"/>
    <col min="30" max="30" width="10" style="2159" bestFit="1" customWidth="1"/>
    <col min="31" max="31" width="9.75" style="2159" customWidth="1"/>
    <col min="32" max="46" width="9.5" style="2159" customWidth="1"/>
    <col min="47" max="47" width="18.125" style="2159" customWidth="1"/>
    <col min="48" max="50" width="9.75" style="2159" customWidth="1"/>
    <col min="51" max="55" width="10.5" style="2159" bestFit="1" customWidth="1"/>
    <col min="56" max="56" width="9.5" style="2159" bestFit="1" customWidth="1"/>
    <col min="57" max="63" width="9.125" style="2159" bestFit="1" customWidth="1"/>
    <col min="64" max="64" width="9.5" style="2159" bestFit="1" customWidth="1"/>
    <col min="65" max="65" width="9.125" style="2159" bestFit="1" customWidth="1"/>
    <col min="66" max="66" width="9.5" style="2159" bestFit="1" customWidth="1"/>
    <col min="67" max="69" width="9.125" style="2159" bestFit="1" customWidth="1"/>
    <col min="70" max="70" width="9.5" style="2159" bestFit="1" customWidth="1"/>
    <col min="71" max="71" width="9" style="2159" customWidth="1"/>
    <col min="72" max="72" width="9.125" style="2159" bestFit="1" customWidth="1"/>
    <col min="73" max="16384" width="8.875" style="2159"/>
  </cols>
  <sheetData>
    <row r="1" spans="1:72" ht="20.25">
      <c r="A1" s="2162" t="s">
        <v>1861</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3" t="s">
        <v>1862</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7" customFormat="1" ht="24">
      <c r="A2" s="11" t="s">
        <v>1863</v>
      </c>
      <c r="B2" s="11" t="s">
        <v>1864</v>
      </c>
      <c r="C2" s="11" t="s">
        <v>1865</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72" t="s">
        <v>1866</v>
      </c>
      <c r="AZ2" s="1273" t="s">
        <v>1867</v>
      </c>
      <c r="BA2" s="11" t="s">
        <v>1868</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2.75">
      <c r="A3" s="13">
        <f>49321.7+60531.2</f>
        <v>109852.9</v>
      </c>
      <c r="B3" s="14">
        <f>IF(C3="否",G5-AT5,G5)</f>
        <v>134490.28</v>
      </c>
      <c r="C3" s="2168" t="s">
        <v>1869</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4"/>
      <c r="AZ3" s="1275"/>
      <c r="BA3" s="1276"/>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ht="13.5"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2.75">
      <c r="A5" s="15" t="s">
        <v>1870</v>
      </c>
      <c r="B5" s="1806"/>
      <c r="C5" s="1806"/>
      <c r="D5" s="1809"/>
      <c r="E5" s="16" t="s">
        <v>1</v>
      </c>
      <c r="F5" s="16">
        <f>SUM(F13:F587)</f>
        <v>0</v>
      </c>
      <c r="G5" s="16">
        <f>SUM(G13:G587)</f>
        <v>134490.28</v>
      </c>
      <c r="H5" s="16">
        <f t="shared" ref="H5:AT5" si="0">SUM(H13:H656)</f>
        <v>130024.49</v>
      </c>
      <c r="I5" s="16">
        <f t="shared" si="0"/>
        <v>48501.7</v>
      </c>
      <c r="J5" s="16">
        <f t="shared" si="0"/>
        <v>0</v>
      </c>
      <c r="K5" s="16">
        <f t="shared" si="0"/>
        <v>62867.700000000012</v>
      </c>
      <c r="L5" s="16">
        <f t="shared" si="0"/>
        <v>0</v>
      </c>
      <c r="M5" s="16">
        <f t="shared" si="0"/>
        <v>18655.09</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4465.7899999999991</v>
      </c>
      <c r="AD5" s="16">
        <f t="shared" si="0"/>
        <v>0</v>
      </c>
      <c r="AE5" s="16">
        <f t="shared" si="0"/>
        <v>0</v>
      </c>
      <c r="AF5" s="16">
        <f t="shared" si="0"/>
        <v>0</v>
      </c>
      <c r="AG5" s="16">
        <f t="shared" si="0"/>
        <v>0</v>
      </c>
      <c r="AH5" s="16">
        <f t="shared" si="0"/>
        <v>0</v>
      </c>
      <c r="AI5" s="16">
        <f t="shared" si="0"/>
        <v>0</v>
      </c>
      <c r="AJ5" s="16">
        <f t="shared" si="0"/>
        <v>0</v>
      </c>
      <c r="AK5" s="16">
        <f t="shared" si="0"/>
        <v>0</v>
      </c>
      <c r="AL5" s="16">
        <f t="shared" si="0"/>
        <v>3219.2999999999997</v>
      </c>
      <c r="AM5" s="16">
        <f t="shared" si="0"/>
        <v>0</v>
      </c>
      <c r="AN5" s="16">
        <f t="shared" si="0"/>
        <v>1246.49</v>
      </c>
      <c r="AO5" s="16">
        <f t="shared" si="0"/>
        <v>0</v>
      </c>
      <c r="AP5" s="16">
        <f t="shared" si="0"/>
        <v>0</v>
      </c>
      <c r="AQ5" s="16">
        <f t="shared" si="0"/>
        <v>0</v>
      </c>
      <c r="AR5" s="16">
        <f t="shared" si="0"/>
        <v>0</v>
      </c>
      <c r="AS5" s="16">
        <f t="shared" si="0"/>
        <v>0</v>
      </c>
      <c r="AT5" s="16">
        <f t="shared" si="0"/>
        <v>0</v>
      </c>
      <c r="AU5" s="1805"/>
      <c r="AV5" s="15" t="s">
        <v>1870</v>
      </c>
      <c r="AW5" s="1806"/>
      <c r="AX5" s="1806"/>
      <c r="AY5" s="17" t="s">
        <v>3</v>
      </c>
      <c r="AZ5" s="18">
        <f t="shared" ref="AZ5:BT5" si="1">SUM(AZ13:AZ656)</f>
        <v>134490.28</v>
      </c>
      <c r="BA5" s="18">
        <f t="shared" si="1"/>
        <v>130024.49</v>
      </c>
      <c r="BB5" s="18">
        <f t="shared" si="1"/>
        <v>48501.7</v>
      </c>
      <c r="BC5" s="18">
        <f t="shared" si="1"/>
        <v>62867.700000000012</v>
      </c>
      <c r="BD5" s="18">
        <f t="shared" si="1"/>
        <v>18655.09</v>
      </c>
      <c r="BE5" s="18">
        <f t="shared" si="1"/>
        <v>0</v>
      </c>
      <c r="BF5" s="18">
        <f t="shared" si="1"/>
        <v>0</v>
      </c>
      <c r="BG5" s="18">
        <f t="shared" si="1"/>
        <v>0</v>
      </c>
      <c r="BH5" s="18">
        <f t="shared" si="1"/>
        <v>0</v>
      </c>
      <c r="BI5" s="18">
        <f t="shared" si="1"/>
        <v>0</v>
      </c>
      <c r="BJ5" s="18">
        <f t="shared" si="1"/>
        <v>0</v>
      </c>
      <c r="BK5" s="18">
        <f t="shared" si="1"/>
        <v>0</v>
      </c>
      <c r="BL5" s="18">
        <f t="shared" si="1"/>
        <v>4465.7899999999991</v>
      </c>
      <c r="BM5" s="18">
        <f t="shared" si="1"/>
        <v>0</v>
      </c>
      <c r="BN5" s="18">
        <f t="shared" si="1"/>
        <v>0</v>
      </c>
      <c r="BO5" s="18">
        <f t="shared" si="1"/>
        <v>0</v>
      </c>
      <c r="BP5" s="18">
        <f t="shared" si="1"/>
        <v>0</v>
      </c>
      <c r="BQ5" s="18">
        <f t="shared" si="1"/>
        <v>3219.2999999999997</v>
      </c>
      <c r="BR5" s="18">
        <f t="shared" si="1"/>
        <v>1246.49</v>
      </c>
      <c r="BS5" s="18">
        <f t="shared" si="1"/>
        <v>0</v>
      </c>
      <c r="BT5" s="19">
        <f t="shared" si="1"/>
        <v>0</v>
      </c>
    </row>
    <row r="6" spans="1:72" s="2177" customFormat="1" ht="12.75">
      <c r="A6" s="15" t="s">
        <v>1871</v>
      </c>
      <c r="B6" s="2174"/>
      <c r="C6" s="2174"/>
      <c r="D6" s="2175"/>
      <c r="E6" s="16">
        <f>H6+AC6+AT6</f>
        <v>109852.9</v>
      </c>
      <c r="F6" s="16" t="s">
        <v>1</v>
      </c>
      <c r="G6" s="16" t="s">
        <v>2</v>
      </c>
      <c r="H6" s="20">
        <f>SUMIF(I$12:AB$12,"总值",I6:AB6)</f>
        <v>106205.20999999999</v>
      </c>
      <c r="I6" s="16">
        <f t="shared" ref="I6:AB6" si="2">ROUND($A$3*I5/$B$3,2)</f>
        <v>39616.639999999999</v>
      </c>
      <c r="J6" s="16">
        <f t="shared" si="2"/>
        <v>0</v>
      </c>
      <c r="K6" s="16">
        <f t="shared" si="2"/>
        <v>51350.92</v>
      </c>
      <c r="L6" s="16">
        <f t="shared" si="2"/>
        <v>0</v>
      </c>
      <c r="M6" s="16">
        <f t="shared" si="2"/>
        <v>15237.65</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3647.69</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2629.55</v>
      </c>
      <c r="AM6" s="16">
        <f t="shared" si="3"/>
        <v>0</v>
      </c>
      <c r="AN6" s="16">
        <f t="shared" si="3"/>
        <v>1018.14</v>
      </c>
      <c r="AO6" s="16">
        <f t="shared" si="3"/>
        <v>0</v>
      </c>
      <c r="AP6" s="16">
        <f t="shared" si="3"/>
        <v>0</v>
      </c>
      <c r="AQ6" s="16">
        <f t="shared" si="3"/>
        <v>0</v>
      </c>
      <c r="AR6" s="16">
        <f t="shared" si="3"/>
        <v>0</v>
      </c>
      <c r="AS6" s="16">
        <f t="shared" si="3"/>
        <v>0</v>
      </c>
      <c r="AT6" s="20">
        <f>IF(C3="是",ROUND($A$3*AT5/$B$3,2),0)</f>
        <v>0</v>
      </c>
      <c r="AU6" s="2176"/>
      <c r="AV6" s="15" t="s">
        <v>1871</v>
      </c>
      <c r="AW6" s="2174"/>
      <c r="AX6" s="2174"/>
      <c r="AY6" s="21">
        <f>IF(AY3&gt;0,AY3,ROUND($A$3*AZ5/$B$3,2))</f>
        <v>109852.9</v>
      </c>
      <c r="AZ6" s="16" t="s">
        <v>3</v>
      </c>
      <c r="BA6" s="16">
        <f>ROUND($AY$6*BA5/$AZ$5,2)</f>
        <v>106205.2</v>
      </c>
      <c r="BB6" s="16">
        <f>ROUND($AY$6*BB5/$AZ$5,2)</f>
        <v>39616.639999999999</v>
      </c>
      <c r="BC6" s="16">
        <f t="shared" ref="BC6:BH6" si="4">ROUND($AY$6*BC5/$AZ$5,2)</f>
        <v>51350.92</v>
      </c>
      <c r="BD6" s="16">
        <f t="shared" si="4"/>
        <v>15237.65</v>
      </c>
      <c r="BE6" s="16">
        <f t="shared" si="4"/>
        <v>0</v>
      </c>
      <c r="BF6" s="16">
        <f t="shared" si="4"/>
        <v>0</v>
      </c>
      <c r="BG6" s="16">
        <f t="shared" si="4"/>
        <v>0</v>
      </c>
      <c r="BH6" s="16">
        <f t="shared" si="4"/>
        <v>0</v>
      </c>
      <c r="BI6" s="16">
        <f t="shared" ref="BI6:BT6" si="5">ROUND($AY$6*BI5/$AZ$5,2)</f>
        <v>0</v>
      </c>
      <c r="BJ6" s="16">
        <f t="shared" si="5"/>
        <v>0</v>
      </c>
      <c r="BK6" s="16">
        <f t="shared" si="5"/>
        <v>0</v>
      </c>
      <c r="BL6" s="16">
        <f t="shared" si="5"/>
        <v>3647.7</v>
      </c>
      <c r="BM6" s="16">
        <f t="shared" si="5"/>
        <v>0</v>
      </c>
      <c r="BN6" s="16">
        <f t="shared" si="5"/>
        <v>0</v>
      </c>
      <c r="BO6" s="16">
        <f t="shared" si="5"/>
        <v>0</v>
      </c>
      <c r="BP6" s="16">
        <f t="shared" si="5"/>
        <v>0</v>
      </c>
      <c r="BQ6" s="16">
        <f t="shared" si="5"/>
        <v>2629.55</v>
      </c>
      <c r="BR6" s="16">
        <f t="shared" si="5"/>
        <v>1018.14</v>
      </c>
      <c r="BS6" s="16">
        <f t="shared" si="5"/>
        <v>0</v>
      </c>
      <c r="BT6" s="22">
        <f t="shared" si="5"/>
        <v>0</v>
      </c>
    </row>
    <row r="7" spans="1:72" s="2167" customFormat="1" ht="24.75">
      <c r="A7" s="2109" t="s">
        <v>1872</v>
      </c>
      <c r="B7" s="2109" t="s">
        <v>1873</v>
      </c>
      <c r="C7" s="2109" t="s">
        <v>1874</v>
      </c>
      <c r="D7" s="2109" t="s">
        <v>1875</v>
      </c>
      <c r="E7" s="2109" t="s">
        <v>1876</v>
      </c>
      <c r="F7" s="2109" t="s">
        <v>1877</v>
      </c>
      <c r="G7" s="2178" t="s">
        <v>1878</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09"/>
      <c r="AU7" s="2179" t="s">
        <v>1879</v>
      </c>
      <c r="AV7" s="23" t="s">
        <v>1880</v>
      </c>
      <c r="AW7" s="2166" t="s">
        <v>1881</v>
      </c>
      <c r="AX7" s="23" t="s">
        <v>1874</v>
      </c>
      <c r="AY7" s="1806" t="s">
        <v>1882</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1883</v>
      </c>
      <c r="H8" s="2184" t="s">
        <v>1884</v>
      </c>
      <c r="I8" s="2185"/>
      <c r="J8" s="1821"/>
      <c r="K8" s="1821"/>
      <c r="L8" s="1821"/>
      <c r="M8" s="1821"/>
      <c r="N8" s="1821"/>
      <c r="O8" s="1821"/>
      <c r="P8" s="1821"/>
      <c r="Q8" s="1821"/>
      <c r="R8" s="1821"/>
      <c r="S8" s="1821"/>
      <c r="T8" s="1821"/>
      <c r="U8" s="1821"/>
      <c r="V8" s="2186"/>
      <c r="W8" s="1821"/>
      <c r="X8" s="1821"/>
      <c r="Y8" s="1821"/>
      <c r="Z8" s="1821"/>
      <c r="AA8" s="2186"/>
      <c r="AB8" s="2187"/>
      <c r="AC8" s="984" t="s">
        <v>1885</v>
      </c>
      <c r="AD8" s="2188"/>
      <c r="AE8" s="2180"/>
      <c r="AF8" s="1821"/>
      <c r="AG8" s="1821"/>
      <c r="AH8" s="1821"/>
      <c r="AI8" s="1821"/>
      <c r="AJ8" s="1821"/>
      <c r="AK8" s="1821"/>
      <c r="AL8" s="1821"/>
      <c r="AM8" s="1821"/>
      <c r="AN8" s="1821"/>
      <c r="AO8" s="1821"/>
      <c r="AP8" s="1821"/>
      <c r="AQ8" s="1821"/>
      <c r="AR8" s="1821"/>
      <c r="AS8" s="1821"/>
      <c r="AT8" s="1295" t="s">
        <v>1886</v>
      </c>
      <c r="AU8" s="2182" t="s">
        <v>1887</v>
      </c>
      <c r="AV8" s="1295"/>
      <c r="AW8" s="2165"/>
      <c r="AX8" s="1295"/>
      <c r="AY8" s="2166" t="s">
        <v>1888</v>
      </c>
      <c r="AZ8" s="1820" t="s">
        <v>1889</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89" customFormat="1" ht="12.75">
      <c r="A9" s="2182"/>
      <c r="B9" s="2182"/>
      <c r="C9" s="2182"/>
      <c r="D9" s="2182"/>
      <c r="E9" s="2182"/>
      <c r="F9" s="2182"/>
      <c r="G9" s="1295"/>
      <c r="H9" s="2190" t="s">
        <v>1890</v>
      </c>
      <c r="I9" s="2191" t="s">
        <v>3059</v>
      </c>
      <c r="J9" s="984"/>
      <c r="K9" s="2191" t="s">
        <v>3059</v>
      </c>
      <c r="L9" s="984"/>
      <c r="M9" s="2191" t="s">
        <v>3100</v>
      </c>
      <c r="N9" s="984"/>
      <c r="O9" s="2191" t="s">
        <v>3059</v>
      </c>
      <c r="P9" s="984"/>
      <c r="Q9" s="2191"/>
      <c r="R9" s="984"/>
      <c r="S9" s="2191"/>
      <c r="T9" s="984"/>
      <c r="U9" s="2191"/>
      <c r="V9" s="984"/>
      <c r="W9" s="2191"/>
      <c r="X9" s="2192"/>
      <c r="Y9" s="2191"/>
      <c r="Z9" s="984"/>
      <c r="AA9" s="2191"/>
      <c r="AB9" s="984"/>
      <c r="AC9" s="2183" t="s">
        <v>1890</v>
      </c>
      <c r="AD9" s="15" t="s">
        <v>1891</v>
      </c>
      <c r="AE9" s="1301"/>
      <c r="AF9" s="15" t="s">
        <v>1892</v>
      </c>
      <c r="AG9" s="1301"/>
      <c r="AH9" s="15" t="s">
        <v>1891</v>
      </c>
      <c r="AI9" s="1301"/>
      <c r="AJ9" s="15" t="s">
        <v>1892</v>
      </c>
      <c r="AK9" s="1301"/>
      <c r="AL9" s="15" t="s">
        <v>1891</v>
      </c>
      <c r="AM9" s="1301"/>
      <c r="AN9" s="15" t="s">
        <v>1892</v>
      </c>
      <c r="AO9" s="1301"/>
      <c r="AP9" s="15" t="s">
        <v>1891</v>
      </c>
      <c r="AQ9" s="1301"/>
      <c r="AR9" s="15" t="s">
        <v>1892</v>
      </c>
      <c r="AS9" s="2193"/>
      <c r="AT9" s="2182"/>
      <c r="AU9" s="2182" t="s">
        <v>1893</v>
      </c>
      <c r="AV9" s="1295"/>
      <c r="AW9" s="2165"/>
      <c r="AX9" s="1295"/>
      <c r="AY9" s="28"/>
      <c r="AZ9" s="28" t="s">
        <v>1883</v>
      </c>
      <c r="BA9" s="2194" t="s">
        <v>1894</v>
      </c>
      <c r="BB9" s="2195"/>
      <c r="BC9" s="1341"/>
      <c r="BD9" s="1341"/>
      <c r="BE9" s="1341"/>
      <c r="BF9" s="1341"/>
      <c r="BG9" s="1341"/>
      <c r="BH9" s="1341"/>
      <c r="BI9" s="1341"/>
      <c r="BJ9" s="1341"/>
      <c r="BK9" s="2196"/>
      <c r="BL9" s="15" t="s">
        <v>1895</v>
      </c>
      <c r="BM9" s="1821"/>
      <c r="BN9" s="2185"/>
      <c r="BO9" s="1821"/>
      <c r="BP9" s="1821"/>
      <c r="BQ9" s="1821"/>
      <c r="BR9" s="1821"/>
      <c r="BS9" s="1821"/>
      <c r="BT9" s="26"/>
    </row>
    <row r="10" spans="1:72" s="2189" customFormat="1" ht="12.75">
      <c r="A10" s="2182"/>
      <c r="B10" s="2182"/>
      <c r="C10" s="2182"/>
      <c r="D10" s="2182"/>
      <c r="E10" s="2182"/>
      <c r="F10" s="2182"/>
      <c r="G10" s="1295"/>
      <c r="H10" s="28"/>
      <c r="I10" s="2191" t="s">
        <v>6</v>
      </c>
      <c r="J10" s="984"/>
      <c r="K10" s="2197" t="s">
        <v>6</v>
      </c>
      <c r="L10" s="984"/>
      <c r="M10" s="2197" t="s">
        <v>6</v>
      </c>
      <c r="N10" s="984"/>
      <c r="O10" s="2197" t="s">
        <v>6</v>
      </c>
      <c r="P10" s="984"/>
      <c r="Q10" s="2197"/>
      <c r="R10" s="984"/>
      <c r="S10" s="2197"/>
      <c r="T10" s="984"/>
      <c r="U10" s="2197"/>
      <c r="V10" s="984"/>
      <c r="W10" s="2197"/>
      <c r="X10" s="984"/>
      <c r="Y10" s="2197"/>
      <c r="Z10" s="984"/>
      <c r="AA10" s="2197"/>
      <c r="AB10" s="984"/>
      <c r="AC10" s="1295"/>
      <c r="AD10" s="15" t="s">
        <v>1896</v>
      </c>
      <c r="AE10" s="2198"/>
      <c r="AF10" s="15" t="s">
        <v>1896</v>
      </c>
      <c r="AG10" s="2198"/>
      <c r="AH10" s="15" t="s">
        <v>1897</v>
      </c>
      <c r="AI10" s="2198"/>
      <c r="AJ10" s="15" t="s">
        <v>1897</v>
      </c>
      <c r="AK10" s="2198"/>
      <c r="AL10" s="15" t="s">
        <v>1898</v>
      </c>
      <c r="AM10" s="1301"/>
      <c r="AN10" s="15" t="s">
        <v>1898</v>
      </c>
      <c r="AO10" s="1301"/>
      <c r="AP10" s="15" t="s">
        <v>1899</v>
      </c>
      <c r="AQ10" s="1301"/>
      <c r="AR10" s="15" t="s">
        <v>1899</v>
      </c>
      <c r="AS10" s="1301"/>
      <c r="AT10" s="2182"/>
      <c r="AU10" s="2182"/>
      <c r="AV10" s="1295"/>
      <c r="AW10" s="2165"/>
      <c r="AX10" s="1295"/>
      <c r="AY10" s="28"/>
      <c r="AZ10" s="28"/>
      <c r="BA10" s="2199" t="s">
        <v>1890</v>
      </c>
      <c r="BB10" s="2200" t="str">
        <f>I9</f>
        <v>地上</v>
      </c>
      <c r="BC10" s="29" t="str">
        <f>K9</f>
        <v>地上</v>
      </c>
      <c r="BD10" s="29" t="str">
        <f>M9</f>
        <v>地下</v>
      </c>
      <c r="BE10" s="29" t="str">
        <f>O9</f>
        <v>地上</v>
      </c>
      <c r="BF10" s="29">
        <f>Q9</f>
        <v>0</v>
      </c>
      <c r="BG10" s="29">
        <f>S9</f>
        <v>0</v>
      </c>
      <c r="BH10" s="29">
        <f>U9</f>
        <v>0</v>
      </c>
      <c r="BI10" s="29">
        <f>W9</f>
        <v>0</v>
      </c>
      <c r="BJ10" s="29">
        <f>Y9</f>
        <v>0</v>
      </c>
      <c r="BK10" s="29">
        <f>AA9</f>
        <v>0</v>
      </c>
      <c r="BL10" s="25" t="s">
        <v>1890</v>
      </c>
      <c r="BM10" s="1820" t="str">
        <f>AD9</f>
        <v>地上</v>
      </c>
      <c r="BN10" s="29" t="str">
        <f>AF9</f>
        <v>地下</v>
      </c>
      <c r="BO10" s="1820" t="str">
        <f>AH9</f>
        <v>地上</v>
      </c>
      <c r="BP10" s="29" t="str">
        <f>AJ9</f>
        <v>地下</v>
      </c>
      <c r="BQ10" s="1820" t="str">
        <f>AL9</f>
        <v>地上</v>
      </c>
      <c r="BR10" s="29" t="str">
        <f>AN9</f>
        <v>地下</v>
      </c>
      <c r="BS10" s="1820" t="str">
        <f>AP9</f>
        <v>地上</v>
      </c>
      <c r="BT10" s="2201" t="str">
        <f>AR9</f>
        <v>地下</v>
      </c>
    </row>
    <row r="11" spans="1:72" s="2189" customFormat="1" ht="12.75">
      <c r="A11" s="2182"/>
      <c r="B11" s="2182"/>
      <c r="C11" s="2182"/>
      <c r="D11" s="2182"/>
      <c r="E11" s="2182"/>
      <c r="F11" s="2182"/>
      <c r="G11" s="1295"/>
      <c r="H11" s="2199"/>
      <c r="I11" s="2202" t="s">
        <v>3060</v>
      </c>
      <c r="J11" s="2203"/>
      <c r="K11" s="2202" t="s">
        <v>3096</v>
      </c>
      <c r="L11" s="2203"/>
      <c r="M11" s="2202" t="s">
        <v>3060</v>
      </c>
      <c r="N11" s="2203"/>
      <c r="O11" s="2202" t="s">
        <v>3112</v>
      </c>
      <c r="P11" s="2203"/>
      <c r="Q11" s="2202"/>
      <c r="R11" s="2203"/>
      <c r="S11" s="2202"/>
      <c r="T11" s="2203"/>
      <c r="U11" s="2202"/>
      <c r="V11" s="2203"/>
      <c r="W11" s="2202"/>
      <c r="X11" s="2203"/>
      <c r="Y11" s="2202"/>
      <c r="Z11" s="2203"/>
      <c r="AA11" s="2202"/>
      <c r="AB11" s="2203"/>
      <c r="AC11" s="1295"/>
      <c r="AD11" s="2204" t="s">
        <v>1900</v>
      </c>
      <c r="AE11" s="1822"/>
      <c r="AF11" s="2204" t="s">
        <v>1900</v>
      </c>
      <c r="AG11" s="1822"/>
      <c r="AH11" s="2204" t="s">
        <v>1901</v>
      </c>
      <c r="AI11" s="2205"/>
      <c r="AJ11" s="2204" t="s">
        <v>1901</v>
      </c>
      <c r="AK11" s="1822"/>
      <c r="AL11" s="1820"/>
      <c r="AM11" s="1822"/>
      <c r="AN11" s="1820"/>
      <c r="AO11" s="1822"/>
      <c r="AP11" s="1820"/>
      <c r="AQ11" s="1822"/>
      <c r="AR11" s="1820"/>
      <c r="AS11" s="1822"/>
      <c r="AT11" s="2165"/>
      <c r="AU11" s="2182"/>
      <c r="AV11" s="1295"/>
      <c r="AW11" s="2165"/>
      <c r="AX11" s="1295"/>
      <c r="AY11" s="28"/>
      <c r="AZ11" s="28"/>
      <c r="BA11" s="28"/>
      <c r="BB11" s="2187" t="str">
        <f>I10</f>
        <v>工业</v>
      </c>
      <c r="BC11" s="2187" t="str">
        <f>K10</f>
        <v>工业</v>
      </c>
      <c r="BD11" s="2187" t="str">
        <f>M10</f>
        <v>工业</v>
      </c>
      <c r="BE11" s="2187" t="str">
        <f>O10</f>
        <v>工业</v>
      </c>
      <c r="BF11" s="2187">
        <f>Q10</f>
        <v>0</v>
      </c>
      <c r="BG11" s="2187">
        <f>S10</f>
        <v>0</v>
      </c>
      <c r="BH11" s="2187">
        <f>U10</f>
        <v>0</v>
      </c>
      <c r="BI11" s="2187">
        <f>W10</f>
        <v>0</v>
      </c>
      <c r="BJ11" s="2187">
        <f>Y10</f>
        <v>0</v>
      </c>
      <c r="BK11" s="2187">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6" t="str">
        <f>AR10</f>
        <v>未注明</v>
      </c>
    </row>
    <row r="12" spans="1:72" s="2167" customFormat="1" ht="12.75">
      <c r="A12" s="2207"/>
      <c r="B12" s="2207"/>
      <c r="C12" s="2207"/>
      <c r="D12" s="2207"/>
      <c r="E12" s="2207"/>
      <c r="F12" s="2207"/>
      <c r="G12" s="30"/>
      <c r="H12" s="2208"/>
      <c r="I12" s="1809" t="s">
        <v>1902</v>
      </c>
      <c r="J12" s="11" t="s">
        <v>1903</v>
      </c>
      <c r="K12" s="11" t="s">
        <v>1902</v>
      </c>
      <c r="L12" s="11" t="s">
        <v>1903</v>
      </c>
      <c r="M12" s="11" t="s">
        <v>1902</v>
      </c>
      <c r="N12" s="11" t="s">
        <v>1903</v>
      </c>
      <c r="O12" s="11" t="s">
        <v>1902</v>
      </c>
      <c r="P12" s="11" t="s">
        <v>1903</v>
      </c>
      <c r="Q12" s="11" t="s">
        <v>1902</v>
      </c>
      <c r="R12" s="11" t="s">
        <v>1903</v>
      </c>
      <c r="S12" s="11" t="s">
        <v>1902</v>
      </c>
      <c r="T12" s="11" t="s">
        <v>1903</v>
      </c>
      <c r="U12" s="11" t="s">
        <v>1902</v>
      </c>
      <c r="V12" s="1805" t="s">
        <v>1903</v>
      </c>
      <c r="W12" s="11" t="s">
        <v>1902</v>
      </c>
      <c r="X12" s="11" t="s">
        <v>1903</v>
      </c>
      <c r="Y12" s="11" t="s">
        <v>1902</v>
      </c>
      <c r="Z12" s="11" t="s">
        <v>1903</v>
      </c>
      <c r="AA12" s="11" t="s">
        <v>1902</v>
      </c>
      <c r="AB12" s="11" t="s">
        <v>1903</v>
      </c>
      <c r="AC12" s="2209"/>
      <c r="AD12" s="1809" t="s">
        <v>1902</v>
      </c>
      <c r="AE12" s="11" t="s">
        <v>1903</v>
      </c>
      <c r="AF12" s="11" t="s">
        <v>1902</v>
      </c>
      <c r="AG12" s="11" t="s">
        <v>1903</v>
      </c>
      <c r="AH12" s="11" t="s">
        <v>1902</v>
      </c>
      <c r="AI12" s="11" t="s">
        <v>1903</v>
      </c>
      <c r="AJ12" s="11" t="s">
        <v>1902</v>
      </c>
      <c r="AK12" s="11" t="s">
        <v>1903</v>
      </c>
      <c r="AL12" s="11" t="s">
        <v>1902</v>
      </c>
      <c r="AM12" s="11" t="s">
        <v>1903</v>
      </c>
      <c r="AN12" s="11" t="s">
        <v>1902</v>
      </c>
      <c r="AO12" s="11" t="s">
        <v>1903</v>
      </c>
      <c r="AP12" s="11" t="s">
        <v>1902</v>
      </c>
      <c r="AQ12" s="11" t="s">
        <v>1903</v>
      </c>
      <c r="AR12" s="30" t="s">
        <v>1902</v>
      </c>
      <c r="AS12" s="2207" t="s">
        <v>1903</v>
      </c>
      <c r="AT12" s="2210"/>
      <c r="AU12" s="2207"/>
      <c r="AV12" s="31"/>
      <c r="AW12" s="2166"/>
      <c r="AX12" s="31"/>
      <c r="AY12" s="2211"/>
      <c r="AZ12" s="28"/>
      <c r="BA12" s="2199"/>
      <c r="BB12" s="24" t="str">
        <f>I11</f>
        <v>标准厂房</v>
      </c>
      <c r="BC12" s="2212" t="str">
        <f>K11</f>
        <v>办公楼</v>
      </c>
      <c r="BD12" s="2212" t="str">
        <f>M11</f>
        <v>标准厂房</v>
      </c>
      <c r="BE12" s="2187" t="str">
        <f>O11</f>
        <v>车库</v>
      </c>
      <c r="BF12" s="2187">
        <f>Q11</f>
        <v>0</v>
      </c>
      <c r="BG12" s="2187">
        <f>S11</f>
        <v>0</v>
      </c>
      <c r="BH12" s="2187">
        <f>U11</f>
        <v>0</v>
      </c>
      <c r="BI12" s="2187">
        <f>W11</f>
        <v>0</v>
      </c>
      <c r="BJ12" s="2187">
        <f>Y11</f>
        <v>0</v>
      </c>
      <c r="BK12" s="2187">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6">
        <f>AR11</f>
        <v>0</v>
      </c>
    </row>
    <row r="13" spans="1:72" s="2167" customFormat="1" ht="12.75">
      <c r="A13" s="1275"/>
      <c r="B13" s="1275"/>
      <c r="C13" s="1275">
        <v>1</v>
      </c>
      <c r="D13" s="2213" t="s">
        <v>3058</v>
      </c>
      <c r="E13" s="16">
        <f>IF($C$3="是",ROUND($A$3*G13/$B$3,2),ROUND($A$3*(G13-AT13)/$B$3,2))</f>
        <v>6.97</v>
      </c>
      <c r="F13" s="32"/>
      <c r="G13" s="33">
        <f>H13+AC13+AT13</f>
        <v>8.5299999999999994</v>
      </c>
      <c r="H13" s="20">
        <f>SUMIF(I$12:AB$12,"总值",I13:AB13)</f>
        <v>8.5299999999999994</v>
      </c>
      <c r="I13" s="2214">
        <v>8.5299999999999994</v>
      </c>
      <c r="J13" s="2214"/>
      <c r="K13" s="2214"/>
      <c r="L13" s="2214"/>
      <c r="M13" s="2214"/>
      <c r="N13" s="2214"/>
      <c r="O13" s="2214"/>
      <c r="P13" s="2214"/>
      <c r="Q13" s="2214"/>
      <c r="R13" s="2214"/>
      <c r="S13" s="2214"/>
      <c r="T13" s="2214"/>
      <c r="U13" s="2214"/>
      <c r="V13" s="2214"/>
      <c r="W13" s="2214"/>
      <c r="X13" s="2214"/>
      <c r="Y13" s="2214"/>
      <c r="Z13" s="2214"/>
      <c r="AA13" s="2214"/>
      <c r="AB13" s="2214"/>
      <c r="AC13" s="16">
        <f>SUMIF(AD$12:AS$12,"总值",AD13:AS13)</f>
        <v>0</v>
      </c>
      <c r="AD13" s="2215"/>
      <c r="AE13" s="2215"/>
      <c r="AF13" s="2215"/>
      <c r="AG13" s="2215"/>
      <c r="AH13" s="2215"/>
      <c r="AI13" s="2215"/>
      <c r="AJ13" s="2215"/>
      <c r="AK13" s="2215"/>
      <c r="AL13" s="2215"/>
      <c r="AM13" s="2215"/>
      <c r="AN13" s="2215"/>
      <c r="AO13" s="2215"/>
      <c r="AP13" s="2215"/>
      <c r="AQ13" s="2215"/>
      <c r="AR13" s="2215"/>
      <c r="AS13" s="2215"/>
      <c r="AT13" s="2216"/>
      <c r="AU13" s="2217"/>
      <c r="AV13" s="11">
        <f t="shared" ref="AV13:AX17" si="6">A13</f>
        <v>0</v>
      </c>
      <c r="AW13" s="11">
        <f t="shared" si="6"/>
        <v>0</v>
      </c>
      <c r="AX13" s="11">
        <f t="shared" si="6"/>
        <v>1</v>
      </c>
      <c r="AY13" s="1809">
        <f>ROUND($AY$6*AZ13/$AZ$5,2)</f>
        <v>6.97</v>
      </c>
      <c r="AZ13" s="16">
        <f>BA13+BL13</f>
        <v>8.5299999999999994</v>
      </c>
      <c r="BA13" s="16">
        <f>SUM(BB13:BK13)</f>
        <v>8.5299999999999994</v>
      </c>
      <c r="BB13" s="16">
        <f>IF($D13="是",I13-J13,0)</f>
        <v>8.5299999999999994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7" customFormat="1" ht="12.75">
      <c r="A14" s="1275"/>
      <c r="B14" s="1275"/>
      <c r="C14" s="1275" t="s">
        <v>3102</v>
      </c>
      <c r="D14" s="2213" t="s">
        <v>3058</v>
      </c>
      <c r="E14" s="16">
        <f>IF($C$3="是",ROUND($A$3*G14/$B$3,2),ROUND($A$3*(G14-AT14)/$B$3,2))</f>
        <v>389.01</v>
      </c>
      <c r="F14" s="32"/>
      <c r="G14" s="33">
        <f>H14+AC14+AT14</f>
        <v>476.25</v>
      </c>
      <c r="H14" s="20">
        <f>SUMIF(I$12:AB$12,"总值",I14:AB14)</f>
        <v>476.25</v>
      </c>
      <c r="I14" s="2214"/>
      <c r="J14" s="2214"/>
      <c r="K14" s="2214">
        <v>476.25</v>
      </c>
      <c r="L14" s="2214"/>
      <c r="M14" s="2214"/>
      <c r="N14" s="2214"/>
      <c r="O14" s="2214"/>
      <c r="P14" s="2214"/>
      <c r="Q14" s="2214"/>
      <c r="R14" s="2214"/>
      <c r="S14" s="2214"/>
      <c r="T14" s="2214"/>
      <c r="U14" s="2214"/>
      <c r="V14" s="2214"/>
      <c r="W14" s="2214"/>
      <c r="X14" s="2214"/>
      <c r="Y14" s="2214"/>
      <c r="Z14" s="2214"/>
      <c r="AA14" s="2214"/>
      <c r="AB14" s="2214"/>
      <c r="AC14" s="16">
        <f>SUMIF(AD$12:AS$12,"总值",AD14:AS14)</f>
        <v>0</v>
      </c>
      <c r="AD14" s="2215"/>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f t="shared" si="6"/>
        <v>0</v>
      </c>
      <c r="AX14" s="11" t="str">
        <f t="shared" si="6"/>
        <v>2（附属）</v>
      </c>
      <c r="AY14" s="1809">
        <f>ROUND($AY$6*AZ14/$AZ$5,2)</f>
        <v>389.01</v>
      </c>
      <c r="AZ14" s="16">
        <f>BA14+BL14</f>
        <v>476.25</v>
      </c>
      <c r="BA14" s="16">
        <f>SUM(BB14:BK14)</f>
        <v>476.25</v>
      </c>
      <c r="BB14" s="16">
        <f>IF($D14="是",I14-J14,0)</f>
        <v>0</v>
      </c>
      <c r="BC14" s="16">
        <f>IF($D14="是",K14-L14,0)</f>
        <v>476.25</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7" customFormat="1" ht="12.75">
      <c r="A15" s="1275"/>
      <c r="B15" s="1275"/>
      <c r="C15" s="1275" t="s">
        <v>3101</v>
      </c>
      <c r="D15" s="2213" t="s">
        <v>3058</v>
      </c>
      <c r="E15" s="16">
        <f>IF($C$3="是",ROUND($A$3*G15/$B$3,2),ROUND($A$3*(G15-AT15)/$B$3,2))</f>
        <v>7621.51</v>
      </c>
      <c r="F15" s="32"/>
      <c r="G15" s="33">
        <f>H15+AC15+AT15</f>
        <v>9330.83</v>
      </c>
      <c r="H15" s="20">
        <f>SUMIF(I$12:AB$12,"总值",I15:AB15)</f>
        <v>9330.83</v>
      </c>
      <c r="I15" s="2214"/>
      <c r="J15" s="2214"/>
      <c r="K15" s="2214">
        <v>9330.83</v>
      </c>
      <c r="L15" s="2214"/>
      <c r="M15" s="2214"/>
      <c r="N15" s="2214"/>
      <c r="O15" s="2214"/>
      <c r="P15" s="2214"/>
      <c r="Q15" s="2214"/>
      <c r="R15" s="2214"/>
      <c r="S15" s="2214"/>
      <c r="T15" s="2214"/>
      <c r="U15" s="2214"/>
      <c r="V15" s="2214"/>
      <c r="W15" s="2214"/>
      <c r="X15" s="2214"/>
      <c r="Y15" s="2214"/>
      <c r="Z15" s="2214"/>
      <c r="AA15" s="2214"/>
      <c r="AB15" s="2214"/>
      <c r="AC15" s="16">
        <f>SUMIF(AD$12:AS$12,"总值",AD15:AS15)</f>
        <v>0</v>
      </c>
      <c r="AD15" s="2215"/>
      <c r="AE15" s="2215"/>
      <c r="AF15" s="2215"/>
      <c r="AG15" s="2215"/>
      <c r="AH15" s="2215"/>
      <c r="AI15" s="2215"/>
      <c r="AJ15" s="2215"/>
      <c r="AK15" s="2215"/>
      <c r="AL15" s="2215"/>
      <c r="AM15" s="2215"/>
      <c r="AN15" s="2215"/>
      <c r="AO15" s="2215"/>
      <c r="AP15" s="2215"/>
      <c r="AQ15" s="2215"/>
      <c r="AR15" s="2215"/>
      <c r="AS15" s="2215"/>
      <c r="AT15" s="2216"/>
      <c r="AU15" s="2217"/>
      <c r="AV15" s="11">
        <f t="shared" si="6"/>
        <v>0</v>
      </c>
      <c r="AW15" s="11">
        <f t="shared" si="6"/>
        <v>0</v>
      </c>
      <c r="AX15" s="11" t="str">
        <f t="shared" si="6"/>
        <v>2（1-3层）</v>
      </c>
      <c r="AY15" s="1809">
        <f>ROUND($AY$6*AZ15/$AZ$5,2)</f>
        <v>7621.51</v>
      </c>
      <c r="AZ15" s="16">
        <f>BA15+BL15</f>
        <v>9330.83</v>
      </c>
      <c r="BA15" s="16">
        <f>SUM(BB15:BK15)</f>
        <v>9330.83</v>
      </c>
      <c r="BB15" s="16">
        <f>IF($D15="是",I15-J15,0)</f>
        <v>0</v>
      </c>
      <c r="BC15" s="16">
        <f>IF($D15="是",K15-L15,0)</f>
        <v>9330.83</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7" customFormat="1" ht="12.75">
      <c r="A16" s="1275"/>
      <c r="B16" s="1275"/>
      <c r="C16" s="1275" t="s">
        <v>3103</v>
      </c>
      <c r="D16" s="2213" t="s">
        <v>3058</v>
      </c>
      <c r="E16" s="16">
        <f>IF($C$3="是",ROUND($A$3*G16/$B$3,2),ROUND($A$3*(G16-AT16)/$B$3,2))</f>
        <v>79.459999999999994</v>
      </c>
      <c r="F16" s="32"/>
      <c r="G16" s="33">
        <f>H16+AC16+AT16</f>
        <v>97.28</v>
      </c>
      <c r="H16" s="20">
        <f>SUMIF(I$12:AB$12,"总值",I16:AB16)</f>
        <v>97.28</v>
      </c>
      <c r="I16" s="2214">
        <v>97.28</v>
      </c>
      <c r="J16" s="2214"/>
      <c r="K16" s="2214"/>
      <c r="L16" s="2214"/>
      <c r="M16" s="2214"/>
      <c r="N16" s="2214"/>
      <c r="O16" s="2214"/>
      <c r="P16" s="2214"/>
      <c r="Q16" s="2214"/>
      <c r="R16" s="2214"/>
      <c r="S16" s="2214"/>
      <c r="T16" s="2214"/>
      <c r="U16" s="2214"/>
      <c r="V16" s="2214"/>
      <c r="W16" s="2214"/>
      <c r="X16" s="2214"/>
      <c r="Y16" s="2214"/>
      <c r="Z16" s="2214"/>
      <c r="AA16" s="2214"/>
      <c r="AB16" s="2214"/>
      <c r="AC16" s="16">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f t="shared" si="6"/>
        <v>0</v>
      </c>
      <c r="AX16" s="11" t="str">
        <f t="shared" si="6"/>
        <v>3（附属）</v>
      </c>
      <c r="AY16" s="1809">
        <f>ROUND($AY$6*AZ16/$AZ$5,2)</f>
        <v>79.459999999999994</v>
      </c>
      <c r="AZ16" s="16">
        <f>BA16+BL16</f>
        <v>97.28</v>
      </c>
      <c r="BA16" s="16">
        <f>SUM(BB16:BK16)</f>
        <v>97.28</v>
      </c>
      <c r="BB16" s="16">
        <f>IF($D16="是",I16-J16,0)</f>
        <v>97.28</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7" customFormat="1" ht="12.75">
      <c r="A17" s="1275"/>
      <c r="B17" s="1275"/>
      <c r="C17" s="1275" t="s">
        <v>3104</v>
      </c>
      <c r="D17" s="2213" t="s">
        <v>3058</v>
      </c>
      <c r="E17" s="16">
        <f>IF($C$3="是",ROUND($A$3*G17/$B$3,2),ROUND($A$3*(G17-AT17)/$B$3,2))</f>
        <v>5013.3900000000003</v>
      </c>
      <c r="F17" s="32"/>
      <c r="G17" s="33">
        <f>H17+AC17+AT17</f>
        <v>6137.77</v>
      </c>
      <c r="H17" s="20">
        <f>SUMIF(I$12:AB$12,"总值",I17:AB17)</f>
        <v>6137.77</v>
      </c>
      <c r="I17" s="2214">
        <v>6137.77</v>
      </c>
      <c r="J17" s="2214"/>
      <c r="K17" s="2214"/>
      <c r="L17" s="2214"/>
      <c r="M17" s="2214"/>
      <c r="N17" s="2214"/>
      <c r="O17" s="2214"/>
      <c r="P17" s="2214"/>
      <c r="Q17" s="2214"/>
      <c r="R17" s="2214"/>
      <c r="S17" s="2214"/>
      <c r="T17" s="2214"/>
      <c r="U17" s="2214"/>
      <c r="V17" s="2214"/>
      <c r="W17" s="2214"/>
      <c r="X17" s="2214"/>
      <c r="Y17" s="2214"/>
      <c r="Z17" s="2214"/>
      <c r="AA17" s="2214"/>
      <c r="AB17" s="2214"/>
      <c r="AC17" s="16">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f t="shared" si="6"/>
        <v>0</v>
      </c>
      <c r="AX17" s="11" t="str">
        <f t="shared" si="6"/>
        <v>3（1-2层）</v>
      </c>
      <c r="AY17" s="1809">
        <f>ROUND($AY$6*AZ17/$AZ$5,2)</f>
        <v>5013.3900000000003</v>
      </c>
      <c r="AZ17" s="16">
        <f>BA17+BL17</f>
        <v>6137.77</v>
      </c>
      <c r="BA17" s="16">
        <f>SUM(BB17:BK17)</f>
        <v>6137.77</v>
      </c>
      <c r="BB17" s="16">
        <f>IF($D17="是",I17-J17,0)</f>
        <v>6137.77</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1275" t="s">
        <v>3105</v>
      </c>
      <c r="D18" s="2213" t="s">
        <v>3058</v>
      </c>
      <c r="E18" s="35">
        <f t="shared" ref="E18:E112" si="7">IF($C$3="是",ROUND($A$3*G18/$B$3,2),ROUND($A$3*(G18-AT18)/$B$3,2))</f>
        <v>31.41</v>
      </c>
      <c r="F18" s="36"/>
      <c r="G18" s="37">
        <f t="shared" ref="G18:G109" si="8">H18+AC18+AT18</f>
        <v>38.450000000000003</v>
      </c>
      <c r="H18" s="38">
        <f t="shared" ref="H18:H109" si="9">SUMIF(I$12:AB$12,"总值",I18:AB18)</f>
        <v>38.450000000000003</v>
      </c>
      <c r="I18" s="2214">
        <v>38.450000000000003</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9"/>
      <c r="AV18" s="1798">
        <f t="shared" ref="AV18:AV112" si="11">A18</f>
        <v>0</v>
      </c>
      <c r="AW18" s="1798">
        <f t="shared" ref="AW18:AW112" si="12">B18</f>
        <v>0</v>
      </c>
      <c r="AX18" s="1798" t="str">
        <f t="shared" ref="AX18:AX112" si="13">C18</f>
        <v>4（1层）</v>
      </c>
      <c r="AY18" s="42">
        <f t="shared" ref="AY18:AY109" si="14">ROUND($AY$6*AZ18/$AZ$5,2)</f>
        <v>31.41</v>
      </c>
      <c r="AZ18" s="35">
        <f t="shared" ref="AZ18:AZ109" si="15">BA18+BL18</f>
        <v>38.450000000000003</v>
      </c>
      <c r="BA18" s="35">
        <f t="shared" ref="BA18:BA109" si="16">SUM(BB18:BK18)</f>
        <v>38.450000000000003</v>
      </c>
      <c r="BB18" s="35">
        <f t="shared" ref="BB18:BB109" si="17">IF($D18="是",I18-J18,0)</f>
        <v>38.450000000000003</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1275" t="s">
        <v>3106</v>
      </c>
      <c r="D19" s="2213" t="s">
        <v>3058</v>
      </c>
      <c r="E19" s="35">
        <f t="shared" si="7"/>
        <v>130.47999999999999</v>
      </c>
      <c r="F19" s="36"/>
      <c r="G19" s="37">
        <f t="shared" si="8"/>
        <v>159.74</v>
      </c>
      <c r="H19" s="38">
        <f t="shared" si="9"/>
        <v>159.74</v>
      </c>
      <c r="I19" s="39">
        <v>159.74</v>
      </c>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9"/>
      <c r="AV19" s="1798">
        <f t="shared" si="11"/>
        <v>0</v>
      </c>
      <c r="AW19" s="1798">
        <f t="shared" si="12"/>
        <v>0</v>
      </c>
      <c r="AX19" s="1798" t="str">
        <f t="shared" si="13"/>
        <v>5（1层）</v>
      </c>
      <c r="AY19" s="42">
        <f t="shared" si="14"/>
        <v>130.47999999999999</v>
      </c>
      <c r="AZ19" s="35">
        <f t="shared" si="15"/>
        <v>159.74</v>
      </c>
      <c r="BA19" s="35">
        <f t="shared" si="16"/>
        <v>159.74</v>
      </c>
      <c r="BB19" s="35">
        <f t="shared" si="17"/>
        <v>159.74</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1275" t="s">
        <v>3107</v>
      </c>
      <c r="D20" s="2213" t="s">
        <v>3058</v>
      </c>
      <c r="E20" s="35">
        <f t="shared" si="7"/>
        <v>1635.75</v>
      </c>
      <c r="F20" s="36"/>
      <c r="G20" s="37">
        <f t="shared" si="8"/>
        <v>2002.61</v>
      </c>
      <c r="H20" s="38">
        <f t="shared" si="9"/>
        <v>2002.61</v>
      </c>
      <c r="I20" s="39">
        <v>2002.61</v>
      </c>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9"/>
      <c r="AV20" s="1798">
        <f t="shared" si="11"/>
        <v>0</v>
      </c>
      <c r="AW20" s="1798">
        <f t="shared" si="12"/>
        <v>0</v>
      </c>
      <c r="AX20" s="1798" t="str">
        <f t="shared" si="13"/>
        <v>6（1层）</v>
      </c>
      <c r="AY20" s="42">
        <f t="shared" si="14"/>
        <v>1635.75</v>
      </c>
      <c r="AZ20" s="35">
        <f t="shared" si="15"/>
        <v>2002.61</v>
      </c>
      <c r="BA20" s="35">
        <f t="shared" si="16"/>
        <v>2002.61</v>
      </c>
      <c r="BB20" s="35">
        <f t="shared" si="17"/>
        <v>2002.61</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1275" t="s">
        <v>3108</v>
      </c>
      <c r="D21" s="2213" t="s">
        <v>3058</v>
      </c>
      <c r="E21" s="35">
        <f t="shared" si="7"/>
        <v>790.85</v>
      </c>
      <c r="F21" s="36"/>
      <c r="G21" s="37">
        <f t="shared" si="8"/>
        <v>968.22</v>
      </c>
      <c r="H21" s="38">
        <f t="shared" si="9"/>
        <v>968.22</v>
      </c>
      <c r="I21" s="39"/>
      <c r="J21" s="39"/>
      <c r="K21" s="39"/>
      <c r="L21" s="39"/>
      <c r="M21" s="39">
        <v>968.22</v>
      </c>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9"/>
      <c r="AV21" s="1798">
        <f t="shared" si="11"/>
        <v>0</v>
      </c>
      <c r="AW21" s="1798">
        <f t="shared" si="12"/>
        <v>0</v>
      </c>
      <c r="AX21" s="1798" t="str">
        <f t="shared" si="13"/>
        <v>6（-1层）</v>
      </c>
      <c r="AY21" s="42">
        <f t="shared" si="14"/>
        <v>790.85</v>
      </c>
      <c r="AZ21" s="35">
        <f t="shared" si="15"/>
        <v>968.22</v>
      </c>
      <c r="BA21" s="35">
        <f t="shared" si="16"/>
        <v>968.22</v>
      </c>
      <c r="BB21" s="35">
        <f t="shared" si="17"/>
        <v>0</v>
      </c>
      <c r="BC21" s="35">
        <f t="shared" si="18"/>
        <v>0</v>
      </c>
      <c r="BD21" s="35">
        <f t="shared" si="19"/>
        <v>968.22</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1275" t="s">
        <v>3109</v>
      </c>
      <c r="D22" s="2213" t="s">
        <v>3058</v>
      </c>
      <c r="E22" s="35">
        <f t="shared" si="7"/>
        <v>205.26</v>
      </c>
      <c r="F22" s="36"/>
      <c r="G22" s="37">
        <f t="shared" si="8"/>
        <v>251.29</v>
      </c>
      <c r="H22" s="38">
        <f t="shared" si="9"/>
        <v>251.29</v>
      </c>
      <c r="I22" s="39">
        <v>251.29</v>
      </c>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9"/>
      <c r="AV22" s="1798">
        <f t="shared" si="11"/>
        <v>0</v>
      </c>
      <c r="AW22" s="1798">
        <f t="shared" si="12"/>
        <v>0</v>
      </c>
      <c r="AX22" s="1798" t="str">
        <f t="shared" si="13"/>
        <v>6（附属）</v>
      </c>
      <c r="AY22" s="42">
        <f t="shared" si="14"/>
        <v>205.26</v>
      </c>
      <c r="AZ22" s="35">
        <f t="shared" si="15"/>
        <v>251.29</v>
      </c>
      <c r="BA22" s="35">
        <f t="shared" si="16"/>
        <v>251.29</v>
      </c>
      <c r="BB22" s="35">
        <f t="shared" si="17"/>
        <v>251.29</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ht="18" customHeight="1">
      <c r="A23" s="9"/>
      <c r="B23" s="34"/>
      <c r="C23" s="1275" t="s">
        <v>3110</v>
      </c>
      <c r="D23" s="2213" t="s">
        <v>3058</v>
      </c>
      <c r="E23" s="35">
        <f t="shared" si="7"/>
        <v>32513.93</v>
      </c>
      <c r="F23" s="36"/>
      <c r="G23" s="37">
        <f t="shared" si="8"/>
        <v>39806.03</v>
      </c>
      <c r="H23" s="38">
        <f t="shared" si="9"/>
        <v>39806.03</v>
      </c>
      <c r="I23" s="39">
        <v>39806.03</v>
      </c>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9"/>
      <c r="AV23" s="2946">
        <f t="shared" si="11"/>
        <v>0</v>
      </c>
      <c r="AW23" s="2946">
        <f t="shared" si="12"/>
        <v>0</v>
      </c>
      <c r="AX23" s="2946" t="str">
        <f t="shared" si="13"/>
        <v>7（1-4层）</v>
      </c>
      <c r="AY23" s="2951">
        <f t="shared" si="14"/>
        <v>32513.93</v>
      </c>
      <c r="AZ23" s="35">
        <f t="shared" si="15"/>
        <v>39806.03</v>
      </c>
      <c r="BA23" s="35">
        <f t="shared" si="16"/>
        <v>39806.03</v>
      </c>
      <c r="BB23" s="35">
        <f t="shared" si="17"/>
        <v>39806.03</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1275">
        <v>11</v>
      </c>
      <c r="D24" s="2213" t="s">
        <v>3058</v>
      </c>
      <c r="E24" s="35">
        <f t="shared" si="7"/>
        <v>3054.43</v>
      </c>
      <c r="F24" s="36"/>
      <c r="G24" s="37">
        <f t="shared" si="8"/>
        <v>3739.4699999999993</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3739.4699999999993</v>
      </c>
      <c r="AD24" s="40"/>
      <c r="AE24" s="40"/>
      <c r="AF24" s="40"/>
      <c r="AG24" s="40"/>
      <c r="AH24" s="40"/>
      <c r="AI24" s="40"/>
      <c r="AJ24" s="40"/>
      <c r="AK24" s="40"/>
      <c r="AL24" s="40">
        <f>3739.47-AN24</f>
        <v>2492.9799999999996</v>
      </c>
      <c r="AM24" s="40"/>
      <c r="AN24" s="40">
        <v>1246.49</v>
      </c>
      <c r="AO24" s="40"/>
      <c r="AP24" s="40"/>
      <c r="AQ24" s="40"/>
      <c r="AR24" s="40"/>
      <c r="AS24" s="40"/>
      <c r="AT24" s="41"/>
      <c r="AU24" s="2219"/>
      <c r="AV24" s="1798">
        <f t="shared" si="11"/>
        <v>0</v>
      </c>
      <c r="AW24" s="1798">
        <f t="shared" si="12"/>
        <v>0</v>
      </c>
      <c r="AX24" s="1798">
        <f t="shared" si="13"/>
        <v>11</v>
      </c>
      <c r="AY24" s="42">
        <f t="shared" si="14"/>
        <v>3054.43</v>
      </c>
      <c r="AZ24" s="35">
        <f t="shared" si="15"/>
        <v>3739.4699999999993</v>
      </c>
      <c r="BA24" s="35">
        <f t="shared" si="16"/>
        <v>0</v>
      </c>
      <c r="BB24" s="35">
        <f>IF($D24="是",I24-J24,0)</f>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3739.4699999999993</v>
      </c>
      <c r="BM24" s="35">
        <f t="shared" si="28"/>
        <v>0</v>
      </c>
      <c r="BN24" s="35">
        <f t="shared" si="29"/>
        <v>0</v>
      </c>
      <c r="BO24" s="35">
        <f t="shared" si="30"/>
        <v>0</v>
      </c>
      <c r="BP24" s="35">
        <f t="shared" si="31"/>
        <v>0</v>
      </c>
      <c r="BQ24" s="35">
        <f t="shared" si="32"/>
        <v>2492.9799999999996</v>
      </c>
      <c r="BR24" s="35">
        <f t="shared" si="33"/>
        <v>1246.49</v>
      </c>
      <c r="BS24" s="35">
        <f t="shared" si="34"/>
        <v>0</v>
      </c>
      <c r="BT24" s="43">
        <f t="shared" si="35"/>
        <v>0</v>
      </c>
    </row>
    <row r="25" spans="1:72" hidden="1">
      <c r="A25" s="9"/>
      <c r="B25" s="34"/>
      <c r="C25" s="1275"/>
      <c r="D25" s="2213" t="s">
        <v>3058</v>
      </c>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9"/>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1275">
        <v>12</v>
      </c>
      <c r="D26" s="2213" t="s">
        <v>3058</v>
      </c>
      <c r="E26" s="35">
        <f t="shared" si="7"/>
        <v>57787.199999999997</v>
      </c>
      <c r="F26" s="36"/>
      <c r="G26" s="37">
        <f t="shared" si="8"/>
        <v>70747.490000000005</v>
      </c>
      <c r="H26" s="38">
        <f>SUMIF(I$12:AB$12,"总值",I26:AB26)</f>
        <v>70747.490000000005</v>
      </c>
      <c r="I26" s="39"/>
      <c r="J26" s="39"/>
      <c r="K26" s="39">
        <f>70747.49-M26</f>
        <v>53060.62000000001</v>
      </c>
      <c r="L26" s="39"/>
      <c r="M26" s="39">
        <f>ROUND(70747.49/8*2,2)</f>
        <v>17686.87</v>
      </c>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8">
        <f t="shared" si="11"/>
        <v>0</v>
      </c>
      <c r="AW26" s="1798">
        <f t="shared" si="12"/>
        <v>0</v>
      </c>
      <c r="AX26" s="1798">
        <f t="shared" si="13"/>
        <v>12</v>
      </c>
      <c r="AY26" s="42">
        <f t="shared" si="14"/>
        <v>57787.199999999997</v>
      </c>
      <c r="AZ26" s="35">
        <f t="shared" si="15"/>
        <v>70747.490000000005</v>
      </c>
      <c r="BA26" s="35">
        <f t="shared" si="16"/>
        <v>70747.490000000005</v>
      </c>
      <c r="BB26" s="35">
        <f>IF($D26="是",I26-J26,0)</f>
        <v>0</v>
      </c>
      <c r="BC26" s="35">
        <f t="shared" si="18"/>
        <v>53060.62000000001</v>
      </c>
      <c r="BD26" s="35">
        <f t="shared" si="19"/>
        <v>17686.87</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hidden="1">
      <c r="A27" s="9"/>
      <c r="B27" s="34"/>
      <c r="C27" s="1275"/>
      <c r="D27" s="2213" t="s">
        <v>3058</v>
      </c>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9"/>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1275" t="s">
        <v>3111</v>
      </c>
      <c r="D28" s="2213" t="s">
        <v>3058</v>
      </c>
      <c r="E28" s="35">
        <f t="shared" si="7"/>
        <v>343.57</v>
      </c>
      <c r="F28" s="36"/>
      <c r="G28" s="37">
        <f t="shared" si="8"/>
        <v>420.62</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420.62</v>
      </c>
      <c r="AD28" s="40"/>
      <c r="AE28" s="40"/>
      <c r="AF28" s="40"/>
      <c r="AG28" s="40"/>
      <c r="AH28" s="40"/>
      <c r="AI28" s="40"/>
      <c r="AJ28" s="40"/>
      <c r="AK28" s="40"/>
      <c r="AL28" s="40">
        <v>420.62</v>
      </c>
      <c r="AM28" s="40"/>
      <c r="AN28" s="40"/>
      <c r="AO28" s="40"/>
      <c r="AP28" s="40"/>
      <c r="AQ28" s="40"/>
      <c r="AR28" s="40"/>
      <c r="AS28" s="40"/>
      <c r="AT28" s="41"/>
      <c r="AU28" s="2219"/>
      <c r="AV28" s="1798">
        <f t="shared" si="11"/>
        <v>0</v>
      </c>
      <c r="AW28" s="1798">
        <f t="shared" si="12"/>
        <v>0</v>
      </c>
      <c r="AX28" s="1798" t="str">
        <f t="shared" si="13"/>
        <v>13（1层）</v>
      </c>
      <c r="AY28" s="42">
        <f t="shared" si="14"/>
        <v>343.57</v>
      </c>
      <c r="AZ28" s="35">
        <f t="shared" si="15"/>
        <v>420.62</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420.62</v>
      </c>
      <c r="BM28" s="35">
        <f t="shared" si="28"/>
        <v>0</v>
      </c>
      <c r="BN28" s="35">
        <f t="shared" si="29"/>
        <v>0</v>
      </c>
      <c r="BO28" s="35">
        <f t="shared" si="30"/>
        <v>0</v>
      </c>
      <c r="BP28" s="35">
        <f t="shared" si="31"/>
        <v>0</v>
      </c>
      <c r="BQ28" s="35">
        <f t="shared" si="32"/>
        <v>420.62</v>
      </c>
      <c r="BR28" s="35">
        <f t="shared" si="33"/>
        <v>0</v>
      </c>
      <c r="BS28" s="35">
        <f t="shared" si="34"/>
        <v>0</v>
      </c>
      <c r="BT28" s="43">
        <f t="shared" si="35"/>
        <v>0</v>
      </c>
    </row>
    <row r="29" spans="1:72">
      <c r="A29" s="9"/>
      <c r="B29" s="34"/>
      <c r="C29" s="34">
        <v>14</v>
      </c>
      <c r="D29" s="2213" t="s">
        <v>3058</v>
      </c>
      <c r="E29" s="35">
        <f t="shared" si="7"/>
        <v>157.46</v>
      </c>
      <c r="F29" s="36"/>
      <c r="G29" s="37">
        <f t="shared" si="8"/>
        <v>192.78</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192.78</v>
      </c>
      <c r="AD29" s="40"/>
      <c r="AE29" s="40"/>
      <c r="AF29" s="40"/>
      <c r="AG29" s="40"/>
      <c r="AH29" s="40"/>
      <c r="AI29" s="40"/>
      <c r="AJ29" s="40"/>
      <c r="AK29" s="40"/>
      <c r="AL29" s="39">
        <v>192.78</v>
      </c>
      <c r="AM29" s="40"/>
      <c r="AN29" s="39"/>
      <c r="AO29" s="40"/>
      <c r="AP29" s="40"/>
      <c r="AQ29" s="40"/>
      <c r="AR29" s="40"/>
      <c r="AS29" s="40"/>
      <c r="AT29" s="41"/>
      <c r="AU29" s="2219"/>
      <c r="AV29" s="1798">
        <f t="shared" si="11"/>
        <v>0</v>
      </c>
      <c r="AW29" s="1798">
        <f t="shared" si="12"/>
        <v>0</v>
      </c>
      <c r="AX29" s="1798">
        <f t="shared" si="13"/>
        <v>14</v>
      </c>
      <c r="AY29" s="42">
        <f t="shared" si="14"/>
        <v>157.46</v>
      </c>
      <c r="AZ29" s="35">
        <f t="shared" si="15"/>
        <v>192.78</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192.78</v>
      </c>
      <c r="BM29" s="35">
        <f t="shared" si="28"/>
        <v>0</v>
      </c>
      <c r="BN29" s="35">
        <f t="shared" si="29"/>
        <v>0</v>
      </c>
      <c r="BO29" s="35">
        <f t="shared" si="30"/>
        <v>0</v>
      </c>
      <c r="BP29" s="35">
        <f t="shared" si="31"/>
        <v>0</v>
      </c>
      <c r="BQ29" s="35">
        <f t="shared" si="32"/>
        <v>192.78</v>
      </c>
      <c r="BR29" s="35">
        <f t="shared" si="33"/>
        <v>0</v>
      </c>
      <c r="BS29" s="35">
        <f t="shared" si="34"/>
        <v>0</v>
      </c>
      <c r="BT29" s="43">
        <f t="shared" si="35"/>
        <v>0</v>
      </c>
    </row>
    <row r="30" spans="1:72">
      <c r="A30" s="9"/>
      <c r="B30" s="34"/>
      <c r="C30" s="34">
        <v>15</v>
      </c>
      <c r="D30" s="2213" t="s">
        <v>3058</v>
      </c>
      <c r="E30" s="35">
        <f t="shared" si="7"/>
        <v>19.059999999999999</v>
      </c>
      <c r="F30" s="36"/>
      <c r="G30" s="37">
        <f t="shared" si="8"/>
        <v>23.33</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23.33</v>
      </c>
      <c r="AD30" s="40"/>
      <c r="AE30" s="40"/>
      <c r="AF30" s="40"/>
      <c r="AG30" s="40"/>
      <c r="AH30" s="40"/>
      <c r="AI30" s="40"/>
      <c r="AJ30" s="40"/>
      <c r="AK30" s="40"/>
      <c r="AL30" s="39">
        <v>23.33</v>
      </c>
      <c r="AM30" s="40"/>
      <c r="AN30" s="39"/>
      <c r="AO30" s="40"/>
      <c r="AP30" s="40"/>
      <c r="AQ30" s="40"/>
      <c r="AR30" s="40"/>
      <c r="AS30" s="40"/>
      <c r="AT30" s="41"/>
      <c r="AU30" s="2219"/>
      <c r="AV30" s="1798">
        <f t="shared" si="11"/>
        <v>0</v>
      </c>
      <c r="AW30" s="1798">
        <f t="shared" si="12"/>
        <v>0</v>
      </c>
      <c r="AX30" s="1798">
        <f t="shared" si="13"/>
        <v>15</v>
      </c>
      <c r="AY30" s="42">
        <f t="shared" si="14"/>
        <v>19.059999999999999</v>
      </c>
      <c r="AZ30" s="35">
        <f t="shared" si="15"/>
        <v>23.33</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23.33</v>
      </c>
      <c r="BM30" s="35">
        <f t="shared" si="28"/>
        <v>0</v>
      </c>
      <c r="BN30" s="35">
        <f t="shared" si="29"/>
        <v>0</v>
      </c>
      <c r="BO30" s="35">
        <f t="shared" si="30"/>
        <v>0</v>
      </c>
      <c r="BP30" s="35">
        <f t="shared" si="31"/>
        <v>0</v>
      </c>
      <c r="BQ30" s="35">
        <f t="shared" si="32"/>
        <v>23.33</v>
      </c>
      <c r="BR30" s="35">
        <f t="shared" si="33"/>
        <v>0</v>
      </c>
      <c r="BS30" s="35">
        <f t="shared" si="34"/>
        <v>0</v>
      </c>
      <c r="BT30" s="43">
        <f t="shared" si="35"/>
        <v>0</v>
      </c>
    </row>
    <row r="31" spans="1:72">
      <c r="A31" s="9"/>
      <c r="B31" s="34"/>
      <c r="C31" s="34">
        <v>16</v>
      </c>
      <c r="D31" s="2213" t="s">
        <v>3058</v>
      </c>
      <c r="E31" s="35">
        <f t="shared" si="7"/>
        <v>73.180000000000007</v>
      </c>
      <c r="F31" s="36"/>
      <c r="G31" s="37">
        <f t="shared" si="8"/>
        <v>89.59</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89.59</v>
      </c>
      <c r="AD31" s="40"/>
      <c r="AE31" s="40"/>
      <c r="AF31" s="40"/>
      <c r="AG31" s="40"/>
      <c r="AH31" s="40"/>
      <c r="AI31" s="40"/>
      <c r="AJ31" s="40"/>
      <c r="AK31" s="40"/>
      <c r="AL31" s="39">
        <v>89.59</v>
      </c>
      <c r="AM31" s="40"/>
      <c r="AN31" s="39"/>
      <c r="AO31" s="40"/>
      <c r="AP31" s="40"/>
      <c r="AQ31" s="40"/>
      <c r="AR31" s="40"/>
      <c r="AS31" s="40"/>
      <c r="AT31" s="41"/>
      <c r="AU31" s="2219"/>
      <c r="AV31" s="1798">
        <f t="shared" si="11"/>
        <v>0</v>
      </c>
      <c r="AW31" s="1798">
        <f t="shared" si="12"/>
        <v>0</v>
      </c>
      <c r="AX31" s="1798">
        <f t="shared" si="13"/>
        <v>16</v>
      </c>
      <c r="AY31" s="42">
        <f t="shared" si="14"/>
        <v>73.180000000000007</v>
      </c>
      <c r="AZ31" s="35">
        <f t="shared" si="15"/>
        <v>89.59</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89.59</v>
      </c>
      <c r="BM31" s="35">
        <f t="shared" si="28"/>
        <v>0</v>
      </c>
      <c r="BN31" s="35">
        <f t="shared" si="29"/>
        <v>0</v>
      </c>
      <c r="BO31" s="35">
        <f t="shared" si="30"/>
        <v>0</v>
      </c>
      <c r="BP31" s="35">
        <f t="shared" si="31"/>
        <v>0</v>
      </c>
      <c r="BQ31" s="35">
        <f t="shared" si="32"/>
        <v>89.59</v>
      </c>
      <c r="BR31" s="35">
        <f t="shared" si="33"/>
        <v>0</v>
      </c>
      <c r="BS31" s="35">
        <f t="shared" si="34"/>
        <v>0</v>
      </c>
      <c r="BT31" s="43">
        <f t="shared" si="35"/>
        <v>0</v>
      </c>
    </row>
    <row r="32" spans="1:72">
      <c r="A32" s="9"/>
      <c r="B32" s="34"/>
      <c r="C32" s="34"/>
      <c r="D32" s="221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9"/>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4"/>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4"/>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4"/>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4"/>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4"/>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4"/>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4"/>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4"/>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4"/>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4"/>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4"/>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4"/>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4"/>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4"/>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4"/>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4"/>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4"/>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4"/>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3" type="noConversion"/>
  <dataValidations disablePrompts="1"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67" t="s">
        <v>0</v>
      </c>
      <c r="B1" s="3067" t="s">
        <v>4</v>
      </c>
      <c r="C1" s="3067" t="s">
        <v>5</v>
      </c>
      <c r="D1" s="3068" t="s">
        <v>53</v>
      </c>
      <c r="E1" s="3068" t="s">
        <v>54</v>
      </c>
      <c r="F1" s="3068"/>
      <c r="G1" s="3068"/>
      <c r="H1" s="3068"/>
      <c r="I1" s="3068"/>
      <c r="J1" s="3068"/>
      <c r="K1" s="3068"/>
      <c r="L1" s="3068"/>
      <c r="M1" s="3068"/>
    </row>
    <row r="2" spans="1:13" ht="27" customHeight="1">
      <c r="A2" s="3067"/>
      <c r="B2" s="3067"/>
      <c r="C2" s="3067"/>
      <c r="D2" s="3068"/>
      <c r="E2" s="3068" t="s">
        <v>37</v>
      </c>
      <c r="F2" s="3068" t="s">
        <v>38</v>
      </c>
      <c r="G2" s="3068"/>
      <c r="H2" s="3068"/>
      <c r="I2" s="3068"/>
      <c r="J2" s="3068" t="s">
        <v>39</v>
      </c>
      <c r="K2" s="3068"/>
      <c r="L2" s="3068"/>
      <c r="M2" s="3068"/>
    </row>
    <row r="3" spans="1:13" ht="28.5">
      <c r="A3" s="3067"/>
      <c r="B3" s="3067"/>
      <c r="C3" s="3067"/>
      <c r="D3" s="3068"/>
      <c r="E3" s="306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8" t="s">
        <v>55</v>
      </c>
      <c r="B9" s="3068"/>
      <c r="C9" s="306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9"/>
  <sheetViews>
    <sheetView view="pageBreakPreview" zoomScale="90" zoomScaleNormal="100" zoomScaleSheetLayoutView="90" workbookViewId="0">
      <selection activeCell="F20" sqref="F20"/>
    </sheetView>
  </sheetViews>
  <sheetFormatPr defaultColWidth="9.25" defaultRowHeight="14.2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8" width="9.375" style="2226" bestFit="1" customWidth="1"/>
    <col min="19" max="19" width="10.5" style="2226" bestFit="1" customWidth="1"/>
    <col min="20" max="16384" width="9.25" style="2226"/>
  </cols>
  <sheetData>
    <row r="1" spans="1:16" ht="18.75">
      <c r="A1" s="2225" t="s">
        <v>1928</v>
      </c>
      <c r="B1" s="1395"/>
      <c r="C1" s="1395"/>
      <c r="D1" s="1395"/>
      <c r="E1" s="1395"/>
      <c r="F1" s="1395"/>
      <c r="G1" s="1395"/>
      <c r="H1" s="1395"/>
      <c r="I1" s="1395"/>
      <c r="J1" s="1395"/>
      <c r="K1" s="1395"/>
      <c r="L1" s="1395"/>
      <c r="M1" s="1395"/>
      <c r="N1" s="1395"/>
      <c r="O1" s="1395"/>
      <c r="P1" s="1395"/>
    </row>
    <row r="2" spans="1:16" ht="15">
      <c r="A2" s="3078" t="s">
        <v>1929</v>
      </c>
      <c r="B2" s="3078"/>
      <c r="C2" s="3078"/>
      <c r="D2" s="970" t="s">
        <v>1906</v>
      </c>
      <c r="E2" s="2227" t="s">
        <v>1907</v>
      </c>
      <c r="F2" s="1395"/>
      <c r="G2" s="2228"/>
      <c r="H2" s="2229"/>
      <c r="I2" s="2230" t="s">
        <v>1930</v>
      </c>
      <c r="J2" s="1395"/>
      <c r="K2" s="1395"/>
      <c r="L2" s="1395"/>
      <c r="M2" s="1395"/>
      <c r="N2" s="1430"/>
      <c r="O2" s="1395"/>
      <c r="P2" s="1395"/>
    </row>
    <row r="3" spans="1:16" ht="15.75" thickBot="1">
      <c r="A3" s="3079" t="s">
        <v>1904</v>
      </c>
      <c r="B3" s="3079"/>
      <c r="C3" s="3079"/>
      <c r="D3" s="46">
        <f>'数据-基础表'!AY6</f>
        <v>109852.9</v>
      </c>
      <c r="E3" s="46">
        <f>'数据-基础表'!AZ5</f>
        <v>134490.28</v>
      </c>
      <c r="F3" s="1395"/>
      <c r="G3" s="1402"/>
      <c r="H3" s="1250" t="s">
        <v>1905</v>
      </c>
      <c r="I3" s="55">
        <f>ROUND('数据-基础表'!B3/'数据-基础表'!A3,2)</f>
        <v>1.22</v>
      </c>
      <c r="J3" s="1395"/>
      <c r="K3" s="1395"/>
      <c r="L3" s="1395"/>
      <c r="M3" s="1395"/>
      <c r="N3" s="1430"/>
      <c r="O3" s="1395"/>
      <c r="P3" s="1395"/>
    </row>
    <row r="4" spans="1:16" ht="15">
      <c r="A4" s="3080"/>
      <c r="B4" s="3081"/>
      <c r="C4" s="3082"/>
      <c r="D4" s="2231" t="s">
        <v>1906</v>
      </c>
      <c r="E4" s="2232" t="s">
        <v>1907</v>
      </c>
      <c r="F4" s="1395"/>
      <c r="G4" s="2233" t="s">
        <v>1931</v>
      </c>
      <c r="H4" s="1250" t="s">
        <v>1912</v>
      </c>
      <c r="I4" s="55">
        <f>ROUND(SUMIF('数据-基础表'!I9:AS9,"地上",'数据-基础表'!I5:AS5)/'数据-基础表'!A3,2)</f>
        <v>1.04</v>
      </c>
      <c r="J4" s="1395"/>
      <c r="K4" s="1395"/>
      <c r="L4" s="1395"/>
      <c r="M4" s="1395"/>
      <c r="N4" s="1430"/>
      <c r="O4" s="1395"/>
      <c r="P4" s="1395"/>
    </row>
    <row r="5" spans="1:16">
      <c r="A5" s="47" t="s">
        <v>1908</v>
      </c>
      <c r="B5" s="3083" t="s">
        <v>1909</v>
      </c>
      <c r="C5" s="3083"/>
      <c r="D5" s="48">
        <f>ROUND($D$3*E5/$E$3,2)</f>
        <v>0</v>
      </c>
      <c r="E5" s="49">
        <f>SUMIF('数据-基础表'!$11:$11,"住宅",'数据-基础表'!$5:$5)</f>
        <v>0</v>
      </c>
      <c r="F5" s="1395"/>
      <c r="G5" s="1402"/>
      <c r="H5" s="1250" t="s">
        <v>1905</v>
      </c>
      <c r="I5" s="55">
        <f>ROUND(E31/D31,2)</f>
        <v>1.22</v>
      </c>
      <c r="J5" s="1395"/>
      <c r="K5" s="1395"/>
      <c r="L5" s="1395"/>
      <c r="M5" s="1395"/>
      <c r="N5" s="1395"/>
      <c r="O5" s="1395"/>
      <c r="P5" s="1395"/>
    </row>
    <row r="6" spans="1:16" ht="15" thickBot="1">
      <c r="A6" s="2234"/>
      <c r="B6" s="3083" t="s">
        <v>1910</v>
      </c>
      <c r="C6" s="3083"/>
      <c r="D6" s="48">
        <f>ROUND($D$3*E6/$E$3,2)</f>
        <v>109852.9</v>
      </c>
      <c r="E6" s="49">
        <f>E3-E5</f>
        <v>134490.28</v>
      </c>
      <c r="F6" s="1395"/>
      <c r="G6" s="2235" t="s">
        <v>1911</v>
      </c>
      <c r="H6" s="1402" t="s">
        <v>1912</v>
      </c>
      <c r="I6" s="942">
        <f>ROUND(F31/D31,2)</f>
        <v>1.04</v>
      </c>
      <c r="J6" s="1395"/>
      <c r="K6" s="1395"/>
      <c r="L6" s="1395"/>
      <c r="M6" s="1395"/>
      <c r="N6" s="1395"/>
      <c r="O6" s="1395"/>
      <c r="P6" s="1395"/>
    </row>
    <row r="7" spans="1:16" ht="15">
      <c r="A7" s="3075"/>
      <c r="B7" s="3076"/>
      <c r="C7" s="3077"/>
      <c r="D7" s="2231" t="s">
        <v>1906</v>
      </c>
      <c r="E7" s="2236" t="s">
        <v>1913</v>
      </c>
      <c r="F7" s="1395"/>
      <c r="G7" s="2228" t="s">
        <v>1914</v>
      </c>
      <c r="H7" s="64"/>
      <c r="I7" s="420"/>
      <c r="J7" s="1395"/>
      <c r="K7" s="1395"/>
      <c r="L7" s="1395"/>
      <c r="M7" s="1395"/>
      <c r="N7" s="1395"/>
      <c r="O7" s="1395"/>
      <c r="P7" s="1395"/>
    </row>
    <row r="8" spans="1:16">
      <c r="A8" s="47" t="s">
        <v>1915</v>
      </c>
      <c r="B8" s="50" t="s">
        <v>1916</v>
      </c>
      <c r="C8" s="48" t="s">
        <v>1917</v>
      </c>
      <c r="D8" s="48">
        <f t="shared" ref="D8:D15" si="0">ROUND($D$3*E8/$E$3,2)</f>
        <v>90967.55</v>
      </c>
      <c r="E8" s="51">
        <f>SUMIF('数据-基础表'!BB10:BK10,"地上",'数据-基础表'!BB5:BK5)</f>
        <v>111369.40000000001</v>
      </c>
      <c r="F8" s="1395"/>
      <c r="G8" s="2237"/>
      <c r="H8" s="2237"/>
      <c r="I8" s="1395"/>
      <c r="J8" s="1395"/>
      <c r="K8" s="1395"/>
      <c r="L8" s="1395"/>
      <c r="M8" s="1395"/>
      <c r="N8" s="1395"/>
      <c r="O8" s="1395"/>
      <c r="P8" s="1395"/>
    </row>
    <row r="9" spans="1:16">
      <c r="A9" s="2238"/>
      <c r="B9" s="2239"/>
      <c r="C9" s="48" t="s">
        <v>1918</v>
      </c>
      <c r="D9" s="48">
        <f t="shared" si="0"/>
        <v>0</v>
      </c>
      <c r="E9" s="52"/>
      <c r="F9" s="1395"/>
      <c r="G9" s="2237"/>
      <c r="H9" s="2237"/>
      <c r="I9" s="1395"/>
      <c r="J9" s="1395"/>
      <c r="K9" s="1395"/>
      <c r="L9" s="1395"/>
      <c r="M9" s="1395"/>
      <c r="N9" s="1395"/>
      <c r="O9" s="1395"/>
      <c r="P9" s="1395"/>
    </row>
    <row r="10" spans="1:16">
      <c r="A10" s="2238"/>
      <c r="B10" s="2239"/>
      <c r="C10" s="48" t="s">
        <v>1926</v>
      </c>
      <c r="D10" s="48">
        <f t="shared" si="0"/>
        <v>0</v>
      </c>
      <c r="E10" s="51">
        <f>SUMPRODUCT(('数据-基础表'!BB10:BK10="地下")*('数据-基础表'!BB11:BK11="商业")*('数据-基础表'!BB5:BK5))</f>
        <v>0</v>
      </c>
      <c r="F10" s="1395"/>
      <c r="G10" s="2237"/>
      <c r="H10" s="2237"/>
      <c r="I10" s="1395"/>
      <c r="J10" s="1395"/>
      <c r="K10" s="1395"/>
      <c r="L10" s="1395"/>
      <c r="M10" s="1395"/>
      <c r="N10" s="1395"/>
      <c r="O10" s="1395"/>
      <c r="P10" s="1395"/>
    </row>
    <row r="11" spans="1:16">
      <c r="A11" s="2238"/>
      <c r="B11" s="2239"/>
      <c r="C11" s="48" t="s">
        <v>1919</v>
      </c>
      <c r="D11" s="48">
        <f t="shared" si="0"/>
        <v>0</v>
      </c>
      <c r="E11" s="51">
        <f>SUMPRODUCT(('数据-基础表'!BB10:BK10="地下")*('数据-基础表'!BB11:BK11="办公")*('数据-基础表'!BB5:BK5))+'数据-基础表'!BP5</f>
        <v>0</v>
      </c>
      <c r="F11" s="1395"/>
      <c r="G11" s="2237"/>
      <c r="H11" s="2237"/>
      <c r="I11" s="1395"/>
      <c r="J11" s="1395"/>
      <c r="K11" s="1395"/>
      <c r="L11" s="1395"/>
      <c r="M11" s="1395"/>
      <c r="N11" s="1395"/>
      <c r="O11" s="1395"/>
      <c r="P11" s="1395"/>
    </row>
    <row r="12" spans="1:16">
      <c r="A12" s="2238"/>
      <c r="B12" s="2239"/>
      <c r="C12" s="48" t="s">
        <v>1920</v>
      </c>
      <c r="D12" s="48">
        <f t="shared" si="0"/>
        <v>0</v>
      </c>
      <c r="E12" s="51">
        <f>SUMPRODUCT(('数据-基础表'!BB10:BK10="地下")*('数据-基础表'!BB11:BK11="仓储")*('数据-基础表'!BB5:BK5))</f>
        <v>0</v>
      </c>
      <c r="F12" s="1395"/>
      <c r="G12" s="2237"/>
      <c r="H12" s="2237"/>
      <c r="I12" s="1395"/>
      <c r="J12" s="1395"/>
      <c r="K12" s="1395"/>
      <c r="L12" s="1395"/>
      <c r="M12" s="1395"/>
      <c r="N12" s="1395"/>
      <c r="O12" s="1395"/>
      <c r="P12" s="1395"/>
    </row>
    <row r="13" spans="1:16">
      <c r="A13" s="2238"/>
      <c r="B13" s="2239"/>
      <c r="C13" s="48" t="s">
        <v>1921</v>
      </c>
      <c r="D13" s="48">
        <f t="shared" si="0"/>
        <v>0</v>
      </c>
      <c r="E13" s="51">
        <f>SUMPRODUCT(('数据-基础表'!BB10:BK10="地下")*('数据-基础表'!BB11:BK11="车库")*('数据-基础表'!BB5:BK5))</f>
        <v>0</v>
      </c>
      <c r="F13" s="1395"/>
      <c r="G13" s="2237"/>
      <c r="H13" s="2237"/>
      <c r="I13" s="1395"/>
      <c r="J13" s="1395"/>
      <c r="K13" s="1395"/>
      <c r="L13" s="1395"/>
      <c r="M13" s="1395"/>
      <c r="N13" s="1395"/>
      <c r="O13" s="1395"/>
      <c r="P13" s="1395"/>
    </row>
    <row r="14" spans="1:16">
      <c r="A14" s="2238"/>
      <c r="B14" s="2239"/>
      <c r="C14" s="48" t="s">
        <v>1932</v>
      </c>
      <c r="D14" s="48">
        <f t="shared" si="0"/>
        <v>0</v>
      </c>
      <c r="E14" s="51">
        <f>SUMPRODUCT(('数据-基础表'!BB10:BK10="地下")*('数据-基础表'!BB11:BK11="车库—商业")*('数据-基础表'!BB5:BK5))</f>
        <v>0</v>
      </c>
      <c r="F14" s="1395"/>
      <c r="G14" s="2237"/>
      <c r="H14" s="2237"/>
      <c r="I14" s="1395"/>
      <c r="J14" s="1395"/>
      <c r="K14" s="1395"/>
      <c r="L14" s="1395"/>
      <c r="M14" s="1395"/>
      <c r="N14" s="1395"/>
      <c r="O14" s="1395"/>
      <c r="P14" s="1395"/>
    </row>
    <row r="15" spans="1:16" ht="15" thickBot="1">
      <c r="A15" s="2238"/>
      <c r="B15" s="2239"/>
      <c r="C15" s="48" t="s">
        <v>1927</v>
      </c>
      <c r="D15" s="48">
        <f t="shared" si="0"/>
        <v>0</v>
      </c>
      <c r="E15" s="51">
        <f>SUMPRODUCT(('数据-基础表'!BB10:BK10="地下")*('数据-基础表'!BB11:BK11="车库—办公")*('数据-基础表'!BB5:BK5))</f>
        <v>0</v>
      </c>
      <c r="F15" s="1395"/>
      <c r="G15" s="2237"/>
      <c r="H15" s="2237"/>
      <c r="I15" s="1395"/>
      <c r="J15" s="1395"/>
      <c r="K15" s="1395"/>
      <c r="L15" s="1395"/>
      <c r="M15" s="1395"/>
      <c r="N15" s="1395"/>
      <c r="O15" s="1395"/>
      <c r="P15" s="1395"/>
    </row>
    <row r="16" spans="1:16" ht="15.75" thickBot="1">
      <c r="A16" s="2234"/>
      <c r="B16" s="2239"/>
      <c r="C16" s="50" t="s">
        <v>1922</v>
      </c>
      <c r="D16" s="50">
        <f>SUM(D8:D15)</f>
        <v>90967.55</v>
      </c>
      <c r="E16" s="53">
        <f>SUM(E8:E15)</f>
        <v>111369.40000000001</v>
      </c>
      <c r="F16" s="1395"/>
      <c r="G16" s="2237"/>
      <c r="H16" s="2240" t="s">
        <v>1933</v>
      </c>
      <c r="I16" s="2241"/>
      <c r="J16" s="1395"/>
      <c r="K16" s="3072" t="s">
        <v>1933</v>
      </c>
      <c r="L16" s="3073"/>
      <c r="M16" s="3073"/>
      <c r="N16" s="3073"/>
      <c r="O16" s="3073"/>
      <c r="P16" s="3074"/>
    </row>
    <row r="17" spans="1:19" ht="15">
      <c r="A17" s="2242" t="s">
        <v>1934</v>
      </c>
      <c r="B17" s="2243" t="s">
        <v>1935</v>
      </c>
      <c r="C17" s="2244" t="s">
        <v>1936</v>
      </c>
      <c r="D17" s="2245" t="s">
        <v>1924</v>
      </c>
      <c r="E17" s="2246" t="s">
        <v>1925</v>
      </c>
      <c r="F17" s="2247"/>
      <c r="G17" s="2248"/>
      <c r="H17" s="2249" t="s">
        <v>1937</v>
      </c>
      <c r="I17" s="2250" t="s">
        <v>3341</v>
      </c>
      <c r="J17" s="1395"/>
      <c r="K17" s="3069" t="s">
        <v>1938</v>
      </c>
      <c r="L17" s="3070"/>
      <c r="M17" s="3071"/>
      <c r="N17" s="3069" t="s">
        <v>1939</v>
      </c>
      <c r="O17" s="3070"/>
      <c r="P17" s="3071"/>
      <c r="R17" s="2228" t="s">
        <v>1940</v>
      </c>
      <c r="S17" s="64"/>
    </row>
    <row r="18" spans="1:19" ht="15">
      <c r="A18" s="2238"/>
      <c r="B18" s="2251"/>
      <c r="C18" s="2252"/>
      <c r="D18" s="2253"/>
      <c r="E18" s="2254" t="s">
        <v>1941</v>
      </c>
      <c r="F18" s="2255" t="s">
        <v>1942</v>
      </c>
      <c r="G18" s="2256" t="s">
        <v>1943</v>
      </c>
      <c r="H18" s="1265" t="s">
        <v>1944</v>
      </c>
      <c r="I18" s="2257" t="s">
        <v>1945</v>
      </c>
      <c r="J18" s="1395"/>
      <c r="K18" s="1265" t="s">
        <v>1946</v>
      </c>
      <c r="L18" s="2258" t="s">
        <v>1947</v>
      </c>
      <c r="M18" s="1049" t="s">
        <v>1948</v>
      </c>
      <c r="N18" s="1265" t="s">
        <v>1946</v>
      </c>
      <c r="O18" s="2258" t="s">
        <v>1947</v>
      </c>
      <c r="P18" s="1049" t="s">
        <v>1948</v>
      </c>
      <c r="R18" s="1250" t="s">
        <v>1949</v>
      </c>
      <c r="S18" s="1250" t="s">
        <v>1950</v>
      </c>
    </row>
    <row r="19" spans="1:19">
      <c r="A19" s="2259"/>
      <c r="B19" s="50" t="s">
        <v>1923</v>
      </c>
      <c r="C19" s="2945" t="s">
        <v>3113</v>
      </c>
      <c r="D19" s="48">
        <f>ROUND($D$3*E19/$E$3,2)</f>
        <v>40407.49</v>
      </c>
      <c r="E19" s="56">
        <f t="shared" ref="E19:E26" si="1">SUM(F19:G19)</f>
        <v>49469.919999999998</v>
      </c>
      <c r="F19" s="57">
        <f>'数据-基础表'!I5</f>
        <v>48501.7</v>
      </c>
      <c r="G19" s="58">
        <f>'数据-基础表'!M5-G20</f>
        <v>968.22000000000116</v>
      </c>
      <c r="H19" s="723">
        <f>ROUND($D$3*I19/$E$3,2)</f>
        <v>1387.82</v>
      </c>
      <c r="I19" s="51">
        <f t="shared" ref="I19:I26" si="2">IF($I$17="自定义",P19,M19)</f>
        <v>1699.08</v>
      </c>
      <c r="J19" s="1395"/>
      <c r="K19" s="1394">
        <f t="shared" ref="K19:K26" si="3">ROUND(E$28*E19/E$27,2)</f>
        <v>1699.08</v>
      </c>
      <c r="L19" s="1250">
        <f t="shared" ref="L19:L26" si="4">ROUND(IF(COUNTIF(C19,"*住宅*")&gt;0,E$29*E19/E$32,0),2)</f>
        <v>0</v>
      </c>
      <c r="M19" s="1406">
        <f>K19+L19</f>
        <v>1699.08</v>
      </c>
      <c r="N19" s="2261"/>
      <c r="O19" s="2262"/>
      <c r="P19" s="1406">
        <f>N19+O19</f>
        <v>0</v>
      </c>
      <c r="R19" s="1250">
        <f t="shared" ref="R19:S26" si="5">D19+H19</f>
        <v>41795.31</v>
      </c>
      <c r="S19" s="1251">
        <f t="shared" si="5"/>
        <v>51169</v>
      </c>
    </row>
    <row r="20" spans="1:19">
      <c r="A20" s="2263"/>
      <c r="B20" s="50" t="s">
        <v>1951</v>
      </c>
      <c r="C20" s="2945" t="s">
        <v>3114</v>
      </c>
      <c r="D20" s="48">
        <f t="shared" ref="D20:D26" si="6">ROUND($D$3*E20/$E$3,2)</f>
        <v>65797.72</v>
      </c>
      <c r="E20" s="56">
        <f t="shared" si="1"/>
        <v>80554.570000000007</v>
      </c>
      <c r="F20" s="57">
        <f>'数据-基础表'!K5</f>
        <v>62867.700000000012</v>
      </c>
      <c r="G20" s="58">
        <f>'数据-基础表'!M26</f>
        <v>17686.87</v>
      </c>
      <c r="H20" s="723">
        <f t="shared" ref="H20:H26" si="7">ROUND($D$3*I20/$E$3,2)</f>
        <v>2259.87</v>
      </c>
      <c r="I20" s="51">
        <f t="shared" si="2"/>
        <v>2766.71</v>
      </c>
      <c r="J20" s="1395"/>
      <c r="K20" s="1394">
        <f t="shared" si="3"/>
        <v>2766.71</v>
      </c>
      <c r="L20" s="1250">
        <f t="shared" si="4"/>
        <v>0</v>
      </c>
      <c r="M20" s="1406">
        <f t="shared" ref="M20:M26" si="8">K20+L20</f>
        <v>2766.71</v>
      </c>
      <c r="N20" s="2261"/>
      <c r="O20" s="2262"/>
      <c r="P20" s="1406">
        <f t="shared" ref="P20:P26" si="9">N20+O20</f>
        <v>0</v>
      </c>
      <c r="R20" s="1250">
        <f t="shared" si="5"/>
        <v>68057.59</v>
      </c>
      <c r="S20" s="1251">
        <f t="shared" si="5"/>
        <v>83321.280000000013</v>
      </c>
    </row>
    <row r="21" spans="1:19">
      <c r="A21" s="2263"/>
      <c r="B21" s="50" t="s">
        <v>1951</v>
      </c>
      <c r="C21" s="2260"/>
      <c r="D21" s="48">
        <f t="shared" si="6"/>
        <v>0</v>
      </c>
      <c r="E21" s="56">
        <f t="shared" si="1"/>
        <v>0</v>
      </c>
      <c r="F21" s="57"/>
      <c r="G21" s="58"/>
      <c r="H21" s="723">
        <f t="shared" si="7"/>
        <v>0</v>
      </c>
      <c r="I21" s="51">
        <f t="shared" si="2"/>
        <v>0</v>
      </c>
      <c r="J21" s="1395"/>
      <c r="K21" s="1394">
        <f t="shared" si="3"/>
        <v>0</v>
      </c>
      <c r="L21" s="1250">
        <f t="shared" si="4"/>
        <v>0</v>
      </c>
      <c r="M21" s="1406">
        <f t="shared" si="8"/>
        <v>0</v>
      </c>
      <c r="N21" s="2261"/>
      <c r="O21" s="2262"/>
      <c r="P21" s="1406">
        <f t="shared" si="9"/>
        <v>0</v>
      </c>
      <c r="R21" s="1250">
        <f t="shared" si="5"/>
        <v>0</v>
      </c>
      <c r="S21" s="1251">
        <f t="shared" si="5"/>
        <v>0</v>
      </c>
    </row>
    <row r="22" spans="1:19">
      <c r="A22" s="2263"/>
      <c r="B22" s="50" t="s">
        <v>1951</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1"/>
      <c r="O22" s="2262"/>
      <c r="P22" s="1406">
        <f t="shared" si="9"/>
        <v>0</v>
      </c>
      <c r="R22" s="1250">
        <f t="shared" si="5"/>
        <v>0</v>
      </c>
      <c r="S22" s="1251">
        <f t="shared" si="5"/>
        <v>0</v>
      </c>
    </row>
    <row r="23" spans="1:19">
      <c r="A23" s="2263"/>
      <c r="B23" s="50" t="s">
        <v>1951</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1"/>
      <c r="O23" s="2262"/>
      <c r="P23" s="1406">
        <f t="shared" si="9"/>
        <v>0</v>
      </c>
      <c r="R23" s="1250">
        <f t="shared" si="5"/>
        <v>0</v>
      </c>
      <c r="S23" s="1251">
        <f t="shared" si="5"/>
        <v>0</v>
      </c>
    </row>
    <row r="24" spans="1:19">
      <c r="A24" s="2263"/>
      <c r="B24" s="50" t="s">
        <v>1951</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1"/>
      <c r="O24" s="2262"/>
      <c r="P24" s="1406">
        <f t="shared" si="9"/>
        <v>0</v>
      </c>
      <c r="R24" s="1250">
        <f t="shared" si="5"/>
        <v>0</v>
      </c>
      <c r="S24" s="1251">
        <f t="shared" si="5"/>
        <v>0</v>
      </c>
    </row>
    <row r="25" spans="1:19">
      <c r="A25" s="2263"/>
      <c r="B25" s="50" t="s">
        <v>1951</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1"/>
      <c r="O25" s="2262"/>
      <c r="P25" s="1406">
        <f t="shared" si="9"/>
        <v>0</v>
      </c>
      <c r="R25" s="1250">
        <f t="shared" si="5"/>
        <v>0</v>
      </c>
      <c r="S25" s="1251">
        <f t="shared" si="5"/>
        <v>0</v>
      </c>
    </row>
    <row r="26" spans="1:19">
      <c r="A26" s="2263"/>
      <c r="B26" s="50" t="s">
        <v>1951</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4"/>
      <c r="O26" s="2265"/>
      <c r="P26" s="67">
        <f t="shared" si="9"/>
        <v>0</v>
      </c>
      <c r="R26" s="1250">
        <f t="shared" si="5"/>
        <v>0</v>
      </c>
      <c r="S26" s="1251">
        <f t="shared" si="5"/>
        <v>0</v>
      </c>
    </row>
    <row r="27" spans="1:19" ht="15.75" thickBot="1">
      <c r="A27" s="2263"/>
      <c r="B27" s="48"/>
      <c r="C27" s="2266" t="s">
        <v>1952</v>
      </c>
      <c r="D27" s="1396">
        <f>SUM(D19:D26)</f>
        <v>106205.20999999999</v>
      </c>
      <c r="E27" s="1397">
        <f>IF(SUM(E19:E26)='数据-基础表'!BA5,SUM(E19:E26),IF(F27="地上面积有误","面积有误","地下面积有误"))</f>
        <v>130024.49</v>
      </c>
      <c r="F27" s="1396">
        <f>IF(SUM(F19:F26)=E8,SUM(F19:F26),"地上面积有误")</f>
        <v>111369.40000000001</v>
      </c>
      <c r="G27" s="1398">
        <f>SUM(G19:G26)</f>
        <v>18655.09</v>
      </c>
      <c r="H27" s="1399">
        <f>SUM(H19:H26)</f>
        <v>3647.6899999999996</v>
      </c>
      <c r="I27" s="1400">
        <f>SUM(I19:I26)</f>
        <v>4465.79</v>
      </c>
      <c r="J27" s="1395"/>
      <c r="K27" s="1403">
        <f>SUM(K19:K26)</f>
        <v>4465.79</v>
      </c>
      <c r="L27" s="1404">
        <f>SUM(L19:L26)</f>
        <v>0</v>
      </c>
      <c r="M27" s="1407">
        <f>SUM(M19:M26)</f>
        <v>4465.79</v>
      </c>
      <c r="N27" s="1403">
        <f t="shared" ref="N27:O27" si="10">SUM(N19:N26)</f>
        <v>0</v>
      </c>
      <c r="O27" s="1404">
        <f t="shared" si="10"/>
        <v>0</v>
      </c>
      <c r="P27" s="1405">
        <f>SUM(P19:P26)</f>
        <v>0</v>
      </c>
      <c r="R27" s="1252">
        <f>IF(SUM(R19:R26)=$D$3,SUM(R19:R26),SUM(R19:R26)&amp;"误差"&amp;ROUND(SUM(R19:R26)-$D$3,2))</f>
        <v>109852.9</v>
      </c>
      <c r="S27" s="1250">
        <f>IF(SUM(S19:S26)=$E$3,SUM(S19:S26),SUM(S19:S26)&amp;"误差"&amp;ROUND(SUM(S19:S26)-E3,2))</f>
        <v>134490.28000000003</v>
      </c>
    </row>
    <row r="28" spans="1:19">
      <c r="A28" s="2263"/>
      <c r="B28" s="50" t="s">
        <v>1953</v>
      </c>
      <c r="C28" s="1262" t="s">
        <v>1954</v>
      </c>
      <c r="D28" s="48">
        <f>ROUND($D$3*E28/$E$3,2)</f>
        <v>3647.7</v>
      </c>
      <c r="E28" s="56">
        <f>SUM(F28:G28)</f>
        <v>4465.79</v>
      </c>
      <c r="F28" s="64">
        <f>'数据-基础表'!BQ5+'数据-基础表'!BS5</f>
        <v>3219.2999999999997</v>
      </c>
      <c r="G28" s="65">
        <f>'数据-基础表'!BR5+'数据-基础表'!BT5</f>
        <v>1246.49</v>
      </c>
      <c r="H28" s="1395"/>
      <c r="I28" s="1395"/>
      <c r="J28" s="1395"/>
      <c r="K28" s="1395"/>
      <c r="L28" s="1395"/>
      <c r="M28" s="1395"/>
      <c r="N28" s="1395"/>
      <c r="O28" s="1395"/>
      <c r="P28" s="1395"/>
    </row>
    <row r="29" spans="1:19">
      <c r="A29" s="2263"/>
      <c r="B29" s="50" t="s">
        <v>1953</v>
      </c>
      <c r="C29" s="2267" t="s">
        <v>1955</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3"/>
      <c r="B30" s="50"/>
      <c r="C30" s="2268" t="s">
        <v>1952</v>
      </c>
      <c r="D30" s="1396">
        <f>SUM(D28:D29)</f>
        <v>3647.7</v>
      </c>
      <c r="E30" s="1396">
        <f>SUM(E28:E29)</f>
        <v>4465.79</v>
      </c>
      <c r="F30" s="1396">
        <f>SUM(F28:F29)</f>
        <v>3219.2999999999997</v>
      </c>
      <c r="G30" s="1398">
        <f>SUM(G28:G29)</f>
        <v>1246.49</v>
      </c>
      <c r="H30" s="1395"/>
      <c r="I30" s="1395"/>
      <c r="J30" s="1395"/>
      <c r="K30" s="1395"/>
      <c r="L30" s="1395"/>
      <c r="M30" s="1395"/>
      <c r="N30" s="1395"/>
      <c r="O30" s="1395"/>
      <c r="P30" s="1395"/>
    </row>
    <row r="31" spans="1:19" ht="15.75" thickBot="1">
      <c r="A31" s="2269"/>
      <c r="B31" s="2270"/>
      <c r="C31" s="1010" t="s">
        <v>1956</v>
      </c>
      <c r="D31" s="729">
        <f>D27+D30</f>
        <v>109852.90999999999</v>
      </c>
      <c r="E31" s="729">
        <f>E27+E30</f>
        <v>134490.28</v>
      </c>
      <c r="F31" s="730">
        <f>F27+F30</f>
        <v>114588.70000000001</v>
      </c>
      <c r="G31" s="731">
        <f>G27+G30</f>
        <v>19901.580000000002</v>
      </c>
      <c r="H31" s="1395"/>
      <c r="I31" s="1395"/>
      <c r="J31" s="1395"/>
      <c r="K31" s="1395"/>
      <c r="L31" s="1395"/>
      <c r="M31" s="1395"/>
      <c r="N31" s="1395"/>
      <c r="O31" s="1395"/>
      <c r="P31" s="1395"/>
    </row>
    <row r="32" spans="1:19">
      <c r="A32" s="2233"/>
      <c r="B32" s="2233" t="s">
        <v>1957</v>
      </c>
      <c r="C32" s="2233"/>
      <c r="D32" s="2233"/>
      <c r="E32" s="1277">
        <f>SUMIF(C19:C26,"*住宅*",E19:E26)</f>
        <v>0</v>
      </c>
      <c r="F32" s="2233"/>
      <c r="G32" s="2233"/>
      <c r="H32" s="1395"/>
      <c r="I32" s="1395"/>
      <c r="J32" s="1395"/>
      <c r="K32" s="1395"/>
      <c r="L32" s="1395"/>
      <c r="M32" s="1395"/>
      <c r="N32" s="1395"/>
      <c r="O32" s="1395"/>
      <c r="P32" s="1395"/>
    </row>
    <row r="33" spans="4:7">
      <c r="D33" s="2271"/>
    </row>
    <row r="37" spans="4:7">
      <c r="E37" s="2226">
        <f>'数据-基础表'!I14/8*6</f>
        <v>0</v>
      </c>
      <c r="F37" s="2226">
        <f>E37+E38</f>
        <v>2002.61</v>
      </c>
      <c r="G37" s="2226">
        <v>2.8</v>
      </c>
    </row>
    <row r="38" spans="4:7">
      <c r="E38" s="2226">
        <f>'数据-基础表'!I20</f>
        <v>2002.61</v>
      </c>
      <c r="F38" s="2226">
        <f>'数据-基础表'!I5-'数据-基础表'!I14-'数据-基础表'!I20</f>
        <v>46499.09</v>
      </c>
      <c r="G38" s="2226">
        <v>1.5</v>
      </c>
    </row>
    <row r="39" spans="4:7">
      <c r="G39" s="2226">
        <f>(F37*G37+F38*G38)/E3</f>
        <v>0.5603077263278804</v>
      </c>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view="pageBreakPreview" zoomScale="90" zoomScaleNormal="90" zoomScaleSheetLayoutView="90" workbookViewId="0">
      <pane xSplit="3" ySplit="5" topLeftCell="N6" activePane="bottomRight" state="frozen"/>
      <selection activeCell="AN6" sqref="AN6"/>
      <selection pane="topRight" activeCell="AN6" sqref="AN6"/>
      <selection pane="bottomLeft" activeCell="AN6" sqref="AN6"/>
      <selection pane="bottomRight" activeCell="T27" sqref="T27"/>
    </sheetView>
  </sheetViews>
  <sheetFormatPr defaultColWidth="13.75" defaultRowHeight="12.75"/>
  <cols>
    <col min="1" max="1" width="20.875" style="2345" customWidth="1"/>
    <col min="2" max="2" width="12" style="2275" customWidth="1"/>
    <col min="3" max="3" width="10.75" style="2275" customWidth="1"/>
    <col min="4" max="4" width="9.125" style="2346" customWidth="1"/>
    <col min="5" max="5" width="15" style="2275" bestFit="1" customWidth="1"/>
    <col min="6" max="10" width="8.875" style="2275" customWidth="1"/>
    <col min="11" max="12" width="12.375" style="2189" customWidth="1"/>
    <col min="13" max="13" width="8.625" style="2275" customWidth="1"/>
    <col min="14" max="14" width="11.875" style="2275" customWidth="1"/>
    <col min="15" max="15" width="8.5" style="2275" customWidth="1"/>
    <col min="16" max="17" width="10.875" style="2275" customWidth="1"/>
    <col min="18" max="19" width="12.5" style="2275" customWidth="1"/>
    <col min="20" max="20" width="12.125" style="2275" customWidth="1"/>
    <col min="21" max="21" width="7.5" style="2275" customWidth="1"/>
    <col min="22" max="22" width="6.375" style="2275" customWidth="1"/>
    <col min="23" max="30" width="6.75" style="2275" customWidth="1"/>
    <col min="31" max="31" width="8" style="2275" customWidth="1"/>
    <col min="32" max="33" width="7.25" style="2275" customWidth="1"/>
    <col min="34" max="34" width="9" style="2275" customWidth="1"/>
    <col min="35" max="39" width="8" style="2275" customWidth="1"/>
    <col min="40" max="40" width="13.75" style="2274"/>
    <col min="41" max="41" width="11.625" style="2274" customWidth="1"/>
    <col min="42" max="42" width="9.75" style="2274" customWidth="1"/>
    <col min="43" max="67" width="13.75" style="2274"/>
    <col min="68" max="16384" width="13.75" style="2275"/>
  </cols>
  <sheetData>
    <row r="1" spans="1:67" ht="19.5" thickBot="1">
      <c r="A1" s="2272" t="s">
        <v>1958</v>
      </c>
      <c r="B1" s="732"/>
      <c r="C1" s="1584"/>
      <c r="D1" s="2273"/>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6" t="s">
        <v>1959</v>
      </c>
      <c r="B2" s="1269">
        <f>项目基本情况!D3</f>
        <v>43528</v>
      </c>
      <c r="C2" s="2277"/>
      <c r="D2" s="2278"/>
      <c r="E2" s="2277"/>
      <c r="F2" s="2277"/>
      <c r="G2" s="2277"/>
      <c r="H2" s="2277"/>
      <c r="I2" s="2277"/>
      <c r="J2" s="2277"/>
      <c r="K2" s="1430"/>
      <c r="L2" s="1430"/>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4" customFormat="1" ht="15" thickBot="1">
      <c r="A3" s="2032"/>
      <c r="B3" s="2280"/>
      <c r="C3" s="2277"/>
      <c r="D3" s="2278"/>
      <c r="E3" s="2277"/>
      <c r="F3" s="2277"/>
      <c r="G3" s="2277"/>
      <c r="H3" s="2277"/>
      <c r="I3" s="2277"/>
      <c r="J3" s="2277"/>
      <c r="K3" s="1430"/>
      <c r="L3" s="1430"/>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4" customFormat="1" ht="15" thickBot="1">
      <c r="A4" s="68" t="s">
        <v>1960</v>
      </c>
      <c r="B4" s="2281"/>
      <c r="C4" s="2282"/>
      <c r="D4" s="2283"/>
      <c r="E4" s="2282" t="s">
        <v>1961</v>
      </c>
      <c r="F4" s="2282"/>
      <c r="G4" s="2282"/>
      <c r="H4" s="2282"/>
      <c r="I4" s="2282"/>
      <c r="J4" s="2284"/>
      <c r="K4" s="2285"/>
      <c r="L4" s="2286"/>
      <c r="M4" s="2282"/>
      <c r="N4" s="2282" t="s">
        <v>1962</v>
      </c>
      <c r="O4" s="2282"/>
      <c r="P4" s="2282"/>
      <c r="Q4" s="2282"/>
      <c r="R4" s="2282"/>
      <c r="S4" s="2284"/>
      <c r="T4" s="2287" t="str">
        <f>'数据-汇总表'!I17</f>
        <v>按面积比例</v>
      </c>
      <c r="U4" s="2281" t="s">
        <v>1963</v>
      </c>
      <c r="V4" s="2282"/>
      <c r="W4" s="2282"/>
      <c r="X4" s="2282"/>
      <c r="Y4" s="2284"/>
      <c r="Z4" s="2244" t="s">
        <v>1964</v>
      </c>
      <c r="AA4" s="2244"/>
      <c r="AB4" s="2244"/>
      <c r="AC4" s="2244"/>
      <c r="AD4" s="2244"/>
      <c r="AE4" s="2242" t="s">
        <v>1965</v>
      </c>
      <c r="AF4" s="2244"/>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5" customFormat="1" ht="42">
      <c r="A5" s="2289" t="s">
        <v>1966</v>
      </c>
      <c r="B5" s="2290" t="s">
        <v>1967</v>
      </c>
      <c r="C5" s="2291" t="s">
        <v>1968</v>
      </c>
      <c r="D5" s="2292" t="s">
        <v>1969</v>
      </c>
      <c r="E5" s="1271" t="s">
        <v>1970</v>
      </c>
      <c r="F5" s="2293" t="s">
        <v>1971</v>
      </c>
      <c r="G5" s="1271" t="s">
        <v>1972</v>
      </c>
      <c r="H5" s="1271" t="s">
        <v>1973</v>
      </c>
      <c r="I5" s="1271" t="s">
        <v>1974</v>
      </c>
      <c r="J5" s="2294" t="s">
        <v>1975</v>
      </c>
      <c r="K5" s="2295" t="s">
        <v>1976</v>
      </c>
      <c r="L5" s="2296" t="s">
        <v>1977</v>
      </c>
      <c r="M5" s="2297" t="s">
        <v>1978</v>
      </c>
      <c r="N5" s="2298" t="s">
        <v>3061</v>
      </c>
      <c r="O5" s="2296" t="s">
        <v>1979</v>
      </c>
      <c r="P5" s="2299" t="s">
        <v>1980</v>
      </c>
      <c r="Q5" s="69" t="s">
        <v>1981</v>
      </c>
      <c r="R5" s="2300" t="s">
        <v>1982</v>
      </c>
      <c r="S5" s="2301" t="s">
        <v>1983</v>
      </c>
      <c r="T5" s="2302" t="s">
        <v>1984</v>
      </c>
      <c r="U5" s="1270" t="s">
        <v>1985</v>
      </c>
      <c r="V5" s="1271" t="s">
        <v>1986</v>
      </c>
      <c r="W5" s="1271" t="s">
        <v>1987</v>
      </c>
      <c r="X5" s="71"/>
      <c r="Y5" s="70" t="s">
        <v>1988</v>
      </c>
      <c r="Z5" s="2303" t="s">
        <v>1985</v>
      </c>
      <c r="AA5" s="1271" t="s">
        <v>1986</v>
      </c>
      <c r="AB5" s="1271" t="s">
        <v>1987</v>
      </c>
      <c r="AC5" s="71"/>
      <c r="AD5" s="71" t="s">
        <v>1988</v>
      </c>
      <c r="AE5" s="1270" t="s">
        <v>1989</v>
      </c>
      <c r="AF5" s="1271" t="s">
        <v>1990</v>
      </c>
      <c r="AG5" s="70" t="s">
        <v>1991</v>
      </c>
      <c r="AH5" s="1270" t="s">
        <v>1992</v>
      </c>
      <c r="AI5" s="2303" t="s">
        <v>1993</v>
      </c>
      <c r="AJ5" s="2303" t="s">
        <v>1994</v>
      </c>
      <c r="AK5" s="1271" t="s">
        <v>1995</v>
      </c>
      <c r="AL5" s="1271" t="s">
        <v>1996</v>
      </c>
      <c r="AM5" s="70" t="s">
        <v>1997</v>
      </c>
      <c r="AN5" s="2304" t="s">
        <v>1998</v>
      </c>
      <c r="AO5" s="2074" t="s">
        <v>1999</v>
      </c>
      <c r="AP5" s="1252" t="s">
        <v>2000</v>
      </c>
      <c r="AQ5" s="2305" t="s">
        <v>2001</v>
      </c>
      <c r="AR5" s="2305" t="s">
        <v>2002</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4" customFormat="1" ht="14.25">
      <c r="A6" s="2306" t="str">
        <f>'数据-汇总表'!C19</f>
        <v>工业</v>
      </c>
      <c r="B6" s="2307" t="str">
        <f>IF(A6=0,"","经营性")</f>
        <v>经营性</v>
      </c>
      <c r="C6" s="2308" t="s">
        <v>6</v>
      </c>
      <c r="D6" s="1054">
        <f>SUMIF(项目基本情况!D$12:I$12,C6,项目基本情况!D$14:I$14)</f>
        <v>50</v>
      </c>
      <c r="E6" s="1051">
        <f>IF(B6="","",SUMIF(项目基本情况!D$12:I$12,C6,项目基本情况!D$13:I$13))</f>
        <v>55000</v>
      </c>
      <c r="F6" s="72">
        <f>SUMIF(项目基本情况!D$12:I$12,C6,项目基本情况!D$15:I$15)</f>
        <v>31.43</v>
      </c>
      <c r="G6" s="73">
        <f>IF(ISERROR(ROUND(POWER(1+H6,D6-F6)*(POWER(1+H6,F6)-1)/(POWER(1+H6,D6)-1),3)),0,ROUND(POWER(1+H6,D6-F6)*(POWER(1+H6,F6)-1)/(POWER(1+H6,D6)-1),3))</f>
        <v>0.82499999999999996</v>
      </c>
      <c r="H6" s="802">
        <v>0.04</v>
      </c>
      <c r="I6" s="802">
        <v>0.05</v>
      </c>
      <c r="J6" s="74">
        <v>8.5000000000000006E-2</v>
      </c>
      <c r="K6" s="1254">
        <f>SUMIF('数据-汇总表'!C$19:C$33,A6,'数据-汇总表'!E$19:E$33)</f>
        <v>49469.919999999998</v>
      </c>
      <c r="L6" s="803">
        <v>3500</v>
      </c>
      <c r="M6" s="75">
        <f t="shared" ref="M6:M14" si="0">ROUND(K6*L6/10000,0)</f>
        <v>17314</v>
      </c>
      <c r="N6" s="2959">
        <f>Sheet1!I15</f>
        <v>0.83</v>
      </c>
      <c r="O6" s="75" t="str">
        <f>IF($N$5="成新度","——",ROUND(M6*N6,0))</f>
        <v>——</v>
      </c>
      <c r="P6" s="76" t="str">
        <f>IF($N$5="成新度","——",M6-O6)</f>
        <v>——</v>
      </c>
      <c r="Q6" s="804">
        <v>0.15</v>
      </c>
      <c r="R6" s="77">
        <f ca="1">SUMIF('数据-汇总表'!C$19:C$33,A6,'数据-汇总表'!R$19:R$27)</f>
        <v>41795.31</v>
      </c>
      <c r="S6" s="54">
        <f>IF('数据-汇总表'!$I$17="按面积比例",SUMIF('数据-汇总表'!C$19:C$33,A6,'数据-汇总表'!K$19:K$33),SUMIF('数据-汇总表'!C$19:C$33,A6,'数据-汇总表'!N$19:N$33))</f>
        <v>1699.08</v>
      </c>
      <c r="T6" s="1446">
        <f>ROUND($L$14*S6/10000,0)</f>
        <v>425</v>
      </c>
      <c r="U6" s="78">
        <v>2</v>
      </c>
      <c r="V6" s="79">
        <v>0.02</v>
      </c>
      <c r="W6" s="79">
        <v>0.1</v>
      </c>
      <c r="X6" s="1264"/>
      <c r="Y6" s="2961">
        <f>N6</f>
        <v>0.83</v>
      </c>
      <c r="Z6" s="81"/>
      <c r="AA6" s="74"/>
      <c r="AB6" s="74"/>
      <c r="AC6" s="1264"/>
      <c r="AD6" s="82"/>
      <c r="AE6" s="1265">
        <f ca="1">IF(AN6="",0,SUMIF(INDIRECT("'"&amp;AN6&amp;"'"&amp;"!E:E"),$AE$5,INDIRECT("'"&amp;AN6&amp;"'"&amp;"!F:F")))</f>
        <v>31.43</v>
      </c>
      <c r="AF6" s="1807"/>
      <c r="AG6" s="147">
        <f>IF(AF6="",0,AE6-AF6)</f>
        <v>0</v>
      </c>
      <c r="AH6" s="83">
        <f>'数据-基础表'!I5</f>
        <v>48501.7</v>
      </c>
      <c r="AI6" s="85">
        <v>365</v>
      </c>
      <c r="AJ6" s="86"/>
      <c r="AK6" s="87">
        <v>1.4999999999999999E-2</v>
      </c>
      <c r="AL6" s="88">
        <v>1.5E-3</v>
      </c>
      <c r="AM6" s="89">
        <v>0.01</v>
      </c>
      <c r="AN6" s="2309" t="s">
        <v>3117</v>
      </c>
      <c r="AO6" s="55">
        <f ca="1">SUMIF(INDIRECT("'"&amp;AN6&amp;"'"&amp;"!A:A"),"总价",INDIRECT("'"&amp;AN6&amp;"'"&amp;"!B:B"))</f>
        <v>43289</v>
      </c>
      <c r="AP6" s="2310">
        <f>IF(C6="住宅",K6*L6,0)</f>
        <v>0</v>
      </c>
      <c r="AQ6" s="55">
        <f>ROUND($L$14*$N$14*S6/10000,0)</f>
        <v>365</v>
      </c>
      <c r="AR6" s="55">
        <f>ROUND($L$14*(1-$N$14)*S6/10000,0)</f>
        <v>59</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4" customFormat="1" ht="14.25">
      <c r="A7" s="2306" t="str">
        <f>'数据-汇总表'!C20</f>
        <v>办公</v>
      </c>
      <c r="B7" s="2307" t="str">
        <f t="shared" ref="B7:B13" si="1">IF(A7=0,"","经营性")</f>
        <v>经营性</v>
      </c>
      <c r="C7" s="2308" t="s">
        <v>6</v>
      </c>
      <c r="D7" s="1054">
        <f>SUMIF(项目基本情况!D$12:I$12,C7,项目基本情况!D$14:I$14)</f>
        <v>50</v>
      </c>
      <c r="E7" s="1051">
        <f>IF(B7="","",SUMIF(项目基本情况!D$12:I$12,C7,项目基本情况!D$13:I$13))</f>
        <v>55000</v>
      </c>
      <c r="F7" s="72">
        <f>SUMIF(项目基本情况!D$12:I$12,C7,项目基本情况!D$15:I$15)</f>
        <v>31.43</v>
      </c>
      <c r="G7" s="73">
        <f t="shared" ref="G7:G11" si="2">IF(ISERROR(ROUND(POWER(1+H7,D7-F7)*(POWER(1+H7,F7)-1)/(POWER(1+H7,D7)-1),3)),0,ROUND(POWER(1+H7,D7-F7)*(POWER(1+H7,F7)-1)/(POWER(1+H7,D7)-1),3))</f>
        <v>0.84299999999999997</v>
      </c>
      <c r="H7" s="802">
        <v>4.4999999999999998E-2</v>
      </c>
      <c r="I7" s="802">
        <v>0.05</v>
      </c>
      <c r="J7" s="74">
        <v>8.5000000000000006E-2</v>
      </c>
      <c r="K7" s="1254">
        <f>SUMIF('数据-汇总表'!C$19:C$33,A7,'数据-汇总表'!E$19:E$33)</f>
        <v>80554.570000000007</v>
      </c>
      <c r="L7" s="803">
        <v>6000</v>
      </c>
      <c r="M7" s="75">
        <f t="shared" si="0"/>
        <v>48333</v>
      </c>
      <c r="N7" s="2959">
        <f>Sheet1!I26</f>
        <v>0.86</v>
      </c>
      <c r="O7" s="75" t="str">
        <f t="shared" ref="O7:O14" si="3">IF($N$5="成新度","——",ROUND(M7*N7,0))</f>
        <v>——</v>
      </c>
      <c r="P7" s="76" t="str">
        <f t="shared" ref="P7:P14" si="4">IF($N$5="成新度","——",M7-O7)</f>
        <v>——</v>
      </c>
      <c r="Q7" s="804">
        <v>0.2</v>
      </c>
      <c r="R7" s="77">
        <f ca="1">SUMIF('数据-汇总表'!C$19:C$33,A7,'数据-汇总表'!R$19:R$27)</f>
        <v>68057.59</v>
      </c>
      <c r="S7" s="54">
        <f>IF('数据-汇总表'!$I$17="按面积比例",SUMIF('数据-汇总表'!C$19:C$33,A7,'数据-汇总表'!K$19:K$33),SUMIF('数据-汇总表'!C$19:C$33,A7,'数据-汇总表'!N$19:N$33))</f>
        <v>2766.71</v>
      </c>
      <c r="T7" s="1446">
        <f t="shared" ref="T7:T13" si="5">ROUND($L$14*S7/10000,0)</f>
        <v>692</v>
      </c>
      <c r="U7" s="78">
        <v>3</v>
      </c>
      <c r="V7" s="79">
        <v>0.03</v>
      </c>
      <c r="W7" s="79">
        <v>0.1</v>
      </c>
      <c r="X7" s="1264"/>
      <c r="Y7" s="2961">
        <f>N7</f>
        <v>0.86</v>
      </c>
      <c r="Z7" s="81"/>
      <c r="AA7" s="74"/>
      <c r="AB7" s="74"/>
      <c r="AC7" s="1264"/>
      <c r="AD7" s="82"/>
      <c r="AE7" s="1265">
        <f t="shared" ref="AE7:AE13" ca="1" si="6">IF(AN7="",0,SUMIF(INDIRECT("'"&amp;AN7&amp;"'"&amp;"!E:E"),$AE$5,INDIRECT("'"&amp;AN7&amp;"'"&amp;"!F:F")))</f>
        <v>31.43</v>
      </c>
      <c r="AF7" s="1807"/>
      <c r="AG7" s="147">
        <f t="shared" ref="AG7:AG13" si="7">IF(AF7="",0,AE7-AF7)</f>
        <v>0</v>
      </c>
      <c r="AH7" s="83">
        <f>'数据-基础表'!K5</f>
        <v>62867.700000000012</v>
      </c>
      <c r="AI7" s="85">
        <v>365</v>
      </c>
      <c r="AJ7" s="86"/>
      <c r="AK7" s="87">
        <v>1.4999999999999999E-2</v>
      </c>
      <c r="AL7" s="88">
        <v>1.5E-3</v>
      </c>
      <c r="AM7" s="89">
        <v>0.01</v>
      </c>
      <c r="AN7" s="2309" t="s">
        <v>3115</v>
      </c>
      <c r="AO7" s="55">
        <f t="shared" ref="AO7:AO13" ca="1" si="8">SUMIF(INDIRECT("'"&amp;AN7&amp;"'"&amp;"!A:A"),"总价",INDIRECT("'"&amp;AN7&amp;"'"&amp;"!B:B"))</f>
        <v>87390</v>
      </c>
      <c r="AP7" s="2310">
        <f t="shared" ref="AP7:AP13" si="9">IF(C7="住宅",K7*L7,0)</f>
        <v>0</v>
      </c>
      <c r="AQ7" s="55">
        <f t="shared" ref="AQ7:AQ13" si="10">ROUND($L$14*$N$14*S7/10000,0)</f>
        <v>595</v>
      </c>
      <c r="AR7" s="55">
        <f t="shared" ref="AR7:AR13" si="11">ROUND($L$14*(1-$N$14)*S7/10000,0)</f>
        <v>97</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4" customFormat="1" ht="14.25">
      <c r="A8" s="2306">
        <f>'数据-汇总表'!C21</f>
        <v>0</v>
      </c>
      <c r="B8" s="2307" t="str">
        <f t="shared" si="1"/>
        <v/>
      </c>
      <c r="C8" s="2308"/>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09"/>
      <c r="AO8" s="55" t="e">
        <f t="shared" ca="1" si="8"/>
        <v>#REF!</v>
      </c>
      <c r="AP8" s="2310">
        <f t="shared" si="9"/>
        <v>0</v>
      </c>
      <c r="AQ8" s="55">
        <f t="shared" si="10"/>
        <v>0</v>
      </c>
      <c r="AR8" s="55">
        <f t="shared" si="11"/>
        <v>0</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4" customFormat="1" ht="14.25">
      <c r="A9" s="2306">
        <f>'数据-汇总表'!C22</f>
        <v>0</v>
      </c>
      <c r="B9" s="2307" t="str">
        <f t="shared" si="1"/>
        <v/>
      </c>
      <c r="C9" s="2308"/>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09"/>
      <c r="AO9" s="55" t="e">
        <f t="shared" ca="1" si="8"/>
        <v>#REF!</v>
      </c>
      <c r="AP9" s="2310">
        <f t="shared" si="9"/>
        <v>0</v>
      </c>
      <c r="AQ9" s="55">
        <f t="shared" si="10"/>
        <v>0</v>
      </c>
      <c r="AR9" s="55">
        <f t="shared" si="11"/>
        <v>0</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4" customFormat="1" ht="14.25">
      <c r="A10" s="2306">
        <f>'数据-汇总表'!C23</f>
        <v>0</v>
      </c>
      <c r="B10" s="2307" t="str">
        <f t="shared" si="1"/>
        <v/>
      </c>
      <c r="C10" s="2308"/>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09"/>
      <c r="AO10" s="55" t="e">
        <f t="shared" ca="1" si="8"/>
        <v>#REF!</v>
      </c>
      <c r="AP10" s="2310">
        <f t="shared" si="9"/>
        <v>0</v>
      </c>
      <c r="AQ10" s="55">
        <f t="shared" si="10"/>
        <v>0</v>
      </c>
      <c r="AR10" s="55">
        <f t="shared" si="11"/>
        <v>0</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4" customFormat="1" ht="14.25">
      <c r="A11" s="2306">
        <f>'数据-汇总表'!C24</f>
        <v>0</v>
      </c>
      <c r="B11" s="2307" t="str">
        <f t="shared" si="1"/>
        <v/>
      </c>
      <c r="C11" s="2308"/>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09"/>
      <c r="AO11" s="55" t="e">
        <f t="shared" ca="1" si="8"/>
        <v>#REF!</v>
      </c>
      <c r="AP11" s="2310">
        <f t="shared" si="9"/>
        <v>0</v>
      </c>
      <c r="AQ11" s="55">
        <f t="shared" si="10"/>
        <v>0</v>
      </c>
      <c r="AR11" s="55">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4" customFormat="1" ht="14.25">
      <c r="A12" s="2306">
        <f>'数据-汇总表'!C25</f>
        <v>0</v>
      </c>
      <c r="B12" s="2307" t="str">
        <f t="shared" si="1"/>
        <v/>
      </c>
      <c r="C12" s="2308"/>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09"/>
      <c r="AO12" s="55" t="e">
        <f t="shared" ca="1" si="8"/>
        <v>#REF!</v>
      </c>
      <c r="AP12" s="2310">
        <f t="shared" si="9"/>
        <v>0</v>
      </c>
      <c r="AQ12" s="55">
        <f t="shared" si="10"/>
        <v>0</v>
      </c>
      <c r="AR12" s="55">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4" customFormat="1" ht="14.25">
      <c r="A13" s="2306">
        <f>'数据-汇总表'!C26</f>
        <v>0</v>
      </c>
      <c r="B13" s="2307" t="str">
        <f t="shared" si="1"/>
        <v/>
      </c>
      <c r="C13" s="2308"/>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09"/>
      <c r="AO13" s="55" t="e">
        <f t="shared" ca="1" si="8"/>
        <v>#REF!</v>
      </c>
      <c r="AP13" s="2310">
        <f t="shared" si="9"/>
        <v>0</v>
      </c>
      <c r="AQ13" s="55">
        <f t="shared" si="10"/>
        <v>0</v>
      </c>
      <c r="AR13" s="55">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4" customFormat="1" ht="14.25">
      <c r="A14" s="2311" t="s">
        <v>2003</v>
      </c>
      <c r="B14" s="2307" t="s">
        <v>2004</v>
      </c>
      <c r="C14" s="2312" t="s">
        <v>2003</v>
      </c>
      <c r="D14" s="1054"/>
      <c r="E14" s="1051"/>
      <c r="F14" s="72"/>
      <c r="G14" s="73"/>
      <c r="H14" s="1253"/>
      <c r="I14" s="1253"/>
      <c r="J14" s="1253"/>
      <c r="K14" s="1254">
        <f>SUMIF('数据-汇总表'!C$19:C$33,A14,'数据-汇总表'!E$19:E$33)</f>
        <v>4465.79</v>
      </c>
      <c r="L14" s="91">
        <v>2500</v>
      </c>
      <c r="M14" s="75">
        <f t="shared" si="0"/>
        <v>1116</v>
      </c>
      <c r="N14" s="2960">
        <f>Sheet1!I19</f>
        <v>0.86</v>
      </c>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4" customFormat="1" ht="27">
      <c r="A15" s="2311" t="s">
        <v>2005</v>
      </c>
      <c r="B15" s="2307" t="s">
        <v>2004</v>
      </c>
      <c r="C15" s="2312" t="s">
        <v>2006</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4" customFormat="1" ht="15.75" thickBot="1">
      <c r="A16" s="2313" t="s">
        <v>2007</v>
      </c>
      <c r="B16" s="97"/>
      <c r="C16" s="1008"/>
      <c r="D16" s="2314"/>
      <c r="E16" s="97"/>
      <c r="F16" s="97"/>
      <c r="G16" s="98">
        <f>ROUND(SUMPRODUCT(G6:G13,K6:K13)/SUMPRODUCT((G6:G13&gt;0)*(K6:K13)),3)</f>
        <v>0.83599999999999997</v>
      </c>
      <c r="H16" s="99">
        <f>ROUND(SUMPRODUCT(H6:H13,K6:K13)/SUMPRODUCT((H6:H13&gt;0)*(K6:K13)),3)</f>
        <v>4.2999999999999997E-2</v>
      </c>
      <c r="I16" s="100"/>
      <c r="J16" s="100"/>
      <c r="K16" s="101">
        <f>SUM(K6:K15)</f>
        <v>134490.28</v>
      </c>
      <c r="L16" s="102">
        <f>ROUND(M16*10000/SUM(K6:K14),0)</f>
        <v>4964</v>
      </c>
      <c r="M16" s="102">
        <f>SUM(M6:M14)</f>
        <v>66763</v>
      </c>
      <c r="N16" s="103">
        <f>ROUND(SUMPRODUCT(M6:M14,N6:N14)/M16,3)</f>
        <v>0.85199999999999998</v>
      </c>
      <c r="O16" s="102">
        <f>SUM(O6:O14)</f>
        <v>0</v>
      </c>
      <c r="P16" s="102">
        <f>SUM(P6:P14)</f>
        <v>0</v>
      </c>
      <c r="Q16" s="104">
        <f>ROUND(SUMPRODUCT(Q6:Q13,K6:K13)/SUMPRODUCT((Q6:Q13&gt;0)*(K6:K13)),2)</f>
        <v>0.18</v>
      </c>
      <c r="R16" s="1258">
        <f ca="1">SUM(R6:R13)</f>
        <v>109852.9</v>
      </c>
      <c r="S16" s="105">
        <f>SUM(S6:S13)</f>
        <v>4465.79</v>
      </c>
      <c r="T16" s="106" t="str">
        <f>IF(SUMIF(T6:T13,"&lt;9E307")=M14,SUMIF(T6:T13,"&lt;9E307"),"有误，请检查")</f>
        <v>有误，请检查</v>
      </c>
      <c r="U16" s="107"/>
      <c r="V16" s="108"/>
      <c r="W16" s="108"/>
      <c r="X16" s="111"/>
      <c r="Y16" s="109"/>
      <c r="Z16" s="110"/>
      <c r="AA16" s="108"/>
      <c r="AB16" s="108"/>
      <c r="AC16" s="111"/>
      <c r="AD16" s="111"/>
      <c r="AE16" s="107"/>
      <c r="AF16" s="108"/>
      <c r="AG16" s="109"/>
      <c r="AH16" s="107"/>
      <c r="AI16" s="110"/>
      <c r="AJ16" s="110"/>
      <c r="AK16" s="108"/>
      <c r="AL16" s="108"/>
      <c r="AM16" s="109"/>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5" thickBot="1">
      <c r="A17" s="2315"/>
      <c r="B17" s="732"/>
      <c r="C17" s="1584"/>
      <c r="D17" s="2273"/>
      <c r="E17" s="2273"/>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2008</v>
      </c>
      <c r="B18" s="2280"/>
      <c r="C18" s="2277"/>
      <c r="D18" s="2278"/>
      <c r="E18" s="2277"/>
      <c r="F18" s="2277"/>
      <c r="G18" s="2277"/>
      <c r="H18" s="2277"/>
      <c r="I18" s="2277"/>
      <c r="J18" s="2277"/>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6" t="s">
        <v>2009</v>
      </c>
      <c r="B19" s="112"/>
      <c r="C19" s="2277" t="s">
        <v>2010</v>
      </c>
      <c r="D19" s="2278"/>
      <c r="E19" s="2277"/>
      <c r="F19" s="2277"/>
      <c r="G19" s="2277"/>
      <c r="H19" s="2277"/>
      <c r="I19" s="2277"/>
      <c r="J19" s="2277"/>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17" t="s">
        <v>2011</v>
      </c>
      <c r="B20" s="113">
        <v>2</v>
      </c>
      <c r="C20" s="2277" t="s">
        <v>2012</v>
      </c>
      <c r="D20" s="2278"/>
      <c r="E20" s="2277"/>
      <c r="F20" s="2277"/>
      <c r="G20" s="2277"/>
      <c r="H20" s="2277"/>
      <c r="I20" s="2277"/>
      <c r="J20" s="2277"/>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18" t="s">
        <v>2013</v>
      </c>
      <c r="B21" s="113">
        <v>2</v>
      </c>
      <c r="C21" s="2277"/>
      <c r="D21" s="2278"/>
      <c r="E21" s="2277"/>
      <c r="F21" s="2277"/>
      <c r="G21" s="2277"/>
      <c r="H21" s="2277"/>
      <c r="I21" s="2277"/>
      <c r="J21" s="2277"/>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7" t="s">
        <v>2014</v>
      </c>
      <c r="B22" s="114">
        <f>B19+B20</f>
        <v>2</v>
      </c>
      <c r="C22" s="2277"/>
      <c r="D22" s="2278"/>
      <c r="E22" s="2277"/>
      <c r="F22" s="2277"/>
      <c r="G22" s="2277"/>
      <c r="H22" s="2277"/>
      <c r="I22" s="2277"/>
      <c r="J22" s="2277"/>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18" t="s">
        <v>2015</v>
      </c>
      <c r="B23" s="114">
        <f>B19+B21</f>
        <v>2</v>
      </c>
      <c r="C23" s="2277"/>
      <c r="D23" s="2278"/>
      <c r="E23" s="2277"/>
      <c r="F23" s="2277"/>
      <c r="G23" s="2277"/>
      <c r="H23" s="2277"/>
      <c r="I23" s="2277"/>
      <c r="J23" s="2277"/>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19" t="s">
        <v>2016</v>
      </c>
      <c r="B24" s="115">
        <f>B20-B21</f>
        <v>0</v>
      </c>
      <c r="C24" s="2277"/>
      <c r="D24" s="2278"/>
      <c r="E24" s="2277"/>
      <c r="F24" s="2277"/>
      <c r="G24" s="2277"/>
      <c r="H24" s="2277"/>
      <c r="I24" s="2277"/>
      <c r="J24" s="2277"/>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0"/>
      <c r="C25" s="2277"/>
      <c r="D25" s="2278"/>
      <c r="E25" s="2277"/>
      <c r="F25" s="2277"/>
      <c r="G25" s="2277"/>
      <c r="H25" s="2277"/>
      <c r="I25" s="2277"/>
      <c r="J25" s="2277"/>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6" t="s">
        <v>2017</v>
      </c>
      <c r="B26" s="2320" t="s">
        <v>2018</v>
      </c>
      <c r="C26" s="2321" t="s">
        <v>2019</v>
      </c>
      <c r="D26" s="2278"/>
      <c r="E26" s="2277"/>
      <c r="F26" s="2277"/>
      <c r="G26" s="2277"/>
      <c r="H26" s="2277"/>
      <c r="I26" s="2277"/>
      <c r="J26" s="2277"/>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4" customFormat="1" ht="27.75">
      <c r="A27" s="2322" t="s">
        <v>2020</v>
      </c>
      <c r="B27" s="116"/>
      <c r="C27" s="1767" t="s">
        <v>2021</v>
      </c>
      <c r="D27" s="2323"/>
      <c r="E27" s="1430"/>
      <c r="F27" s="1430"/>
      <c r="G27" s="2277"/>
      <c r="H27" s="2277"/>
      <c r="I27" s="2277"/>
      <c r="J27" s="2277"/>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4" customFormat="1" ht="27.75">
      <c r="A28" s="2325" t="s">
        <v>2022</v>
      </c>
      <c r="B28" s="119">
        <v>200</v>
      </c>
      <c r="C28" s="2326"/>
      <c r="D28" s="2323"/>
      <c r="E28" s="1430"/>
      <c r="F28" s="1430"/>
      <c r="G28" s="2277"/>
      <c r="H28" s="2277"/>
      <c r="I28" s="2277"/>
      <c r="J28" s="2277"/>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4" customFormat="1" ht="28.5" thickBot="1">
      <c r="A29" s="2327" t="s">
        <v>2023</v>
      </c>
      <c r="B29" s="121">
        <f ca="1">成本法!C10</f>
        <v>2690</v>
      </c>
      <c r="C29" s="1767" t="s">
        <v>2024</v>
      </c>
      <c r="D29" s="2323"/>
      <c r="E29" s="1430"/>
      <c r="F29" s="1430"/>
      <c r="G29" s="2277"/>
      <c r="H29" s="2277"/>
      <c r="I29" s="2277"/>
      <c r="J29" s="2277"/>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4" customFormat="1" ht="27">
      <c r="A30" s="2328" t="s">
        <v>2025</v>
      </c>
      <c r="B30" s="724">
        <v>200</v>
      </c>
      <c r="C30" s="2326"/>
      <c r="D30" s="2323"/>
      <c r="E30" s="1430"/>
      <c r="F30" s="1430"/>
      <c r="G30" s="2277"/>
      <c r="H30" s="2277"/>
      <c r="I30" s="2277"/>
      <c r="J30" s="2277"/>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4" customFormat="1" ht="27">
      <c r="A31" s="2325" t="s">
        <v>2026</v>
      </c>
      <c r="B31" s="120">
        <f>B30-B32</f>
        <v>200</v>
      </c>
      <c r="C31" s="1767"/>
      <c r="D31" s="2323"/>
      <c r="E31" s="1430"/>
      <c r="F31" s="1430"/>
      <c r="G31" s="2277"/>
      <c r="H31" s="2277"/>
      <c r="I31" s="2277"/>
      <c r="J31" s="2277"/>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4" customFormat="1" ht="27.75" thickBot="1">
      <c r="A32" s="2329" t="s">
        <v>2027</v>
      </c>
      <c r="B32" s="725"/>
      <c r="C32" s="2326"/>
      <c r="D32" s="2278"/>
      <c r="E32" s="2277"/>
      <c r="F32" s="2277"/>
      <c r="G32" s="2277"/>
      <c r="H32" s="2277"/>
      <c r="I32" s="2277"/>
      <c r="J32" s="2277"/>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4" customFormat="1" ht="14.25">
      <c r="A33" s="2322" t="s">
        <v>2028</v>
      </c>
      <c r="B33" s="726">
        <v>0.04</v>
      </c>
      <c r="C33" s="1766" t="s">
        <v>2029</v>
      </c>
      <c r="D33" s="2278"/>
      <c r="E33" s="2277"/>
      <c r="F33" s="2277"/>
      <c r="G33" s="2277"/>
      <c r="H33" s="2277"/>
      <c r="I33" s="2277"/>
      <c r="J33" s="2277"/>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4" customFormat="1" ht="14.25">
      <c r="A34" s="2325" t="s">
        <v>2030</v>
      </c>
      <c r="B34" s="122"/>
      <c r="C34" s="1766" t="s">
        <v>2031</v>
      </c>
      <c r="D34" s="2278" t="s">
        <v>2032</v>
      </c>
      <c r="E34" s="732"/>
      <c r="F34" s="2277"/>
      <c r="G34" s="2277"/>
      <c r="H34" s="2277"/>
      <c r="I34" s="2277"/>
      <c r="J34" s="2277"/>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4" customFormat="1" ht="14.25">
      <c r="A35" s="2325" t="s">
        <v>2033</v>
      </c>
      <c r="B35" s="119">
        <v>200</v>
      </c>
      <c r="C35" s="1766" t="s">
        <v>2034</v>
      </c>
      <c r="D35" s="2323"/>
      <c r="E35" s="1430"/>
      <c r="F35" s="1430"/>
      <c r="G35" s="2277"/>
      <c r="H35" s="2277"/>
      <c r="I35" s="2277"/>
      <c r="J35" s="2277"/>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7" t="s">
        <v>2035</v>
      </c>
      <c r="B36" s="123">
        <v>1.4999999999999999E-2</v>
      </c>
      <c r="C36" s="1766" t="s">
        <v>2036</v>
      </c>
      <c r="D36" s="2278"/>
      <c r="E36" s="2277"/>
      <c r="F36" s="2277"/>
      <c r="G36" s="2277"/>
      <c r="H36" s="2277"/>
      <c r="I36" s="2277"/>
      <c r="J36" s="2277"/>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28" t="s">
        <v>2037</v>
      </c>
      <c r="B37" s="124">
        <v>0.02</v>
      </c>
      <c r="C37" s="1766" t="s">
        <v>2038</v>
      </c>
      <c r="D37" s="2278"/>
      <c r="E37" s="2277"/>
      <c r="F37" s="2277"/>
      <c r="G37" s="2277"/>
      <c r="H37" s="2277"/>
      <c r="I37" s="2277"/>
      <c r="J37" s="2277"/>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5" t="s">
        <v>2039</v>
      </c>
      <c r="B38" s="122">
        <v>0.02</v>
      </c>
      <c r="C38" s="1766" t="s">
        <v>2038</v>
      </c>
      <c r="D38" s="2278"/>
      <c r="E38" s="2277"/>
      <c r="F38" s="2277"/>
      <c r="G38" s="2277"/>
      <c r="H38" s="2277"/>
      <c r="I38" s="2277"/>
      <c r="J38" s="2277"/>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29" t="s">
        <v>2040</v>
      </c>
      <c r="B39" s="362">
        <f ca="1">存贷款利率!I1</f>
        <v>1.4999999999999999E-2</v>
      </c>
      <c r="C39" s="1766"/>
      <c r="D39" s="2278"/>
      <c r="E39" s="2277"/>
      <c r="F39" s="2277"/>
      <c r="G39" s="2277"/>
      <c r="H39" s="2277"/>
      <c r="I39" s="2277"/>
      <c r="J39" s="2277"/>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29" t="s">
        <v>2041</v>
      </c>
      <c r="B40" s="1303">
        <f ca="1">存贷款利率!G1</f>
        <v>4.7500000000000001E-2</v>
      </c>
      <c r="C40" s="1766" t="s">
        <v>2042</v>
      </c>
      <c r="D40" s="1584"/>
      <c r="E40" s="2278"/>
      <c r="F40" s="2277"/>
      <c r="G40" s="2277"/>
      <c r="H40" s="2277"/>
      <c r="I40" s="2277"/>
      <c r="J40" s="2277"/>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2" t="s">
        <v>2043</v>
      </c>
      <c r="B41" s="125">
        <f>B42+B43</f>
        <v>5.5000000000000007E-2</v>
      </c>
      <c r="C41" s="1767"/>
      <c r="D41" s="1584"/>
      <c r="E41" s="2278"/>
      <c r="F41" s="2277"/>
      <c r="G41" s="2277"/>
      <c r="H41" s="2277"/>
      <c r="I41" s="2277"/>
      <c r="J41" s="2277"/>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0" t="s">
        <v>2044</v>
      </c>
      <c r="B42" s="126">
        <v>0.05</v>
      </c>
      <c r="C42" s="2331">
        <f>IF(B2&lt;DATE(2016,5,1),0,B42)</f>
        <v>0.05</v>
      </c>
      <c r="D42" s="2278"/>
      <c r="E42" s="2277"/>
      <c r="F42" s="2277"/>
      <c r="G42" s="2277"/>
      <c r="H42" s="2277"/>
      <c r="I42" s="2277"/>
      <c r="J42" s="2277"/>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0" t="s">
        <v>2045</v>
      </c>
      <c r="B43" s="127">
        <f>B42*(B44+B45+B46)+B47</f>
        <v>5.000000000000001E-3</v>
      </c>
      <c r="C43" s="1767"/>
      <c r="D43" s="2278"/>
      <c r="E43" s="2277"/>
      <c r="F43" s="2277"/>
      <c r="G43" s="2277"/>
      <c r="H43" s="2277"/>
      <c r="I43" s="2277"/>
      <c r="J43" s="2277"/>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2" t="s">
        <v>2046</v>
      </c>
      <c r="B44" s="128">
        <v>0.05</v>
      </c>
      <c r="C44" s="1766" t="s">
        <v>2047</v>
      </c>
      <c r="D44" s="2278"/>
      <c r="E44" s="2277"/>
      <c r="F44" s="2277"/>
      <c r="G44" s="2277"/>
      <c r="H44" s="2277"/>
      <c r="I44" s="2277"/>
      <c r="J44" s="2277"/>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2" t="s">
        <v>2048</v>
      </c>
      <c r="B45" s="126">
        <v>0.03</v>
      </c>
      <c r="C45" s="1767" t="s">
        <v>2049</v>
      </c>
      <c r="D45" s="2278"/>
      <c r="E45" s="2277"/>
      <c r="F45" s="2277"/>
      <c r="G45" s="2277"/>
      <c r="H45" s="2277"/>
      <c r="I45" s="2277"/>
      <c r="J45" s="2277"/>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2" t="s">
        <v>2050</v>
      </c>
      <c r="B46" s="126">
        <v>0.02</v>
      </c>
      <c r="C46" s="1767" t="s">
        <v>2051</v>
      </c>
      <c r="D46" s="2278"/>
      <c r="E46" s="2277"/>
      <c r="F46" s="2277"/>
      <c r="G46" s="2277"/>
      <c r="H46" s="2277"/>
      <c r="I46" s="2277"/>
      <c r="J46" s="2277"/>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3" t="s">
        <v>2052</v>
      </c>
      <c r="B47" s="129"/>
      <c r="C47" s="1767" t="s">
        <v>2053</v>
      </c>
      <c r="D47" s="2278"/>
      <c r="E47" s="2277"/>
      <c r="F47" s="2277"/>
      <c r="G47" s="2277"/>
      <c r="H47" s="2277"/>
      <c r="I47" s="2277"/>
      <c r="J47" s="2277"/>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4" t="s">
        <v>2054</v>
      </c>
      <c r="B48" s="130">
        <v>0.03</v>
      </c>
      <c r="C48" s="1774" t="s">
        <v>2055</v>
      </c>
      <c r="D48" s="2278"/>
      <c r="E48" s="2277"/>
      <c r="F48" s="2277"/>
      <c r="G48" s="2277"/>
      <c r="H48" s="2277"/>
      <c r="I48" s="2277"/>
      <c r="J48" s="2277"/>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29" t="s">
        <v>2056</v>
      </c>
      <c r="B49" s="126">
        <v>5.0000000000000001E-4</v>
      </c>
      <c r="C49" s="1774" t="s">
        <v>2057</v>
      </c>
      <c r="D49" s="2278"/>
      <c r="E49" s="2277"/>
      <c r="F49" s="2277"/>
      <c r="G49" s="2277"/>
      <c r="H49" s="2277"/>
      <c r="I49" s="2277"/>
      <c r="J49" s="2277"/>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5" t="s">
        <v>2058</v>
      </c>
      <c r="B50" s="131">
        <v>1.2E-2</v>
      </c>
      <c r="C50" s="1430"/>
      <c r="D50" s="2278"/>
      <c r="E50" s="2277"/>
      <c r="F50" s="2277"/>
      <c r="G50" s="2277"/>
      <c r="H50" s="2277"/>
      <c r="I50" s="2277"/>
      <c r="J50" s="2277"/>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7" t="s">
        <v>2059</v>
      </c>
      <c r="B51" s="132">
        <v>0.12</v>
      </c>
      <c r="C51" s="1430"/>
      <c r="D51" s="2278"/>
      <c r="E51" s="2277"/>
      <c r="F51" s="2277"/>
      <c r="G51" s="2277"/>
      <c r="H51" s="2277"/>
      <c r="I51" s="2277"/>
      <c r="J51" s="2277"/>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5" t="s">
        <v>2060</v>
      </c>
      <c r="B52" s="133">
        <f>SUMIF(A54:A63,B53,B54:B63)</f>
        <v>3</v>
      </c>
      <c r="C52" s="1430"/>
      <c r="D52" s="2278"/>
      <c r="E52" s="2277"/>
      <c r="F52" s="2277"/>
      <c r="G52" s="2277"/>
      <c r="H52" s="2277"/>
      <c r="I52" s="2277"/>
      <c r="J52" s="2277"/>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5" t="s">
        <v>2061</v>
      </c>
      <c r="B53" s="2336" t="s">
        <v>523</v>
      </c>
      <c r="C53" s="1430" t="s">
        <v>2062</v>
      </c>
      <c r="D53" s="2337" t="s">
        <v>2063</v>
      </c>
      <c r="E53" s="2277"/>
      <c r="F53" s="2277"/>
      <c r="G53" s="2277"/>
      <c r="H53" s="2277"/>
      <c r="I53" s="2277"/>
      <c r="J53" s="2277"/>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38" t="s">
        <v>2064</v>
      </c>
      <c r="B54" s="84"/>
      <c r="C54" s="1430">
        <v>30</v>
      </c>
      <c r="D54" s="2278"/>
      <c r="E54" s="2277"/>
      <c r="F54" s="2277"/>
      <c r="G54" s="2277"/>
      <c r="H54" s="2277"/>
      <c r="I54" s="2277"/>
      <c r="J54" s="2277"/>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38" t="s">
        <v>2065</v>
      </c>
      <c r="B55" s="84"/>
      <c r="C55" s="1430">
        <v>24</v>
      </c>
      <c r="D55" s="2278"/>
      <c r="E55" s="2277"/>
      <c r="F55" s="2277"/>
      <c r="G55" s="2277"/>
      <c r="H55" s="2277"/>
      <c r="I55" s="2339"/>
      <c r="J55" s="2277"/>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38" t="s">
        <v>2066</v>
      </c>
      <c r="B56" s="84"/>
      <c r="C56" s="1430">
        <v>18</v>
      </c>
      <c r="D56" s="2278"/>
      <c r="E56" s="2277"/>
      <c r="F56" s="2277"/>
      <c r="G56" s="2277"/>
      <c r="H56" s="2277"/>
      <c r="I56" s="2277"/>
      <c r="J56" s="2277"/>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38" t="s">
        <v>2067</v>
      </c>
      <c r="B57" s="84"/>
      <c r="C57" s="1430">
        <v>12</v>
      </c>
      <c r="D57" s="2278"/>
      <c r="E57" s="2277"/>
      <c r="F57" s="2277"/>
      <c r="G57" s="2277"/>
      <c r="H57" s="2277"/>
      <c r="I57" s="2277"/>
      <c r="J57" s="2277"/>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38" t="s">
        <v>2068</v>
      </c>
      <c r="B58" s="84">
        <v>3</v>
      </c>
      <c r="C58" s="1430">
        <v>3</v>
      </c>
      <c r="D58" s="2278"/>
      <c r="E58" s="2277"/>
      <c r="F58" s="2277"/>
      <c r="G58" s="2277"/>
      <c r="H58" s="2277"/>
      <c r="I58" s="2277"/>
      <c r="J58" s="2277"/>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38" t="s">
        <v>2069</v>
      </c>
      <c r="B59" s="84"/>
      <c r="C59" s="1430">
        <v>1.5</v>
      </c>
      <c r="D59" s="2278"/>
      <c r="E59" s="2277"/>
      <c r="F59" s="2277"/>
      <c r="G59" s="2277"/>
      <c r="H59" s="2277"/>
      <c r="I59" s="2277"/>
      <c r="J59" s="2277"/>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38" t="s">
        <v>2070</v>
      </c>
      <c r="B60" s="84"/>
      <c r="C60" s="2277"/>
      <c r="D60" s="2278"/>
      <c r="E60" s="2277"/>
      <c r="F60" s="2277"/>
      <c r="G60" s="2277"/>
      <c r="H60" s="2277"/>
      <c r="I60" s="2277"/>
      <c r="J60" s="2277"/>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38" t="s">
        <v>2071</v>
      </c>
      <c r="B61" s="84"/>
      <c r="C61" s="2277"/>
      <c r="D61" s="2278"/>
      <c r="E61" s="2277"/>
      <c r="F61" s="2277"/>
      <c r="G61" s="2277"/>
      <c r="H61" s="2277"/>
      <c r="I61" s="2277"/>
      <c r="J61" s="2277"/>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38" t="s">
        <v>2072</v>
      </c>
      <c r="B62" s="84"/>
      <c r="C62" s="2277"/>
      <c r="D62" s="2278"/>
      <c r="E62" s="2277"/>
      <c r="F62" s="2277"/>
      <c r="G62" s="2277"/>
      <c r="H62" s="2277"/>
      <c r="I62" s="2277"/>
      <c r="J62" s="2277"/>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0" t="s">
        <v>2073</v>
      </c>
      <c r="B63" s="134"/>
      <c r="C63" s="2277"/>
      <c r="D63" s="2278"/>
      <c r="E63" s="2277"/>
      <c r="F63" s="2277"/>
      <c r="G63" s="2277"/>
      <c r="H63" s="2277"/>
      <c r="I63" s="2277"/>
      <c r="J63" s="2277"/>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1"/>
      <c r="D64" s="2342"/>
      <c r="K64" s="798"/>
      <c r="L64" s="798"/>
    </row>
    <row r="65" spans="1:12" s="967" customFormat="1">
      <c r="A65" s="2341"/>
      <c r="D65" s="2342"/>
      <c r="K65" s="798"/>
      <c r="L65" s="798"/>
    </row>
    <row r="66" spans="1:12" s="967" customFormat="1">
      <c r="A66" s="2341"/>
      <c r="D66" s="2342"/>
      <c r="K66" s="798"/>
      <c r="L66" s="798"/>
    </row>
    <row r="67" spans="1:12" s="967" customFormat="1">
      <c r="A67" s="2341"/>
      <c r="D67" s="2342"/>
      <c r="K67" s="798"/>
      <c r="L67" s="798"/>
    </row>
    <row r="68" spans="1:12" s="967" customFormat="1">
      <c r="A68" s="2341"/>
      <c r="D68" s="2342"/>
      <c r="K68" s="798"/>
      <c r="L68" s="798"/>
    </row>
    <row r="69" spans="1:12" s="967" customFormat="1">
      <c r="A69" s="2341"/>
      <c r="D69" s="2342"/>
      <c r="K69" s="798"/>
      <c r="L69" s="798"/>
    </row>
    <row r="70" spans="1:12" s="967" customFormat="1">
      <c r="A70" s="2341"/>
      <c r="D70" s="2342"/>
      <c r="K70" s="798"/>
      <c r="L70" s="798"/>
    </row>
    <row r="71" spans="1:12" s="967" customFormat="1">
      <c r="A71" s="2341"/>
      <c r="D71" s="2342"/>
      <c r="K71" s="798"/>
      <c r="L71" s="798"/>
    </row>
    <row r="72" spans="1:12" s="967" customFormat="1">
      <c r="A72" s="2341"/>
      <c r="D72" s="2342"/>
      <c r="K72" s="798"/>
      <c r="L72" s="798"/>
    </row>
    <row r="73" spans="1:12" s="967" customFormat="1">
      <c r="A73" s="2341"/>
      <c r="D73" s="2342"/>
      <c r="K73" s="798"/>
      <c r="L73" s="798"/>
    </row>
    <row r="74" spans="1:12" s="967" customFormat="1">
      <c r="A74" s="2341"/>
      <c r="D74" s="2342"/>
      <c r="K74" s="798"/>
      <c r="L74" s="798"/>
    </row>
    <row r="75" spans="1:12" s="967" customFormat="1">
      <c r="A75" s="2341"/>
      <c r="D75" s="2342"/>
      <c r="K75" s="798"/>
      <c r="L75" s="798"/>
    </row>
    <row r="76" spans="1:12" s="967" customFormat="1">
      <c r="A76" s="2341"/>
      <c r="D76" s="2342"/>
      <c r="K76" s="798"/>
      <c r="L76" s="798"/>
    </row>
    <row r="77" spans="1:12" s="967" customFormat="1">
      <c r="A77" s="2341"/>
      <c r="D77" s="2342"/>
      <c r="K77" s="798"/>
      <c r="L77" s="798"/>
    </row>
    <row r="78" spans="1:12" s="967" customFormat="1">
      <c r="A78" s="2341"/>
      <c r="D78" s="2342"/>
      <c r="K78" s="798"/>
      <c r="L78" s="798"/>
    </row>
    <row r="79" spans="1:12" s="967" customFormat="1">
      <c r="A79" s="2341"/>
      <c r="D79" s="2342"/>
      <c r="K79" s="798"/>
      <c r="L79" s="798"/>
    </row>
    <row r="80" spans="1:12" s="967" customFormat="1">
      <c r="A80" s="2341"/>
      <c r="D80" s="2342"/>
      <c r="K80" s="798"/>
      <c r="L80" s="798"/>
    </row>
    <row r="81" spans="1:12" s="967" customFormat="1">
      <c r="A81" s="2341"/>
      <c r="D81" s="2342"/>
      <c r="K81" s="798"/>
      <c r="L81" s="798"/>
    </row>
    <row r="82" spans="1:12" s="967" customFormat="1">
      <c r="A82" s="2341"/>
      <c r="D82" s="2342"/>
      <c r="K82" s="798"/>
      <c r="L82" s="798"/>
    </row>
    <row r="83" spans="1:12" s="967" customFormat="1">
      <c r="A83" s="2341"/>
      <c r="D83" s="2342"/>
      <c r="K83" s="798"/>
      <c r="L83" s="798"/>
    </row>
    <row r="84" spans="1:12" s="967" customFormat="1">
      <c r="A84" s="2341"/>
      <c r="D84" s="2342"/>
      <c r="K84" s="798"/>
      <c r="L84" s="798"/>
    </row>
    <row r="85" spans="1:12" s="967" customFormat="1">
      <c r="A85" s="2341"/>
      <c r="D85" s="2342"/>
      <c r="K85" s="798"/>
      <c r="L85" s="798"/>
    </row>
    <row r="86" spans="1:12" s="967" customFormat="1">
      <c r="A86" s="2341"/>
      <c r="D86" s="2342"/>
      <c r="K86" s="798"/>
      <c r="L86" s="798"/>
    </row>
    <row r="87" spans="1:12" s="967" customFormat="1">
      <c r="A87" s="2341"/>
      <c r="D87" s="2342"/>
      <c r="K87" s="798"/>
      <c r="L87" s="798"/>
    </row>
    <row r="88" spans="1:12" s="967" customFormat="1">
      <c r="A88" s="2341"/>
      <c r="D88" s="2342"/>
      <c r="K88" s="798"/>
      <c r="L88" s="798"/>
    </row>
    <row r="89" spans="1:12" s="967" customFormat="1">
      <c r="A89" s="2341"/>
      <c r="D89" s="2342"/>
      <c r="K89" s="798"/>
      <c r="L89" s="798"/>
    </row>
    <row r="90" spans="1:12" s="967" customFormat="1">
      <c r="A90" s="2341"/>
      <c r="D90" s="2342"/>
      <c r="K90" s="798"/>
      <c r="L90" s="798"/>
    </row>
    <row r="91" spans="1:12" s="967" customFormat="1">
      <c r="A91" s="2341"/>
      <c r="D91" s="2342"/>
      <c r="K91" s="798"/>
      <c r="L91" s="798"/>
    </row>
    <row r="92" spans="1:12" s="967" customFormat="1">
      <c r="A92" s="2341"/>
      <c r="D92" s="2342"/>
      <c r="K92" s="798"/>
      <c r="L92" s="798"/>
    </row>
    <row r="93" spans="1:12" s="967" customFormat="1">
      <c r="A93" s="2341"/>
      <c r="D93" s="2342"/>
      <c r="K93" s="798"/>
      <c r="L93" s="798"/>
    </row>
    <row r="94" spans="1:12" s="967" customFormat="1">
      <c r="A94" s="2341"/>
      <c r="D94" s="2342"/>
      <c r="K94" s="798"/>
      <c r="L94" s="798"/>
    </row>
    <row r="95" spans="1:12" s="967" customFormat="1">
      <c r="A95" s="2341"/>
      <c r="D95" s="2342"/>
      <c r="K95" s="798"/>
      <c r="L95" s="798"/>
    </row>
    <row r="96" spans="1:12" s="967" customFormat="1">
      <c r="A96" s="2341"/>
      <c r="D96" s="2342"/>
      <c r="K96" s="798"/>
      <c r="L96" s="798"/>
    </row>
    <row r="97" spans="1:12" s="967" customFormat="1">
      <c r="A97" s="2341"/>
      <c r="D97" s="2342"/>
      <c r="K97" s="798"/>
      <c r="L97" s="798"/>
    </row>
    <row r="98" spans="1:12" s="967" customFormat="1">
      <c r="A98" s="2341"/>
      <c r="D98" s="2342"/>
      <c r="K98" s="798"/>
      <c r="L98" s="798"/>
    </row>
    <row r="99" spans="1:12" s="967" customFormat="1">
      <c r="A99" s="2341"/>
      <c r="D99" s="2342"/>
      <c r="K99" s="798"/>
      <c r="L99" s="798"/>
    </row>
    <row r="100" spans="1:12" s="967" customFormat="1">
      <c r="A100" s="2341"/>
      <c r="D100" s="2342"/>
      <c r="K100" s="798"/>
      <c r="L100" s="798"/>
    </row>
    <row r="101" spans="1:12" s="967" customFormat="1">
      <c r="A101" s="2341"/>
      <c r="D101" s="2342"/>
      <c r="K101" s="798"/>
      <c r="L101" s="798"/>
    </row>
    <row r="102" spans="1:12" s="967" customFormat="1">
      <c r="A102" s="2341"/>
      <c r="D102" s="2342"/>
      <c r="K102" s="798"/>
      <c r="L102" s="798"/>
    </row>
    <row r="103" spans="1:12" s="967" customFormat="1">
      <c r="A103" s="2341"/>
      <c r="D103" s="2342"/>
      <c r="K103" s="798"/>
      <c r="L103" s="798"/>
    </row>
    <row r="104" spans="1:12" s="967" customFormat="1">
      <c r="A104" s="2341"/>
      <c r="D104" s="2342"/>
      <c r="K104" s="798"/>
      <c r="L104" s="798"/>
    </row>
    <row r="105" spans="1:12" s="967" customFormat="1">
      <c r="A105" s="2341"/>
      <c r="D105" s="2342"/>
      <c r="K105" s="798"/>
      <c r="L105" s="798"/>
    </row>
    <row r="106" spans="1:12" s="967" customFormat="1">
      <c r="A106" s="2341"/>
      <c r="D106" s="2342"/>
      <c r="K106" s="798"/>
      <c r="L106" s="798"/>
    </row>
    <row r="107" spans="1:12" s="967" customFormat="1">
      <c r="A107" s="2341"/>
      <c r="D107" s="2342"/>
      <c r="K107" s="798"/>
      <c r="L107" s="798"/>
    </row>
    <row r="108" spans="1:12" s="967" customFormat="1">
      <c r="A108" s="2341"/>
      <c r="D108" s="2342"/>
      <c r="K108" s="798"/>
      <c r="L108" s="798"/>
    </row>
    <row r="109" spans="1:12" s="967" customFormat="1">
      <c r="A109" s="2341"/>
      <c r="D109" s="2342"/>
      <c r="K109" s="798"/>
      <c r="L109" s="798"/>
    </row>
    <row r="110" spans="1:12" s="967" customFormat="1">
      <c r="A110" s="2341"/>
      <c r="D110" s="2342"/>
      <c r="K110" s="798"/>
      <c r="L110" s="798"/>
    </row>
    <row r="111" spans="1:12" s="967" customFormat="1">
      <c r="A111" s="2341"/>
      <c r="D111" s="2342"/>
      <c r="K111" s="798"/>
      <c r="L111" s="798"/>
    </row>
    <row r="112" spans="1:12" s="967" customFormat="1">
      <c r="A112" s="2341"/>
      <c r="D112" s="2342"/>
      <c r="K112" s="798"/>
      <c r="L112" s="798"/>
    </row>
    <row r="113" spans="1:12" s="967" customFormat="1">
      <c r="A113" s="2341"/>
      <c r="D113" s="2342"/>
      <c r="K113" s="798"/>
      <c r="L113" s="798"/>
    </row>
    <row r="114" spans="1:12" s="967" customFormat="1">
      <c r="A114" s="2341"/>
      <c r="D114" s="2342"/>
      <c r="K114" s="798"/>
      <c r="L114" s="798"/>
    </row>
    <row r="115" spans="1:12" s="967" customFormat="1">
      <c r="A115" s="2341"/>
      <c r="D115" s="2342"/>
      <c r="K115" s="798"/>
      <c r="L115" s="798"/>
    </row>
    <row r="116" spans="1:12" s="967" customFormat="1">
      <c r="A116" s="2341"/>
      <c r="D116" s="2342"/>
      <c r="K116" s="798"/>
      <c r="L116" s="798"/>
    </row>
    <row r="117" spans="1:12" s="967" customFormat="1">
      <c r="A117" s="2341"/>
      <c r="D117" s="2342"/>
      <c r="K117" s="798"/>
      <c r="L117" s="798"/>
    </row>
    <row r="118" spans="1:12" s="967" customFormat="1">
      <c r="A118" s="2341"/>
      <c r="D118" s="2342"/>
      <c r="K118" s="798"/>
      <c r="L118" s="798"/>
    </row>
    <row r="119" spans="1:12" s="967" customFormat="1">
      <c r="A119" s="2341"/>
      <c r="D119" s="2342"/>
      <c r="K119" s="798"/>
      <c r="L119" s="798"/>
    </row>
    <row r="120" spans="1:12" s="967" customFormat="1">
      <c r="A120" s="2341"/>
      <c r="D120" s="2342"/>
      <c r="K120" s="798"/>
      <c r="L120" s="798"/>
    </row>
    <row r="121" spans="1:12" s="967" customFormat="1">
      <c r="A121" s="2341"/>
      <c r="D121" s="2342"/>
      <c r="K121" s="798"/>
      <c r="L121" s="798"/>
    </row>
    <row r="122" spans="1:12" s="967" customFormat="1">
      <c r="A122" s="2341"/>
      <c r="D122" s="2342"/>
      <c r="K122" s="798"/>
      <c r="L122" s="798"/>
    </row>
    <row r="123" spans="1:12" s="967" customFormat="1">
      <c r="A123" s="2341"/>
      <c r="D123" s="2342"/>
      <c r="K123" s="798"/>
      <c r="L123" s="798"/>
    </row>
    <row r="124" spans="1:12" s="967" customFormat="1">
      <c r="A124" s="2341"/>
      <c r="D124" s="2342"/>
      <c r="K124" s="798"/>
      <c r="L124" s="798"/>
    </row>
    <row r="125" spans="1:12" s="967" customFormat="1">
      <c r="A125" s="2341"/>
      <c r="D125" s="2342"/>
      <c r="K125" s="798"/>
      <c r="L125" s="798"/>
    </row>
    <row r="126" spans="1:12" s="967" customFormat="1">
      <c r="A126" s="2341"/>
      <c r="D126" s="2342"/>
      <c r="K126" s="798"/>
      <c r="L126" s="798"/>
    </row>
    <row r="127" spans="1:12" s="967" customFormat="1">
      <c r="A127" s="2341"/>
      <c r="D127" s="2342"/>
      <c r="K127" s="798"/>
      <c r="L127" s="798"/>
    </row>
    <row r="128" spans="1:12" s="967" customFormat="1">
      <c r="A128" s="2341"/>
      <c r="D128" s="2342"/>
      <c r="K128" s="798"/>
      <c r="L128" s="798"/>
    </row>
    <row r="129" spans="1:12" s="967" customFormat="1">
      <c r="A129" s="2341"/>
      <c r="D129" s="2342"/>
      <c r="K129" s="798"/>
      <c r="L129" s="798"/>
    </row>
    <row r="130" spans="1:12" s="967" customFormat="1">
      <c r="A130" s="2341"/>
      <c r="D130" s="2342"/>
      <c r="K130" s="798"/>
      <c r="L130" s="798"/>
    </row>
    <row r="131" spans="1:12" s="967" customFormat="1">
      <c r="A131" s="2341"/>
      <c r="D131" s="2342"/>
      <c r="K131" s="798"/>
      <c r="L131" s="798"/>
    </row>
    <row r="132" spans="1:12" s="967" customFormat="1">
      <c r="A132" s="2341"/>
      <c r="D132" s="2342"/>
      <c r="K132" s="798"/>
      <c r="L132" s="798"/>
    </row>
    <row r="133" spans="1:12" s="967" customFormat="1">
      <c r="A133" s="2341"/>
      <c r="D133" s="2342"/>
      <c r="K133" s="798"/>
      <c r="L133" s="798"/>
    </row>
    <row r="134" spans="1:12" s="2274" customFormat="1">
      <c r="A134" s="2343"/>
      <c r="D134" s="2344"/>
      <c r="K134" s="27"/>
      <c r="L134" s="27"/>
    </row>
    <row r="135" spans="1:12" s="2274" customFormat="1">
      <c r="A135" s="2343"/>
      <c r="D135" s="2344"/>
      <c r="K135" s="27"/>
      <c r="L135" s="27"/>
    </row>
    <row r="136" spans="1:12" s="2274" customFormat="1">
      <c r="A136" s="2343"/>
      <c r="D136" s="2344"/>
      <c r="K136" s="27"/>
      <c r="L136" s="27"/>
    </row>
    <row r="137" spans="1:12" s="2274" customFormat="1">
      <c r="A137" s="2343"/>
      <c r="D137" s="2344"/>
      <c r="K137" s="27"/>
      <c r="L137" s="27"/>
    </row>
    <row r="138" spans="1:12" s="2274" customFormat="1">
      <c r="A138" s="2343"/>
      <c r="D138" s="2344"/>
      <c r="K138" s="27"/>
      <c r="L138" s="27"/>
    </row>
    <row r="139" spans="1:12" s="2274" customFormat="1">
      <c r="A139" s="2343"/>
      <c r="D139" s="2344"/>
      <c r="K139" s="27"/>
      <c r="L139" s="27"/>
    </row>
    <row r="140" spans="1:12" s="2274" customFormat="1">
      <c r="A140" s="2343"/>
      <c r="D140" s="2344"/>
      <c r="K140" s="27"/>
      <c r="L140" s="27"/>
    </row>
    <row r="141" spans="1:12" s="2274" customFormat="1">
      <c r="A141" s="2343"/>
      <c r="D141" s="2344"/>
      <c r="K141" s="27"/>
      <c r="L141" s="27"/>
    </row>
    <row r="142" spans="1:12" s="2274" customFormat="1">
      <c r="A142" s="2343"/>
      <c r="D142" s="2344"/>
      <c r="K142" s="27"/>
      <c r="L142" s="27"/>
    </row>
    <row r="143" spans="1:12" s="2274" customFormat="1">
      <c r="A143" s="2343"/>
      <c r="D143" s="2344"/>
      <c r="K143" s="27"/>
      <c r="L143" s="27"/>
    </row>
    <row r="144" spans="1:12" s="2274" customFormat="1">
      <c r="A144" s="2343"/>
      <c r="D144" s="2344"/>
      <c r="K144" s="27"/>
      <c r="L144" s="27"/>
    </row>
    <row r="145" spans="1:12" s="2274" customFormat="1">
      <c r="A145" s="2343"/>
      <c r="D145" s="2344"/>
      <c r="K145" s="27"/>
      <c r="L145" s="27"/>
    </row>
    <row r="146" spans="1:12" s="2274" customFormat="1">
      <c r="A146" s="2343"/>
      <c r="D146" s="2344"/>
      <c r="K146" s="27"/>
      <c r="L146" s="27"/>
    </row>
    <row r="147" spans="1:12" s="2274" customFormat="1">
      <c r="A147" s="2343"/>
      <c r="D147" s="2344"/>
      <c r="K147" s="27"/>
      <c r="L147" s="27"/>
    </row>
    <row r="148" spans="1:12" s="2274" customFormat="1">
      <c r="A148" s="2343"/>
      <c r="D148" s="2344"/>
      <c r="K148" s="27"/>
      <c r="L148" s="27"/>
    </row>
    <row r="149" spans="1:12" s="2274" customFormat="1">
      <c r="A149" s="2343"/>
      <c r="D149" s="2344"/>
      <c r="K149" s="27"/>
      <c r="L149" s="27"/>
    </row>
    <row r="150" spans="1:12" s="2274" customFormat="1">
      <c r="A150" s="2343"/>
      <c r="D150" s="2344"/>
      <c r="K150" s="27"/>
      <c r="L150" s="27"/>
    </row>
    <row r="151" spans="1:12" s="2274" customFormat="1">
      <c r="A151" s="2343"/>
      <c r="D151" s="2344"/>
      <c r="K151" s="27"/>
      <c r="L151" s="27"/>
    </row>
    <row r="152" spans="1:12" s="2274" customFormat="1">
      <c r="A152" s="2343"/>
      <c r="D152" s="2344"/>
      <c r="K152" s="27"/>
      <c r="L152" s="27"/>
    </row>
    <row r="153" spans="1:12" s="2274" customFormat="1">
      <c r="A153" s="2343"/>
      <c r="D153" s="2344"/>
      <c r="K153" s="27"/>
      <c r="L153" s="27"/>
    </row>
    <row r="154" spans="1:12" s="2274" customFormat="1">
      <c r="A154" s="2343"/>
      <c r="D154" s="2344"/>
      <c r="K154" s="27"/>
      <c r="L154" s="27"/>
    </row>
    <row r="155" spans="1:12" s="2274" customFormat="1">
      <c r="A155" s="2343"/>
      <c r="D155" s="2344"/>
      <c r="K155" s="27"/>
      <c r="L155" s="27"/>
    </row>
    <row r="156" spans="1:12" s="2274" customFormat="1">
      <c r="A156" s="2343"/>
      <c r="D156" s="2344"/>
      <c r="K156" s="27"/>
      <c r="L156" s="27"/>
    </row>
    <row r="157" spans="1:12" s="2274" customFormat="1">
      <c r="A157" s="2343"/>
      <c r="D157" s="2344"/>
      <c r="K157" s="27"/>
      <c r="L157" s="27"/>
    </row>
    <row r="158" spans="1:12" s="2274" customFormat="1">
      <c r="A158" s="2343"/>
      <c r="D158" s="2344"/>
      <c r="K158" s="27"/>
      <c r="L158" s="27"/>
    </row>
    <row r="159" spans="1:12" s="2274" customFormat="1">
      <c r="A159" s="2343"/>
      <c r="D159" s="2344"/>
      <c r="K159" s="27"/>
      <c r="L159" s="27"/>
    </row>
    <row r="160" spans="1:12" s="2274" customFormat="1">
      <c r="A160" s="2343"/>
      <c r="D160" s="2344"/>
      <c r="K160" s="27"/>
      <c r="L160" s="27"/>
    </row>
    <row r="161" spans="1:12" s="2274" customFormat="1">
      <c r="A161" s="2343"/>
      <c r="D161" s="2344"/>
      <c r="K161" s="27"/>
      <c r="L161" s="27"/>
    </row>
    <row r="162" spans="1:12" s="2274" customFormat="1">
      <c r="A162" s="2343"/>
      <c r="D162" s="2344"/>
      <c r="K162" s="27"/>
      <c r="L162" s="27"/>
    </row>
    <row r="163" spans="1:12" s="2274" customFormat="1">
      <c r="A163" s="2343"/>
      <c r="D163" s="2344"/>
      <c r="K163" s="27"/>
      <c r="L163" s="27"/>
    </row>
    <row r="164" spans="1:12" s="2274" customFormat="1">
      <c r="A164" s="2343"/>
      <c r="D164" s="2344"/>
      <c r="K164" s="27"/>
      <c r="L164" s="27"/>
    </row>
    <row r="165" spans="1:12" s="2274" customFormat="1">
      <c r="A165" s="2343"/>
      <c r="D165" s="2344"/>
      <c r="K165" s="27"/>
      <c r="L165" s="27"/>
    </row>
    <row r="166" spans="1:12" s="2274" customFormat="1">
      <c r="A166" s="2343"/>
      <c r="D166" s="2344"/>
      <c r="K166" s="27"/>
      <c r="L166" s="27"/>
    </row>
    <row r="167" spans="1:12" s="2274" customFormat="1">
      <c r="A167" s="2343"/>
      <c r="D167" s="2344"/>
      <c r="K167" s="27"/>
      <c r="L167" s="27"/>
    </row>
    <row r="168" spans="1:12" s="2274" customFormat="1">
      <c r="A168" s="2343"/>
      <c r="D168" s="2344"/>
      <c r="K168" s="27"/>
      <c r="L168" s="27"/>
    </row>
    <row r="169" spans="1:12" s="2274" customFormat="1">
      <c r="A169" s="2343"/>
      <c r="D169" s="2344"/>
      <c r="K169" s="27"/>
      <c r="L169" s="27"/>
    </row>
    <row r="170" spans="1:12" s="2274" customFormat="1">
      <c r="A170" s="2343"/>
      <c r="D170" s="2344"/>
      <c r="K170" s="27"/>
      <c r="L170" s="27"/>
    </row>
    <row r="171" spans="1:12" s="2274" customFormat="1">
      <c r="A171" s="2343"/>
      <c r="D171" s="2344"/>
      <c r="K171" s="27"/>
      <c r="L171" s="27"/>
    </row>
    <row r="172" spans="1:12" s="2274" customFormat="1">
      <c r="A172" s="2343"/>
      <c r="D172" s="2344"/>
      <c r="K172" s="27"/>
      <c r="L172" s="27"/>
    </row>
    <row r="173" spans="1:12" s="2274" customFormat="1">
      <c r="A173" s="2343"/>
      <c r="D173" s="2344"/>
      <c r="K173" s="27"/>
      <c r="L173" s="27"/>
    </row>
    <row r="174" spans="1:12" s="2274" customFormat="1">
      <c r="A174" s="2343"/>
      <c r="D174" s="234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0"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2369" customWidth="1"/>
    <col min="2" max="2" width="24.5" style="2417" customWidth="1"/>
    <col min="3" max="3" width="24.5" style="2416" customWidth="1"/>
    <col min="4" max="4" width="2.625" style="2416" customWidth="1"/>
    <col min="5" max="5" width="5.875" style="2416" customWidth="1"/>
    <col min="6" max="6" width="27" style="2417" customWidth="1"/>
    <col min="7" max="7" width="27" style="2418" customWidth="1"/>
    <col min="8" max="8" width="11.875" style="2396" customWidth="1"/>
    <col min="9" max="9" width="16.75" style="2397" customWidth="1"/>
    <col min="10" max="10" width="2.625" style="2396" customWidth="1"/>
    <col min="11" max="11" width="11.875" style="2396" customWidth="1"/>
    <col min="12" max="12" width="16.75" style="2397" customWidth="1"/>
    <col min="13" max="13" width="2.625" style="2396" customWidth="1"/>
    <col min="14" max="14" width="11.875" style="2396" customWidth="1"/>
    <col min="15" max="15" width="16.75" style="2397" customWidth="1"/>
    <col min="16" max="16" width="2.625" style="2396" customWidth="1"/>
    <col min="17" max="17" width="11.875" style="2396" customWidth="1"/>
    <col min="18" max="18" width="16.75" style="2398" customWidth="1"/>
    <col min="19" max="29" width="9" style="2368"/>
    <col min="30" max="16384" width="9" style="2369"/>
  </cols>
  <sheetData>
    <row r="1" spans="1:29" s="2362" customFormat="1" ht="19.5" thickBot="1">
      <c r="A1" s="3084" t="s">
        <v>2074</v>
      </c>
      <c r="B1" s="3085"/>
      <c r="C1" s="3085"/>
      <c r="D1" s="3085"/>
      <c r="E1" s="3085"/>
      <c r="F1" s="3085"/>
      <c r="G1" s="3085"/>
      <c r="H1" s="2357"/>
      <c r="I1" s="2358"/>
      <c r="J1" s="2357"/>
      <c r="K1" s="2357"/>
      <c r="L1" s="2358"/>
      <c r="M1" s="2357"/>
      <c r="N1" s="2357"/>
      <c r="O1" s="2358"/>
      <c r="P1" s="2357"/>
      <c r="Q1" s="2359"/>
      <c r="R1" s="2360"/>
      <c r="S1" s="2361"/>
      <c r="T1" s="2361"/>
      <c r="U1" s="2361"/>
      <c r="V1" s="2361"/>
      <c r="W1" s="2361"/>
      <c r="X1" s="2361"/>
      <c r="Y1" s="2361"/>
      <c r="Z1" s="2361"/>
      <c r="AA1" s="2361"/>
      <c r="AB1" s="2361"/>
      <c r="AC1" s="2361"/>
    </row>
    <row r="2" spans="1:29" ht="15.75" thickBot="1">
      <c r="A2" s="2363"/>
      <c r="B2" s="2364"/>
      <c r="C2" s="2365" t="s">
        <v>2075</v>
      </c>
      <c r="D2" s="2366"/>
      <c r="E2" s="2367"/>
      <c r="F2" s="2286"/>
      <c r="G2" s="2365" t="s">
        <v>2076</v>
      </c>
      <c r="H2" s="2368"/>
      <c r="I2" s="2368"/>
      <c r="J2" s="2368"/>
      <c r="K2" s="2368"/>
      <c r="L2" s="2368"/>
      <c r="M2" s="2368"/>
      <c r="N2" s="2368"/>
      <c r="O2" s="2368"/>
      <c r="P2" s="2368"/>
      <c r="Q2" s="2368"/>
      <c r="R2" s="2368"/>
    </row>
    <row r="3" spans="1:29" ht="54">
      <c r="A3" s="415" t="s">
        <v>2077</v>
      </c>
      <c r="B3" s="1271" t="s">
        <v>2078</v>
      </c>
      <c r="C3" s="2370" t="s">
        <v>2079</v>
      </c>
      <c r="D3" s="2371"/>
      <c r="E3" s="431" t="s">
        <v>2077</v>
      </c>
      <c r="F3" s="2372" t="s">
        <v>2080</v>
      </c>
      <c r="G3" s="2373" t="s">
        <v>2081</v>
      </c>
      <c r="H3" s="2368"/>
      <c r="I3" s="2368"/>
      <c r="J3" s="2368"/>
      <c r="K3" s="2368"/>
      <c r="L3" s="2368"/>
      <c r="M3" s="2368"/>
      <c r="N3" s="2368"/>
      <c r="O3" s="2368"/>
      <c r="P3" s="2368"/>
      <c r="Q3" s="2368"/>
      <c r="R3" s="2368"/>
    </row>
    <row r="4" spans="1:29" ht="41.25">
      <c r="A4" s="431"/>
      <c r="B4" s="1798" t="s">
        <v>2082</v>
      </c>
      <c r="C4" s="2374" t="s">
        <v>2083</v>
      </c>
      <c r="D4" s="2371"/>
      <c r="E4" s="2375"/>
      <c r="F4" s="42" t="s">
        <v>2084</v>
      </c>
      <c r="G4" s="2376" t="s">
        <v>2085</v>
      </c>
      <c r="H4" s="2368"/>
      <c r="I4" s="2368"/>
      <c r="J4" s="2368"/>
      <c r="K4" s="2368"/>
      <c r="L4" s="2368"/>
      <c r="M4" s="2368"/>
      <c r="N4" s="2368"/>
      <c r="O4" s="2368"/>
      <c r="P4" s="2368"/>
      <c r="Q4" s="2368"/>
      <c r="R4" s="2368"/>
    </row>
    <row r="5" spans="1:29" ht="41.25">
      <c r="A5" s="431"/>
      <c r="B5" s="1798" t="s">
        <v>2086</v>
      </c>
      <c r="C5" s="2374" t="s">
        <v>2087</v>
      </c>
      <c r="D5" s="2371"/>
      <c r="E5" s="2375"/>
      <c r="F5" s="1798" t="s">
        <v>2088</v>
      </c>
      <c r="G5" s="2376" t="s">
        <v>2089</v>
      </c>
      <c r="H5" s="2368"/>
      <c r="I5" s="2368"/>
      <c r="J5" s="2368"/>
      <c r="K5" s="2368"/>
      <c r="L5" s="2368"/>
      <c r="M5" s="2368"/>
      <c r="N5" s="2368"/>
      <c r="O5" s="2368"/>
      <c r="P5" s="2368"/>
      <c r="Q5" s="2368"/>
      <c r="R5" s="2368"/>
    </row>
    <row r="6" spans="1:29" ht="54">
      <c r="A6" s="431"/>
      <c r="B6" s="1798" t="s">
        <v>2090</v>
      </c>
      <c r="C6" s="2376" t="s">
        <v>2085</v>
      </c>
      <c r="D6" s="2371"/>
      <c r="E6" s="2375"/>
      <c r="F6" s="1798" t="s">
        <v>2091</v>
      </c>
      <c r="G6" s="2376" t="s">
        <v>2092</v>
      </c>
      <c r="H6" s="2368"/>
      <c r="I6" s="2368"/>
      <c r="J6" s="2368"/>
      <c r="K6" s="2368"/>
      <c r="L6" s="2368"/>
      <c r="M6" s="2368"/>
      <c r="N6" s="2368"/>
      <c r="O6" s="2368"/>
      <c r="P6" s="2368"/>
      <c r="Q6" s="2368"/>
      <c r="R6" s="2368"/>
    </row>
    <row r="7" spans="1:29" ht="41.25" thickBot="1">
      <c r="A7" s="431"/>
      <c r="B7" s="1798" t="s">
        <v>2088</v>
      </c>
      <c r="C7" s="2376" t="s">
        <v>2089</v>
      </c>
      <c r="D7" s="2377"/>
      <c r="E7" s="2378"/>
      <c r="F7" s="2379" t="s">
        <v>2093</v>
      </c>
      <c r="G7" s="2380" t="s">
        <v>2094</v>
      </c>
      <c r="H7" s="2368"/>
      <c r="I7" s="2368"/>
      <c r="J7" s="2368"/>
      <c r="K7" s="2368"/>
      <c r="L7" s="2368"/>
      <c r="M7" s="2368"/>
      <c r="N7" s="2368"/>
      <c r="O7" s="2368"/>
      <c r="P7" s="2368"/>
      <c r="Q7" s="2368"/>
      <c r="R7" s="2368"/>
    </row>
    <row r="8" spans="1:29" ht="27">
      <c r="A8" s="431"/>
      <c r="B8" s="1798" t="s">
        <v>2091</v>
      </c>
      <c r="C8" s="2376" t="s">
        <v>2092</v>
      </c>
      <c r="D8" s="2377"/>
      <c r="E8" s="2377"/>
      <c r="F8" s="1136"/>
      <c r="G8" s="1136"/>
      <c r="H8" s="2368"/>
      <c r="I8" s="2368"/>
      <c r="J8" s="2368"/>
      <c r="K8" s="2368"/>
      <c r="L8" s="2368"/>
      <c r="M8" s="2368"/>
      <c r="N8" s="2368"/>
      <c r="O8" s="2368"/>
      <c r="P8" s="2368"/>
      <c r="Q8" s="2368"/>
      <c r="R8" s="2368"/>
    </row>
    <row r="9" spans="1:29" ht="27">
      <c r="A9" s="431"/>
      <c r="B9" s="1798" t="s">
        <v>2095</v>
      </c>
      <c r="C9" s="2374" t="s">
        <v>2096</v>
      </c>
      <c r="D9" s="2371"/>
      <c r="E9" s="2377"/>
      <c r="F9" s="1136"/>
      <c r="G9" s="1136"/>
      <c r="H9" s="2368"/>
      <c r="I9" s="2368"/>
      <c r="J9" s="2368"/>
      <c r="K9" s="2368"/>
      <c r="L9" s="2368"/>
      <c r="M9" s="2368"/>
      <c r="N9" s="2368"/>
      <c r="O9" s="2368"/>
      <c r="P9" s="2368"/>
      <c r="Q9" s="2368"/>
      <c r="R9" s="2368"/>
    </row>
    <row r="10" spans="1:29" s="117" customFormat="1" ht="15.75" thickBot="1">
      <c r="A10" s="2381"/>
      <c r="B10" s="2382" t="s">
        <v>2097</v>
      </c>
      <c r="C10" s="2383"/>
      <c r="D10" s="2371"/>
      <c r="E10" s="2371"/>
      <c r="F10" s="1136"/>
      <c r="G10" s="1136"/>
      <c r="H10" s="2384"/>
      <c r="I10" s="2385"/>
      <c r="J10" s="2386"/>
      <c r="K10" s="2384"/>
      <c r="L10" s="2385"/>
      <c r="M10" s="2386"/>
      <c r="N10" s="2384"/>
      <c r="O10" s="2385"/>
      <c r="P10" s="2386"/>
      <c r="Q10" s="2384"/>
      <c r="R10" s="2385"/>
      <c r="S10" s="2368"/>
      <c r="T10" s="2368"/>
      <c r="U10" s="2368"/>
      <c r="V10" s="2368"/>
      <c r="W10" s="2368"/>
      <c r="X10" s="2368"/>
      <c r="Y10" s="2368"/>
      <c r="Z10" s="2368"/>
      <c r="AA10" s="2368"/>
      <c r="AB10" s="2368"/>
      <c r="AC10" s="2368"/>
    </row>
    <row r="11" spans="1:29" s="117" customFormat="1" ht="15">
      <c r="A11" s="2387"/>
      <c r="B11" s="2377"/>
      <c r="C11" s="2371"/>
      <c r="D11" s="2371"/>
      <c r="E11" s="2371"/>
      <c r="F11" s="2377"/>
      <c r="G11" s="1154"/>
      <c r="H11" s="2384"/>
      <c r="I11" s="2385"/>
      <c r="J11" s="2386"/>
      <c r="K11" s="2384"/>
      <c r="L11" s="2385"/>
      <c r="M11" s="2386"/>
      <c r="N11" s="2384"/>
      <c r="O11" s="2385"/>
      <c r="P11" s="2386"/>
      <c r="Q11" s="2384"/>
      <c r="R11" s="2385"/>
      <c r="S11" s="2368"/>
      <c r="T11" s="2368"/>
      <c r="U11" s="2368"/>
      <c r="V11" s="2368"/>
      <c r="W11" s="2368"/>
      <c r="X11" s="2368"/>
      <c r="Y11" s="2368"/>
      <c r="Z11" s="2368"/>
      <c r="AA11" s="2368"/>
      <c r="AB11" s="2368"/>
      <c r="AC11" s="2368"/>
    </row>
    <row r="12" spans="1:29" s="2362" customFormat="1" ht="18">
      <c r="A12" s="2387"/>
      <c r="B12" s="2377"/>
      <c r="C12" s="2371"/>
      <c r="D12" s="2388"/>
      <c r="E12" s="2371"/>
      <c r="F12" s="2377"/>
      <c r="G12" s="1154"/>
      <c r="H12" s="2389"/>
      <c r="I12" s="2390"/>
      <c r="J12" s="2389"/>
      <c r="K12" s="2389"/>
      <c r="L12" s="2391"/>
      <c r="M12" s="2389"/>
      <c r="N12" s="2392"/>
      <c r="O12" s="2393"/>
      <c r="P12" s="2392"/>
      <c r="Q12" s="2392"/>
      <c r="R12" s="2360"/>
      <c r="S12" s="2361"/>
      <c r="T12" s="2361"/>
      <c r="U12" s="2361"/>
      <c r="V12" s="2361"/>
      <c r="W12" s="2361"/>
      <c r="X12" s="2361"/>
      <c r="Y12" s="2361"/>
      <c r="Z12" s="2361"/>
      <c r="AA12" s="2361"/>
      <c r="AB12" s="2361"/>
      <c r="AC12" s="2361"/>
    </row>
    <row r="13" spans="1:29" ht="19.5" thickBot="1">
      <c r="A13" s="2394" t="s">
        <v>2098</v>
      </c>
      <c r="B13" s="2388"/>
      <c r="C13" s="2388"/>
      <c r="D13" s="2395"/>
      <c r="E13" s="2388"/>
      <c r="F13" s="2388"/>
      <c r="G13" s="2388"/>
    </row>
    <row r="14" spans="1:29" ht="15.75" thickBot="1">
      <c r="A14" s="2399"/>
      <c r="B14" s="2400"/>
      <c r="C14" s="2401" t="s">
        <v>2099</v>
      </c>
      <c r="D14" s="2371"/>
      <c r="E14" s="2402"/>
      <c r="F14" s="2402"/>
      <c r="G14" s="2365" t="s">
        <v>2100</v>
      </c>
    </row>
    <row r="15" spans="1:29" ht="57">
      <c r="A15" s="68" t="s">
        <v>2101</v>
      </c>
      <c r="B15" s="1270" t="s">
        <v>2078</v>
      </c>
      <c r="C15" s="2403" t="str">
        <f>C3</f>
        <v>估价对象周边居住用地比例、居住小区规模和社区发展完善程度，综合评价居住社区成熟度一般</v>
      </c>
      <c r="D15" s="2371"/>
      <c r="E15" s="2404" t="s">
        <v>2102</v>
      </c>
      <c r="F15" s="1270" t="s">
        <v>2103</v>
      </c>
      <c r="G15" s="135" t="str">
        <f>G3</f>
        <v>估价对象位于XX开发区，园区建设成熟度XX，产业集聚程度XX</v>
      </c>
    </row>
    <row r="16" spans="1:29" ht="42.75">
      <c r="A16" s="645"/>
      <c r="B16" s="2405" t="s">
        <v>2082</v>
      </c>
      <c r="C16" s="2406" t="str">
        <f>C4</f>
        <v>估价对象位于XX商圈，周边商业氛围成熟，人流量大，商业繁华度好</v>
      </c>
      <c r="D16" s="2371"/>
      <c r="E16" s="2407"/>
      <c r="F16" s="2408" t="s">
        <v>2084</v>
      </c>
      <c r="G16" s="136" t="str">
        <f>G4</f>
        <v>估价对象周边道路状况、公共交通通达情况、停车便捷程度，综合评价交通便捷度较好</v>
      </c>
    </row>
    <row r="17" spans="1:18" ht="42.75">
      <c r="A17" s="645"/>
      <c r="B17" s="2405" t="s">
        <v>2086</v>
      </c>
      <c r="C17" s="2406" t="str">
        <f>C5</f>
        <v>估价对象位于XX商圈，周边办公楼项目较多，入驻率高，办公集聚程度较好</v>
      </c>
      <c r="D17" s="2377"/>
      <c r="E17" s="2407"/>
      <c r="F17" s="2408" t="s">
        <v>2104</v>
      </c>
      <c r="G17" s="1572"/>
    </row>
    <row r="18" spans="1:18" ht="57">
      <c r="A18" s="645"/>
      <c r="B18" s="2408" t="s">
        <v>2090</v>
      </c>
      <c r="C18" s="136" t="str">
        <f>C6</f>
        <v>估价对象周边道路状况、公共交通通达情况、停车便捷程度，综合评价交通便捷度较好</v>
      </c>
      <c r="D18" s="2377"/>
      <c r="E18" s="2407"/>
      <c r="F18" s="2408" t="s">
        <v>2093</v>
      </c>
      <c r="G18" s="136" t="str">
        <f>G7</f>
        <v>该园区内是否有污染型企业，绿化情况，卫生条件，整体环境状况判断</v>
      </c>
    </row>
    <row r="19" spans="1:18" ht="28.5">
      <c r="A19" s="645"/>
      <c r="B19" s="2408" t="s">
        <v>2105</v>
      </c>
      <c r="C19" s="1572"/>
      <c r="D19" s="2371"/>
      <c r="E19" s="2407"/>
      <c r="F19" s="1798" t="s">
        <v>2088</v>
      </c>
      <c r="G19" s="136" t="str">
        <f>G5</f>
        <v>估价对象所在区域公共配套设施齐备情况</v>
      </c>
    </row>
    <row r="20" spans="1:18" ht="28.5">
      <c r="A20" s="645"/>
      <c r="B20" s="2408" t="s">
        <v>2106</v>
      </c>
      <c r="C20" s="2406" t="str">
        <f>C9</f>
        <v>区域自然环境：；人文环境；综合评价环境状况一般</v>
      </c>
      <c r="D20" s="2377"/>
      <c r="E20" s="2407"/>
      <c r="F20" s="1798" t="s">
        <v>2107</v>
      </c>
      <c r="G20" s="136" t="str">
        <f>G6</f>
        <v>估价对象所在区域基础设施水平</v>
      </c>
    </row>
    <row r="21" spans="1:18" ht="28.5">
      <c r="A21" s="645"/>
      <c r="B21" s="1798" t="s">
        <v>2088</v>
      </c>
      <c r="C21" s="136" t="str">
        <f>C7</f>
        <v>估价对象所在区域公共配套设施齐备情况</v>
      </c>
      <c r="D21" s="2371"/>
      <c r="E21" s="2407"/>
      <c r="F21" s="2408" t="s">
        <v>2108</v>
      </c>
      <c r="G21" s="2409"/>
    </row>
    <row r="22" spans="1:18" ht="13.5" customHeight="1">
      <c r="A22" s="645"/>
      <c r="B22" s="1798" t="s">
        <v>2091</v>
      </c>
      <c r="C22" s="136" t="str">
        <f>C8</f>
        <v>估价对象所在区域基础设施水平</v>
      </c>
      <c r="D22" s="2371"/>
      <c r="E22" s="2407"/>
      <c r="F22" s="2408" t="s">
        <v>2097</v>
      </c>
      <c r="G22" s="1572"/>
    </row>
    <row r="23" spans="1:18" s="2368" customFormat="1" ht="15.75" thickBot="1">
      <c r="A23" s="645"/>
      <c r="B23" s="2408" t="s">
        <v>2108</v>
      </c>
      <c r="C23" s="2409"/>
      <c r="D23" s="2396"/>
      <c r="E23" s="2410"/>
      <c r="F23" s="2411" t="s">
        <v>2109</v>
      </c>
      <c r="G23" s="2412"/>
      <c r="H23" s="2396"/>
      <c r="I23" s="2397"/>
      <c r="J23" s="2396"/>
      <c r="K23" s="2396"/>
      <c r="L23" s="2397"/>
      <c r="M23" s="2396"/>
      <c r="N23" s="2396"/>
      <c r="O23" s="2397"/>
      <c r="P23" s="2396"/>
      <c r="Q23" s="2396"/>
      <c r="R23" s="2398"/>
    </row>
    <row r="24" spans="1:18" s="2368" customFormat="1" ht="15.75" thickBot="1">
      <c r="A24" s="2413"/>
      <c r="B24" s="2411" t="s">
        <v>2110</v>
      </c>
      <c r="C24" s="137">
        <f>C10</f>
        <v>0</v>
      </c>
      <c r="D24" s="2396"/>
      <c r="E24" s="2414"/>
      <c r="F24" s="2414"/>
      <c r="G24" s="2415"/>
      <c r="H24" s="2396"/>
      <c r="I24" s="2397"/>
      <c r="J24" s="2396"/>
      <c r="K24" s="2396"/>
      <c r="L24" s="2397"/>
      <c r="M24" s="2396"/>
      <c r="N24" s="2396"/>
      <c r="O24" s="2397"/>
      <c r="P24" s="2396"/>
      <c r="Q24" s="2396"/>
      <c r="R24" s="2398"/>
    </row>
    <row r="25" spans="1:18" s="2368" customFormat="1">
      <c r="B25" s="2396"/>
      <c r="C25" s="2396"/>
      <c r="D25" s="2396"/>
      <c r="H25" s="2396"/>
      <c r="I25" s="2397"/>
      <c r="J25" s="2396"/>
      <c r="K25" s="2396"/>
      <c r="L25" s="2397"/>
      <c r="M25" s="2396"/>
      <c r="N25" s="2396"/>
      <c r="O25" s="2397"/>
      <c r="P25" s="2396"/>
      <c r="Q25" s="2396"/>
      <c r="R25" s="2398"/>
    </row>
    <row r="26" spans="1:18" s="2368" customFormat="1">
      <c r="B26" s="2396"/>
      <c r="C26" s="2396"/>
      <c r="D26" s="2396"/>
      <c r="H26" s="2396"/>
      <c r="I26" s="2397"/>
      <c r="J26" s="2396"/>
      <c r="K26" s="2396"/>
      <c r="L26" s="2397"/>
      <c r="M26" s="2396"/>
      <c r="N26" s="2396"/>
      <c r="O26" s="2397"/>
      <c r="P26" s="2396"/>
      <c r="Q26" s="2396"/>
      <c r="R26" s="2398"/>
    </row>
    <row r="27" spans="1:18" s="2368" customFormat="1">
      <c r="B27" s="2396"/>
      <c r="C27" s="2396"/>
      <c r="D27" s="2396"/>
      <c r="H27" s="2396"/>
      <c r="I27" s="2397"/>
      <c r="J27" s="2396"/>
      <c r="K27" s="2396"/>
      <c r="L27" s="2397"/>
      <c r="M27" s="2396"/>
      <c r="N27" s="2396"/>
      <c r="O27" s="2397"/>
      <c r="P27" s="2396"/>
      <c r="Q27" s="2396"/>
      <c r="R27" s="2398"/>
    </row>
    <row r="28" spans="1:18" s="2368" customFormat="1">
      <c r="B28" s="2396"/>
      <c r="C28" s="2396"/>
      <c r="D28" s="2396"/>
      <c r="H28" s="2396"/>
      <c r="I28" s="2397"/>
      <c r="J28" s="2396"/>
      <c r="K28" s="2396"/>
      <c r="L28" s="2397"/>
      <c r="M28" s="2396"/>
      <c r="N28" s="2396"/>
      <c r="O28" s="2397"/>
      <c r="P28" s="2396"/>
      <c r="Q28" s="2396"/>
      <c r="R28" s="2398"/>
    </row>
    <row r="29" spans="1:18" s="2368" customFormat="1">
      <c r="B29" s="2396"/>
      <c r="C29" s="2396"/>
      <c r="D29" s="2396"/>
      <c r="H29" s="2396"/>
      <c r="I29" s="2397"/>
      <c r="J29" s="2396"/>
      <c r="K29" s="2396"/>
      <c r="L29" s="2397"/>
      <c r="M29" s="2396"/>
      <c r="N29" s="2396"/>
      <c r="O29" s="2397"/>
      <c r="P29" s="2396"/>
      <c r="Q29" s="2396"/>
      <c r="R29" s="2398"/>
    </row>
    <row r="30" spans="1:18" s="2368" customFormat="1">
      <c r="B30" s="2396"/>
      <c r="C30" s="2396"/>
      <c r="D30" s="2396"/>
      <c r="H30" s="2396"/>
      <c r="I30" s="2397"/>
      <c r="J30" s="2396"/>
      <c r="K30" s="2396"/>
      <c r="L30" s="2397"/>
      <c r="M30" s="2396"/>
      <c r="N30" s="2396"/>
      <c r="O30" s="2397"/>
      <c r="P30" s="2396"/>
      <c r="Q30" s="2396"/>
      <c r="R30" s="2398"/>
    </row>
    <row r="31" spans="1:18" s="2368" customFormat="1">
      <c r="B31" s="2396"/>
      <c r="C31" s="2396"/>
      <c r="D31" s="2396"/>
      <c r="H31" s="2396"/>
      <c r="I31" s="2397"/>
      <c r="J31" s="2396"/>
      <c r="K31" s="2396"/>
      <c r="L31" s="2397"/>
      <c r="M31" s="2396"/>
      <c r="N31" s="2396"/>
      <c r="O31" s="2397"/>
      <c r="P31" s="2396"/>
      <c r="Q31" s="2396"/>
      <c r="R31" s="2398"/>
    </row>
    <row r="32" spans="1:18" s="2368" customFormat="1">
      <c r="B32" s="2396"/>
      <c r="C32" s="2396"/>
      <c r="D32" s="2396"/>
      <c r="H32" s="2396"/>
      <c r="I32" s="2397"/>
      <c r="J32" s="2396"/>
      <c r="K32" s="2396"/>
      <c r="L32" s="2397"/>
      <c r="M32" s="2396"/>
      <c r="N32" s="2396"/>
      <c r="O32" s="2397"/>
      <c r="P32" s="2396"/>
      <c r="Q32" s="2396"/>
      <c r="R32" s="2398"/>
    </row>
    <row r="33" spans="2:18" s="2368" customFormat="1">
      <c r="B33" s="2396"/>
      <c r="C33" s="2396"/>
      <c r="D33" s="2396"/>
      <c r="H33" s="2396"/>
      <c r="I33" s="2397"/>
      <c r="J33" s="2396"/>
      <c r="K33" s="2396"/>
      <c r="L33" s="2397"/>
      <c r="M33" s="2396"/>
      <c r="N33" s="2396"/>
      <c r="O33" s="2397"/>
      <c r="P33" s="2396"/>
      <c r="Q33" s="2396"/>
      <c r="R33" s="2398"/>
    </row>
    <row r="34" spans="2:18" s="2368" customFormat="1">
      <c r="B34" s="2396"/>
      <c r="C34" s="2396"/>
      <c r="D34" s="2396"/>
      <c r="H34" s="2396"/>
      <c r="I34" s="2397"/>
      <c r="J34" s="2396"/>
      <c r="K34" s="2396"/>
      <c r="L34" s="2397"/>
      <c r="M34" s="2396"/>
      <c r="N34" s="2396"/>
      <c r="O34" s="2397"/>
      <c r="P34" s="2396"/>
      <c r="Q34" s="2396"/>
      <c r="R34" s="2398"/>
    </row>
    <row r="35" spans="2:18" s="2368" customFormat="1">
      <c r="B35" s="2396"/>
      <c r="C35" s="2396"/>
      <c r="D35" s="2396"/>
      <c r="H35" s="2396"/>
      <c r="I35" s="2397"/>
      <c r="J35" s="2396"/>
      <c r="K35" s="2396"/>
      <c r="L35" s="2397"/>
      <c r="M35" s="2396"/>
      <c r="N35" s="2396"/>
      <c r="O35" s="2397"/>
      <c r="P35" s="2396"/>
      <c r="Q35" s="2396"/>
      <c r="R35" s="2398"/>
    </row>
    <row r="36" spans="2:18" s="2368" customFormat="1">
      <c r="B36" s="2396"/>
      <c r="C36" s="2396"/>
      <c r="D36" s="2396"/>
      <c r="H36" s="2396"/>
      <c r="I36" s="2397"/>
      <c r="J36" s="2396"/>
      <c r="K36" s="2396"/>
      <c r="L36" s="2397"/>
      <c r="M36" s="2396"/>
      <c r="N36" s="2396"/>
      <c r="O36" s="2397"/>
      <c r="P36" s="2396"/>
      <c r="Q36" s="2396"/>
      <c r="R36" s="2398"/>
    </row>
    <row r="37" spans="2:18" s="2368" customFormat="1">
      <c r="B37" s="2396"/>
      <c r="C37" s="2396"/>
      <c r="D37" s="2396"/>
      <c r="H37" s="2396"/>
      <c r="I37" s="2397"/>
      <c r="J37" s="2396"/>
      <c r="K37" s="2396"/>
      <c r="L37" s="2397"/>
      <c r="M37" s="2396"/>
      <c r="N37" s="2396"/>
      <c r="O37" s="2397"/>
      <c r="P37" s="2396"/>
      <c r="Q37" s="2396"/>
      <c r="R37" s="2398"/>
    </row>
    <row r="38" spans="2:18" s="2368" customFormat="1">
      <c r="B38" s="2396"/>
      <c r="C38" s="2396"/>
      <c r="D38" s="2396"/>
      <c r="E38" s="2396"/>
      <c r="F38" s="2396"/>
      <c r="G38" s="2397"/>
      <c r="H38" s="2396"/>
      <c r="I38" s="2397"/>
      <c r="J38" s="2396"/>
      <c r="K38" s="2396"/>
      <c r="L38" s="2397"/>
      <c r="M38" s="2396"/>
      <c r="N38" s="2396"/>
      <c r="O38" s="2397"/>
      <c r="P38" s="2396"/>
      <c r="Q38" s="2396"/>
      <c r="R38" s="2398"/>
    </row>
    <row r="39" spans="2:18" s="2368" customFormat="1">
      <c r="B39" s="2396"/>
      <c r="C39" s="2396"/>
      <c r="D39" s="2396"/>
      <c r="E39" s="2396"/>
      <c r="F39" s="2396"/>
      <c r="G39" s="2397"/>
      <c r="H39" s="2396"/>
      <c r="I39" s="2397"/>
      <c r="J39" s="2396"/>
      <c r="K39" s="2396"/>
      <c r="L39" s="2397"/>
      <c r="M39" s="2396"/>
      <c r="N39" s="2396"/>
      <c r="O39" s="2397"/>
      <c r="P39" s="2396"/>
      <c r="Q39" s="2396"/>
      <c r="R39" s="2398"/>
    </row>
    <row r="40" spans="2:18" s="2368" customFormat="1">
      <c r="B40" s="2396"/>
      <c r="C40" s="2396"/>
      <c r="D40" s="2396"/>
      <c r="E40" s="2396"/>
      <c r="F40" s="2396"/>
      <c r="G40" s="2397"/>
      <c r="H40" s="2396"/>
      <c r="I40" s="2397"/>
      <c r="J40" s="2396"/>
      <c r="K40" s="2396"/>
      <c r="L40" s="2397"/>
      <c r="M40" s="2396"/>
      <c r="N40" s="2396"/>
      <c r="O40" s="2397"/>
      <c r="P40" s="2396"/>
      <c r="Q40" s="2396"/>
      <c r="R40" s="2398"/>
    </row>
    <row r="41" spans="2:18" s="2368" customFormat="1">
      <c r="B41" s="2396"/>
      <c r="C41" s="2396"/>
      <c r="D41" s="2396"/>
      <c r="E41" s="2396"/>
      <c r="F41" s="2396"/>
      <c r="G41" s="2397"/>
      <c r="H41" s="2396"/>
      <c r="I41" s="2397"/>
      <c r="J41" s="2396"/>
      <c r="K41" s="2396"/>
      <c r="L41" s="2397"/>
      <c r="M41" s="2396"/>
      <c r="N41" s="2396"/>
      <c r="O41" s="2397"/>
      <c r="P41" s="2396"/>
      <c r="Q41" s="2396"/>
      <c r="R41" s="2398"/>
    </row>
    <row r="42" spans="2:18" s="2368" customFormat="1">
      <c r="B42" s="2396"/>
      <c r="C42" s="2396"/>
      <c r="D42" s="2396"/>
      <c r="E42" s="2396"/>
      <c r="F42" s="2396"/>
      <c r="G42" s="2397"/>
      <c r="H42" s="2396"/>
      <c r="I42" s="2397"/>
      <c r="J42" s="2396"/>
      <c r="K42" s="2396"/>
      <c r="L42" s="2397"/>
      <c r="M42" s="2396"/>
      <c r="N42" s="2396"/>
      <c r="O42" s="2397"/>
      <c r="P42" s="2396"/>
      <c r="Q42" s="2396"/>
      <c r="R42" s="2398"/>
    </row>
    <row r="43" spans="2:18" s="2368" customFormat="1">
      <c r="B43" s="2396"/>
      <c r="C43" s="2396"/>
      <c r="D43" s="2396"/>
      <c r="E43" s="2396"/>
      <c r="F43" s="2396"/>
      <c r="G43" s="2397"/>
      <c r="H43" s="2396"/>
      <c r="I43" s="2397"/>
      <c r="J43" s="2396"/>
      <c r="K43" s="2396"/>
      <c r="L43" s="2397"/>
      <c r="M43" s="2396"/>
      <c r="N43" s="2396"/>
      <c r="O43" s="2397"/>
      <c r="P43" s="2396"/>
      <c r="Q43" s="2396"/>
      <c r="R43" s="2398"/>
    </row>
    <row r="44" spans="2:18" s="2368" customFormat="1">
      <c r="B44" s="2396"/>
      <c r="C44" s="2396"/>
      <c r="D44" s="2396"/>
      <c r="E44" s="2396"/>
      <c r="F44" s="2396"/>
      <c r="G44" s="2397"/>
      <c r="H44" s="2396"/>
      <c r="I44" s="2397"/>
      <c r="J44" s="2396"/>
      <c r="K44" s="2396"/>
      <c r="L44" s="2397"/>
      <c r="M44" s="2396"/>
      <c r="N44" s="2396"/>
      <c r="O44" s="2397"/>
      <c r="P44" s="2396"/>
      <c r="Q44" s="2396"/>
      <c r="R44" s="2398"/>
    </row>
    <row r="45" spans="2:18" s="2368" customFormat="1">
      <c r="B45" s="2396"/>
      <c r="C45" s="2396"/>
      <c r="D45" s="2396"/>
      <c r="E45" s="2396"/>
      <c r="F45" s="2396"/>
      <c r="G45" s="2397"/>
      <c r="H45" s="2396"/>
      <c r="I45" s="2397"/>
      <c r="J45" s="2396"/>
      <c r="K45" s="2396"/>
      <c r="L45" s="2397"/>
      <c r="M45" s="2396"/>
      <c r="N45" s="2396"/>
      <c r="O45" s="2397"/>
      <c r="P45" s="2396"/>
      <c r="Q45" s="2396"/>
      <c r="R45" s="2398"/>
    </row>
    <row r="46" spans="2:18" s="2368" customFormat="1">
      <c r="B46" s="2396"/>
      <c r="C46" s="2396"/>
      <c r="D46" s="2396"/>
      <c r="E46" s="2396"/>
      <c r="F46" s="2396"/>
      <c r="G46" s="2397"/>
      <c r="H46" s="2396"/>
      <c r="I46" s="2397"/>
      <c r="J46" s="2396"/>
      <c r="K46" s="2396"/>
      <c r="L46" s="2397"/>
      <c r="M46" s="2396"/>
      <c r="N46" s="2396"/>
      <c r="O46" s="2397"/>
      <c r="P46" s="2396"/>
      <c r="Q46" s="2396"/>
      <c r="R46" s="2398"/>
    </row>
    <row r="47" spans="2:18" s="2368" customFormat="1">
      <c r="B47" s="2396"/>
      <c r="C47" s="2396"/>
      <c r="D47" s="2396"/>
      <c r="E47" s="2396"/>
      <c r="F47" s="2396"/>
      <c r="G47" s="2397"/>
      <c r="H47" s="2396"/>
      <c r="I47" s="2397"/>
      <c r="J47" s="2396"/>
      <c r="K47" s="2396"/>
      <c r="L47" s="2397"/>
      <c r="M47" s="2396"/>
      <c r="N47" s="2396"/>
      <c r="O47" s="2397"/>
      <c r="P47" s="2396"/>
      <c r="Q47" s="2396"/>
      <c r="R47" s="2398"/>
    </row>
    <row r="48" spans="2:18" s="2368" customFormat="1">
      <c r="B48" s="2396"/>
      <c r="C48" s="2396"/>
      <c r="D48" s="2396"/>
      <c r="E48" s="2396"/>
      <c r="F48" s="2396"/>
      <c r="G48" s="2397"/>
      <c r="H48" s="2396"/>
      <c r="I48" s="2397"/>
      <c r="J48" s="2396"/>
      <c r="K48" s="2396"/>
      <c r="L48" s="2397"/>
      <c r="M48" s="2396"/>
      <c r="N48" s="2396"/>
      <c r="O48" s="2397"/>
      <c r="P48" s="2396"/>
      <c r="Q48" s="2396"/>
      <c r="R48" s="2398"/>
    </row>
    <row r="49" spans="2:18" s="2368" customFormat="1">
      <c r="B49" s="2396"/>
      <c r="C49" s="2396"/>
      <c r="D49" s="2396"/>
      <c r="E49" s="2396"/>
      <c r="F49" s="2396"/>
      <c r="G49" s="2397"/>
      <c r="H49" s="2396"/>
      <c r="I49" s="2397"/>
      <c r="J49" s="2396"/>
      <c r="K49" s="2396"/>
      <c r="L49" s="2397"/>
      <c r="M49" s="2396"/>
      <c r="N49" s="2396"/>
      <c r="O49" s="2397"/>
      <c r="P49" s="2396"/>
      <c r="Q49" s="2396"/>
      <c r="R49" s="2398"/>
    </row>
    <row r="50" spans="2:18" s="2368" customFormat="1">
      <c r="B50" s="2396"/>
      <c r="C50" s="2396"/>
      <c r="D50" s="2396"/>
      <c r="E50" s="2396"/>
      <c r="F50" s="2396"/>
      <c r="G50" s="2397"/>
      <c r="H50" s="2396"/>
      <c r="I50" s="2397"/>
      <c r="J50" s="2396"/>
      <c r="K50" s="2396"/>
      <c r="L50" s="2397"/>
      <c r="M50" s="2396"/>
      <c r="N50" s="2396"/>
      <c r="O50" s="2397"/>
      <c r="P50" s="2396"/>
      <c r="Q50" s="2396"/>
      <c r="R50" s="2398"/>
    </row>
    <row r="51" spans="2:18" s="2368" customFormat="1">
      <c r="B51" s="2396"/>
      <c r="C51" s="2396"/>
      <c r="D51" s="2396"/>
      <c r="E51" s="2396"/>
      <c r="F51" s="2396"/>
      <c r="G51" s="2397"/>
      <c r="H51" s="2396"/>
      <c r="I51" s="2397"/>
      <c r="J51" s="2396"/>
      <c r="K51" s="2396"/>
      <c r="L51" s="2397"/>
      <c r="M51" s="2396"/>
      <c r="N51" s="2396"/>
      <c r="O51" s="2397"/>
      <c r="P51" s="2396"/>
      <c r="Q51" s="2396"/>
      <c r="R51" s="2398"/>
    </row>
    <row r="52" spans="2:18" s="2368" customFormat="1">
      <c r="B52" s="2396"/>
      <c r="C52" s="2396"/>
      <c r="D52" s="2396"/>
      <c r="E52" s="2396"/>
      <c r="F52" s="2396"/>
      <c r="G52" s="2397"/>
      <c r="H52" s="2396"/>
      <c r="I52" s="2397"/>
      <c r="J52" s="2396"/>
      <c r="K52" s="2396"/>
      <c r="L52" s="2397"/>
      <c r="M52" s="2396"/>
      <c r="N52" s="2396"/>
      <c r="O52" s="2397"/>
      <c r="P52" s="2396"/>
      <c r="Q52" s="2396"/>
      <c r="R52" s="2398"/>
    </row>
    <row r="53" spans="2:18" s="2368" customFormat="1">
      <c r="B53" s="2396"/>
      <c r="C53" s="2396"/>
      <c r="D53" s="2396"/>
      <c r="E53" s="2396"/>
      <c r="F53" s="2396"/>
      <c r="G53" s="2397"/>
      <c r="H53" s="2396"/>
      <c r="I53" s="2397"/>
      <c r="J53" s="2396"/>
      <c r="K53" s="2396"/>
      <c r="L53" s="2397"/>
      <c r="M53" s="2396"/>
      <c r="N53" s="2396"/>
      <c r="O53" s="2397"/>
      <c r="P53" s="2396"/>
      <c r="Q53" s="2396"/>
      <c r="R53" s="2398"/>
    </row>
    <row r="54" spans="2:18" s="2368" customFormat="1">
      <c r="B54" s="2396"/>
      <c r="C54" s="2396"/>
      <c r="D54" s="2396"/>
      <c r="E54" s="2396"/>
      <c r="F54" s="2396"/>
      <c r="G54" s="2397"/>
      <c r="H54" s="2396"/>
      <c r="I54" s="2397"/>
      <c r="J54" s="2396"/>
      <c r="K54" s="2396"/>
      <c r="L54" s="2397"/>
      <c r="M54" s="2396"/>
      <c r="N54" s="2396"/>
      <c r="O54" s="2397"/>
      <c r="P54" s="2396"/>
      <c r="Q54" s="2396"/>
      <c r="R54" s="2398"/>
    </row>
    <row r="55" spans="2:18" s="2368" customFormat="1">
      <c r="B55" s="2396"/>
      <c r="C55" s="2396"/>
      <c r="D55" s="2396"/>
      <c r="E55" s="2396"/>
      <c r="F55" s="2396"/>
      <c r="G55" s="2397"/>
      <c r="H55" s="2396"/>
      <c r="I55" s="2397"/>
      <c r="J55" s="2396"/>
      <c r="K55" s="2396"/>
      <c r="L55" s="2397"/>
      <c r="M55" s="2396"/>
      <c r="N55" s="2396"/>
      <c r="O55" s="2397"/>
      <c r="P55" s="2396"/>
      <c r="Q55" s="2396"/>
      <c r="R55" s="2398"/>
    </row>
    <row r="56" spans="2:18" s="2368" customFormat="1">
      <c r="B56" s="2396"/>
      <c r="C56" s="2396"/>
      <c r="D56" s="2396"/>
      <c r="E56" s="2396"/>
      <c r="F56" s="2396"/>
      <c r="G56" s="2397"/>
      <c r="H56" s="2396"/>
      <c r="I56" s="2397"/>
      <c r="J56" s="2396"/>
      <c r="K56" s="2396"/>
      <c r="L56" s="2397"/>
      <c r="M56" s="2396"/>
      <c r="N56" s="2396"/>
      <c r="O56" s="2397"/>
      <c r="P56" s="2396"/>
      <c r="Q56" s="2396"/>
      <c r="R56" s="2398"/>
    </row>
    <row r="57" spans="2:18" s="2368" customFormat="1">
      <c r="B57" s="2396"/>
      <c r="C57" s="2396"/>
      <c r="D57" s="2396"/>
      <c r="E57" s="2396"/>
      <c r="F57" s="2396"/>
      <c r="G57" s="2397"/>
      <c r="H57" s="2396"/>
      <c r="I57" s="2397"/>
      <c r="J57" s="2396"/>
      <c r="K57" s="2396"/>
      <c r="L57" s="2397"/>
      <c r="M57" s="2396"/>
      <c r="N57" s="2396"/>
      <c r="O57" s="2397"/>
      <c r="P57" s="2396"/>
      <c r="Q57" s="2396"/>
      <c r="R57" s="2398"/>
    </row>
    <row r="58" spans="2:18" s="2368" customFormat="1">
      <c r="B58" s="2396"/>
      <c r="C58" s="2396"/>
      <c r="D58" s="2396"/>
      <c r="E58" s="2396"/>
      <c r="F58" s="2396"/>
      <c r="G58" s="2397"/>
      <c r="H58" s="2396"/>
      <c r="I58" s="2397"/>
      <c r="J58" s="2396"/>
      <c r="K58" s="2396"/>
      <c r="L58" s="2397"/>
      <c r="M58" s="2396"/>
      <c r="N58" s="2396"/>
      <c r="O58" s="2397"/>
      <c r="P58" s="2396"/>
      <c r="Q58" s="2396"/>
      <c r="R58" s="2398"/>
    </row>
    <row r="59" spans="2:18" s="2368" customFormat="1">
      <c r="B59" s="2396"/>
      <c r="C59" s="2396"/>
      <c r="D59" s="2396"/>
      <c r="E59" s="2396"/>
      <c r="F59" s="2396"/>
      <c r="G59" s="2397"/>
      <c r="H59" s="2396"/>
      <c r="I59" s="2397"/>
      <c r="J59" s="2396"/>
      <c r="K59" s="2396"/>
      <c r="L59" s="2397"/>
      <c r="M59" s="2396"/>
      <c r="N59" s="2396"/>
      <c r="O59" s="2397"/>
      <c r="P59" s="2396"/>
      <c r="Q59" s="2396"/>
      <c r="R59" s="2398"/>
    </row>
    <row r="60" spans="2:18" s="2368" customFormat="1">
      <c r="B60" s="2396"/>
      <c r="C60" s="2396"/>
      <c r="D60" s="2396"/>
      <c r="E60" s="2396"/>
      <c r="F60" s="2396"/>
      <c r="G60" s="2397"/>
      <c r="H60" s="2396"/>
      <c r="I60" s="2397"/>
      <c r="J60" s="2396"/>
      <c r="K60" s="2396"/>
      <c r="L60" s="2397"/>
      <c r="M60" s="2396"/>
      <c r="N60" s="2396"/>
      <c r="O60" s="2397"/>
      <c r="P60" s="2396"/>
      <c r="Q60" s="2396"/>
      <c r="R60" s="2398"/>
    </row>
    <row r="61" spans="2:18" s="2368" customFormat="1">
      <c r="B61" s="2396"/>
      <c r="C61" s="2396"/>
      <c r="D61" s="2396"/>
      <c r="E61" s="2396"/>
      <c r="F61" s="2396"/>
      <c r="G61" s="2397"/>
      <c r="H61" s="2396"/>
      <c r="I61" s="2397"/>
      <c r="J61" s="2396"/>
      <c r="K61" s="2396"/>
      <c r="L61" s="2397"/>
      <c r="M61" s="2396"/>
      <c r="N61" s="2396"/>
      <c r="O61" s="2397"/>
      <c r="P61" s="2396"/>
      <c r="Q61" s="2396"/>
      <c r="R61" s="2398"/>
    </row>
    <row r="62" spans="2:18" s="2368" customFormat="1">
      <c r="B62" s="2396"/>
      <c r="C62" s="2396"/>
      <c r="D62" s="2396"/>
      <c r="E62" s="2396"/>
      <c r="F62" s="2396"/>
      <c r="G62" s="2397"/>
      <c r="H62" s="2396"/>
      <c r="I62" s="2397"/>
      <c r="J62" s="2396"/>
      <c r="K62" s="2396"/>
      <c r="L62" s="2397"/>
      <c r="M62" s="2396"/>
      <c r="N62" s="2396"/>
      <c r="O62" s="2397"/>
      <c r="P62" s="2396"/>
      <c r="Q62" s="2396"/>
      <c r="R62" s="2398"/>
    </row>
    <row r="63" spans="2:18" s="2368" customFormat="1">
      <c r="B63" s="2396"/>
      <c r="C63" s="2396"/>
      <c r="D63" s="2396"/>
      <c r="E63" s="2396"/>
      <c r="F63" s="2396"/>
      <c r="G63" s="2397"/>
      <c r="H63" s="2396"/>
      <c r="I63" s="2397"/>
      <c r="J63" s="2396"/>
      <c r="K63" s="2396"/>
      <c r="L63" s="2397"/>
      <c r="M63" s="2396"/>
      <c r="N63" s="2396"/>
      <c r="O63" s="2397"/>
      <c r="P63" s="2396"/>
      <c r="Q63" s="2396"/>
      <c r="R63" s="2398"/>
    </row>
    <row r="64" spans="2:18" s="2368" customFormat="1">
      <c r="B64" s="2396"/>
      <c r="C64" s="2396"/>
      <c r="D64" s="2396"/>
      <c r="E64" s="2396"/>
      <c r="F64" s="2396"/>
      <c r="G64" s="2397"/>
      <c r="H64" s="2396"/>
      <c r="I64" s="2397"/>
      <c r="J64" s="2396"/>
      <c r="K64" s="2396"/>
      <c r="L64" s="2397"/>
      <c r="M64" s="2396"/>
      <c r="N64" s="2396"/>
      <c r="O64" s="2397"/>
      <c r="P64" s="2396"/>
      <c r="Q64" s="2396"/>
      <c r="R64" s="2398"/>
    </row>
    <row r="65" spans="2:18" s="2368" customFormat="1">
      <c r="B65" s="2396"/>
      <c r="C65" s="2396"/>
      <c r="D65" s="2396"/>
      <c r="E65" s="2396"/>
      <c r="F65" s="2396"/>
      <c r="G65" s="2397"/>
      <c r="H65" s="2396"/>
      <c r="I65" s="2397"/>
      <c r="J65" s="2396"/>
      <c r="K65" s="2396"/>
      <c r="L65" s="2397"/>
      <c r="M65" s="2396"/>
      <c r="N65" s="2396"/>
      <c r="O65" s="2397"/>
      <c r="P65" s="2396"/>
      <c r="Q65" s="2396"/>
      <c r="R65" s="2398"/>
    </row>
    <row r="66" spans="2:18" s="2368" customFormat="1">
      <c r="B66" s="2396"/>
      <c r="C66" s="2396"/>
      <c r="D66" s="2396"/>
      <c r="E66" s="2396"/>
      <c r="F66" s="2396"/>
      <c r="G66" s="2397"/>
      <c r="H66" s="2396"/>
      <c r="I66" s="2397"/>
      <c r="J66" s="2396"/>
      <c r="K66" s="2396"/>
      <c r="L66" s="2397"/>
      <c r="M66" s="2396"/>
      <c r="N66" s="2396"/>
      <c r="O66" s="2397"/>
      <c r="P66" s="2396"/>
      <c r="Q66" s="2396"/>
      <c r="R66" s="2398"/>
    </row>
    <row r="67" spans="2:18" s="2368" customFormat="1">
      <c r="B67" s="2396"/>
      <c r="C67" s="2396"/>
      <c r="D67" s="2396"/>
      <c r="E67" s="2396"/>
      <c r="F67" s="2396"/>
      <c r="G67" s="2397"/>
      <c r="H67" s="2396"/>
      <c r="I67" s="2397"/>
      <c r="J67" s="2396"/>
      <c r="K67" s="2396"/>
      <c r="L67" s="2397"/>
      <c r="M67" s="2396"/>
      <c r="N67" s="2396"/>
      <c r="O67" s="2397"/>
      <c r="P67" s="2396"/>
      <c r="Q67" s="2396"/>
      <c r="R67" s="2398"/>
    </row>
    <row r="68" spans="2:18" s="2368" customFormat="1">
      <c r="B68" s="2396"/>
      <c r="C68" s="2396"/>
      <c r="D68" s="2396"/>
      <c r="E68" s="2396"/>
      <c r="F68" s="2396"/>
      <c r="G68" s="2397"/>
      <c r="H68" s="2396"/>
      <c r="I68" s="2397"/>
      <c r="J68" s="2396"/>
      <c r="K68" s="2396"/>
      <c r="L68" s="2397"/>
      <c r="M68" s="2396"/>
      <c r="N68" s="2396"/>
      <c r="O68" s="2397"/>
      <c r="P68" s="2396"/>
      <c r="Q68" s="2396"/>
      <c r="R68" s="2398"/>
    </row>
    <row r="69" spans="2:18" s="2368" customFormat="1">
      <c r="B69" s="2396"/>
      <c r="C69" s="2396"/>
      <c r="D69" s="2396"/>
      <c r="E69" s="2396"/>
      <c r="F69" s="2396"/>
      <c r="G69" s="2397"/>
      <c r="H69" s="2396"/>
      <c r="I69" s="2397"/>
      <c r="J69" s="2396"/>
      <c r="K69" s="2396"/>
      <c r="L69" s="2397"/>
      <c r="M69" s="2396"/>
      <c r="N69" s="2396"/>
      <c r="O69" s="2397"/>
      <c r="P69" s="2396"/>
      <c r="Q69" s="2396"/>
      <c r="R69" s="2398"/>
    </row>
    <row r="70" spans="2:18" s="2368" customFormat="1">
      <c r="B70" s="2396"/>
      <c r="C70" s="2396"/>
      <c r="D70" s="2396"/>
      <c r="E70" s="2396"/>
      <c r="F70" s="2396"/>
      <c r="G70" s="2397"/>
      <c r="H70" s="2396"/>
      <c r="I70" s="2397"/>
      <c r="J70" s="2396"/>
      <c r="K70" s="2396"/>
      <c r="L70" s="2397"/>
      <c r="M70" s="2396"/>
      <c r="N70" s="2396"/>
      <c r="O70" s="2397"/>
      <c r="P70" s="2396"/>
      <c r="Q70" s="2396"/>
      <c r="R70" s="2398"/>
    </row>
    <row r="71" spans="2:18" s="2368" customFormat="1">
      <c r="B71" s="2396"/>
      <c r="C71" s="2396"/>
      <c r="D71" s="2396"/>
      <c r="E71" s="2396"/>
      <c r="F71" s="2396"/>
      <c r="G71" s="2397"/>
      <c r="H71" s="2396"/>
      <c r="I71" s="2397"/>
      <c r="J71" s="2396"/>
      <c r="K71" s="2396"/>
      <c r="L71" s="2397"/>
      <c r="M71" s="2396"/>
      <c r="N71" s="2396"/>
      <c r="O71" s="2397"/>
      <c r="P71" s="2396"/>
      <c r="Q71" s="2396"/>
      <c r="R71" s="2398"/>
    </row>
    <row r="72" spans="2:18" s="2368" customFormat="1">
      <c r="B72" s="2396"/>
      <c r="C72" s="2396"/>
      <c r="D72" s="2396"/>
      <c r="E72" s="2396"/>
      <c r="F72" s="2396"/>
      <c r="G72" s="2397"/>
      <c r="H72" s="2396"/>
      <c r="I72" s="2397"/>
      <c r="J72" s="2396"/>
      <c r="K72" s="2396"/>
      <c r="L72" s="2397"/>
      <c r="M72" s="2396"/>
      <c r="N72" s="2396"/>
      <c r="O72" s="2397"/>
      <c r="P72" s="2396"/>
      <c r="Q72" s="2396"/>
      <c r="R72" s="2398"/>
    </row>
    <row r="73" spans="2:18" s="2368" customFormat="1">
      <c r="B73" s="2396"/>
      <c r="C73" s="2396"/>
      <c r="D73" s="2396"/>
      <c r="E73" s="2396"/>
      <c r="F73" s="2396"/>
      <c r="G73" s="2397"/>
      <c r="H73" s="2396"/>
      <c r="I73" s="2397"/>
      <c r="J73" s="2396"/>
      <c r="K73" s="2396"/>
      <c r="L73" s="2397"/>
      <c r="M73" s="2396"/>
      <c r="N73" s="2396"/>
      <c r="O73" s="2397"/>
      <c r="P73" s="2396"/>
      <c r="Q73" s="2396"/>
      <c r="R73" s="2398"/>
    </row>
    <row r="74" spans="2:18" s="2368" customFormat="1">
      <c r="B74" s="2396"/>
      <c r="C74" s="2396"/>
      <c r="D74" s="2396"/>
      <c r="E74" s="2396"/>
      <c r="F74" s="2396"/>
      <c r="G74" s="2397"/>
      <c r="H74" s="2396"/>
      <c r="I74" s="2397"/>
      <c r="J74" s="2396"/>
      <c r="K74" s="2396"/>
      <c r="L74" s="2397"/>
      <c r="M74" s="2396"/>
      <c r="N74" s="2396"/>
      <c r="O74" s="2397"/>
      <c r="P74" s="2396"/>
      <c r="Q74" s="2396"/>
      <c r="R74" s="2398"/>
    </row>
    <row r="75" spans="2:18" s="2368" customFormat="1">
      <c r="B75" s="2396"/>
      <c r="C75" s="2396"/>
      <c r="D75" s="2396"/>
      <c r="E75" s="2396"/>
      <c r="F75" s="2396"/>
      <c r="G75" s="2397"/>
      <c r="H75" s="2396"/>
      <c r="I75" s="2397"/>
      <c r="J75" s="2396"/>
      <c r="K75" s="2396"/>
      <c r="L75" s="2397"/>
      <c r="M75" s="2396"/>
      <c r="N75" s="2396"/>
      <c r="O75" s="2397"/>
      <c r="P75" s="2396"/>
      <c r="Q75" s="2396"/>
      <c r="R75" s="2398"/>
    </row>
    <row r="76" spans="2:18" s="2368" customFormat="1">
      <c r="B76" s="2396"/>
      <c r="C76" s="2396"/>
      <c r="D76" s="2396"/>
      <c r="E76" s="2396"/>
      <c r="F76" s="2396"/>
      <c r="G76" s="2397"/>
      <c r="H76" s="2396"/>
      <c r="I76" s="2397"/>
      <c r="J76" s="2396"/>
      <c r="K76" s="2396"/>
      <c r="L76" s="2397"/>
      <c r="M76" s="2396"/>
      <c r="N76" s="2396"/>
      <c r="O76" s="2397"/>
      <c r="P76" s="2396"/>
      <c r="Q76" s="2396"/>
      <c r="R76" s="2398"/>
    </row>
    <row r="77" spans="2:18" s="2368" customFormat="1">
      <c r="B77" s="2396"/>
      <c r="C77" s="2396"/>
      <c r="D77" s="2396"/>
      <c r="E77" s="2396"/>
      <c r="F77" s="2396"/>
      <c r="G77" s="2397"/>
      <c r="H77" s="2396"/>
      <c r="I77" s="2397"/>
      <c r="J77" s="2396"/>
      <c r="K77" s="2396"/>
      <c r="L77" s="2397"/>
      <c r="M77" s="2396"/>
      <c r="N77" s="2396"/>
      <c r="O77" s="2397"/>
      <c r="P77" s="2396"/>
      <c r="Q77" s="2396"/>
      <c r="R77" s="2398"/>
    </row>
    <row r="78" spans="2:18" s="2368" customFormat="1">
      <c r="B78" s="2396"/>
      <c r="C78" s="2396"/>
      <c r="D78" s="2396"/>
      <c r="E78" s="2396"/>
      <c r="F78" s="2396"/>
      <c r="G78" s="2397"/>
      <c r="H78" s="2396"/>
      <c r="I78" s="2397"/>
      <c r="J78" s="2396"/>
      <c r="K78" s="2396"/>
      <c r="L78" s="2397"/>
      <c r="M78" s="2396"/>
      <c r="N78" s="2396"/>
      <c r="O78" s="2397"/>
      <c r="P78" s="2396"/>
      <c r="Q78" s="2396"/>
      <c r="R78" s="2398"/>
    </row>
    <row r="79" spans="2:18" s="2368" customFormat="1">
      <c r="B79" s="2396"/>
      <c r="C79" s="2396"/>
      <c r="D79" s="2396"/>
      <c r="E79" s="2396"/>
      <c r="F79" s="2396"/>
      <c r="G79" s="2397"/>
      <c r="H79" s="2396"/>
      <c r="I79" s="2397"/>
      <c r="J79" s="2396"/>
      <c r="K79" s="2396"/>
      <c r="L79" s="2397"/>
      <c r="M79" s="2396"/>
      <c r="N79" s="2396"/>
      <c r="O79" s="2397"/>
      <c r="P79" s="2396"/>
      <c r="Q79" s="2396"/>
      <c r="R79" s="2398"/>
    </row>
    <row r="80" spans="2:18" s="2368" customFormat="1">
      <c r="B80" s="2396"/>
      <c r="C80" s="2396"/>
      <c r="D80" s="2396"/>
      <c r="E80" s="2396"/>
      <c r="F80" s="2396"/>
      <c r="G80" s="2397"/>
      <c r="H80" s="2396"/>
      <c r="I80" s="2397"/>
      <c r="J80" s="2396"/>
      <c r="K80" s="2396"/>
      <c r="L80" s="2397"/>
      <c r="M80" s="2396"/>
      <c r="N80" s="2396"/>
      <c r="O80" s="2397"/>
      <c r="P80" s="2396"/>
      <c r="Q80" s="2396"/>
      <c r="R80" s="2398"/>
    </row>
    <row r="81" spans="2:18" s="2368" customFormat="1">
      <c r="B81" s="2396"/>
      <c r="C81" s="2396"/>
      <c r="D81" s="2396"/>
      <c r="E81" s="2396"/>
      <c r="F81" s="2396"/>
      <c r="G81" s="2397"/>
      <c r="H81" s="2396"/>
      <c r="I81" s="2397"/>
      <c r="J81" s="2396"/>
      <c r="K81" s="2396"/>
      <c r="L81" s="2397"/>
      <c r="M81" s="2396"/>
      <c r="N81" s="2396"/>
      <c r="O81" s="2397"/>
      <c r="P81" s="2396"/>
      <c r="Q81" s="2396"/>
      <c r="R81" s="2398"/>
    </row>
    <row r="82" spans="2:18" s="2368" customFormat="1">
      <c r="B82" s="2396"/>
      <c r="C82" s="2396"/>
      <c r="D82" s="2396"/>
      <c r="E82" s="2396"/>
      <c r="F82" s="2396"/>
      <c r="G82" s="2397"/>
      <c r="H82" s="2396"/>
      <c r="I82" s="2397"/>
      <c r="J82" s="2396"/>
      <c r="K82" s="2396"/>
      <c r="L82" s="2397"/>
      <c r="M82" s="2396"/>
      <c r="N82" s="2396"/>
      <c r="O82" s="2397"/>
      <c r="P82" s="2396"/>
      <c r="Q82" s="2396"/>
      <c r="R82" s="2398"/>
    </row>
    <row r="83" spans="2:18" s="2368" customFormat="1">
      <c r="B83" s="2396"/>
      <c r="C83" s="2396"/>
      <c r="D83" s="2396"/>
      <c r="E83" s="2396"/>
      <c r="F83" s="2396"/>
      <c r="G83" s="2397"/>
      <c r="H83" s="2396"/>
      <c r="I83" s="2397"/>
      <c r="J83" s="2396"/>
      <c r="K83" s="2396"/>
      <c r="L83" s="2397"/>
      <c r="M83" s="2396"/>
      <c r="N83" s="2396"/>
      <c r="O83" s="2397"/>
      <c r="P83" s="2396"/>
      <c r="Q83" s="2396"/>
      <c r="R83" s="2398"/>
    </row>
    <row r="84" spans="2:18" s="2368" customFormat="1">
      <c r="B84" s="2396"/>
      <c r="C84" s="2396"/>
      <c r="D84" s="2396"/>
      <c r="E84" s="2396"/>
      <c r="F84" s="2396"/>
      <c r="G84" s="2397"/>
      <c r="H84" s="2396"/>
      <c r="I84" s="2397"/>
      <c r="J84" s="2396"/>
      <c r="K84" s="2396"/>
      <c r="L84" s="2397"/>
      <c r="M84" s="2396"/>
      <c r="N84" s="2396"/>
      <c r="O84" s="2397"/>
      <c r="P84" s="2396"/>
      <c r="Q84" s="2396"/>
      <c r="R84" s="2398"/>
    </row>
    <row r="85" spans="2:18" s="2368" customFormat="1">
      <c r="B85" s="2396"/>
      <c r="C85" s="2396"/>
      <c r="D85" s="2396"/>
      <c r="E85" s="2396"/>
      <c r="F85" s="2396"/>
      <c r="G85" s="2397"/>
      <c r="H85" s="2396"/>
      <c r="I85" s="2397"/>
      <c r="J85" s="2396"/>
      <c r="K85" s="2396"/>
      <c r="L85" s="2397"/>
      <c r="M85" s="2396"/>
      <c r="N85" s="2396"/>
      <c r="O85" s="2397"/>
      <c r="P85" s="2396"/>
      <c r="Q85" s="2396"/>
      <c r="R85" s="2398"/>
    </row>
    <row r="86" spans="2:18" s="2368" customFormat="1">
      <c r="B86" s="2396"/>
      <c r="C86" s="2396"/>
      <c r="D86" s="2396"/>
      <c r="E86" s="2396"/>
      <c r="F86" s="2396"/>
      <c r="G86" s="2397"/>
      <c r="H86" s="2396"/>
      <c r="I86" s="2397"/>
      <c r="J86" s="2396"/>
      <c r="K86" s="2396"/>
      <c r="L86" s="2397"/>
      <c r="M86" s="2396"/>
      <c r="N86" s="2396"/>
      <c r="O86" s="2397"/>
      <c r="P86" s="2396"/>
      <c r="Q86" s="2396"/>
      <c r="R86" s="2398"/>
    </row>
    <row r="87" spans="2:18" s="2368" customFormat="1">
      <c r="B87" s="2396"/>
      <c r="C87" s="2396"/>
      <c r="D87" s="2396"/>
      <c r="E87" s="2396"/>
      <c r="F87" s="2396"/>
      <c r="G87" s="2397"/>
      <c r="H87" s="2396"/>
      <c r="I87" s="2397"/>
      <c r="J87" s="2396"/>
      <c r="K87" s="2396"/>
      <c r="L87" s="2397"/>
      <c r="M87" s="2396"/>
      <c r="N87" s="2396"/>
      <c r="O87" s="2397"/>
      <c r="P87" s="2396"/>
      <c r="Q87" s="2396"/>
      <c r="R87" s="2398"/>
    </row>
    <row r="88" spans="2:18" s="2368" customFormat="1">
      <c r="B88" s="2396"/>
      <c r="C88" s="2396"/>
      <c r="D88" s="2396"/>
      <c r="E88" s="2396"/>
      <c r="F88" s="2396"/>
      <c r="G88" s="2397"/>
      <c r="H88" s="2396"/>
      <c r="I88" s="2397"/>
      <c r="J88" s="2396"/>
      <c r="K88" s="2396"/>
      <c r="L88" s="2397"/>
      <c r="M88" s="2396"/>
      <c r="N88" s="2396"/>
      <c r="O88" s="2397"/>
      <c r="P88" s="2396"/>
      <c r="Q88" s="2396"/>
      <c r="R88" s="2398"/>
    </row>
    <row r="89" spans="2:18" s="2368" customFormat="1">
      <c r="B89" s="2396"/>
      <c r="C89" s="2396"/>
      <c r="D89" s="2396"/>
      <c r="E89" s="2396"/>
      <c r="F89" s="2396"/>
      <c r="G89" s="2397"/>
      <c r="H89" s="2396"/>
      <c r="I89" s="2397"/>
      <c r="J89" s="2396"/>
      <c r="K89" s="2396"/>
      <c r="L89" s="2397"/>
      <c r="M89" s="2396"/>
      <c r="N89" s="2396"/>
      <c r="O89" s="2397"/>
      <c r="P89" s="2396"/>
      <c r="Q89" s="2396"/>
      <c r="R89" s="2398"/>
    </row>
    <row r="90" spans="2:18" s="2368" customFormat="1">
      <c r="B90" s="2396"/>
      <c r="C90" s="2396"/>
      <c r="D90" s="2396"/>
      <c r="E90" s="2396"/>
      <c r="F90" s="2396"/>
      <c r="G90" s="2397"/>
      <c r="H90" s="2396"/>
      <c r="I90" s="2397"/>
      <c r="J90" s="2396"/>
      <c r="K90" s="2396"/>
      <c r="L90" s="2397"/>
      <c r="M90" s="2396"/>
      <c r="N90" s="2396"/>
      <c r="O90" s="2397"/>
      <c r="P90" s="2396"/>
      <c r="Q90" s="2396"/>
      <c r="R90" s="2398"/>
    </row>
    <row r="91" spans="2:18" s="2368" customFormat="1">
      <c r="B91" s="2396"/>
      <c r="C91" s="2396"/>
      <c r="D91" s="2396"/>
      <c r="E91" s="2396"/>
      <c r="F91" s="2396"/>
      <c r="G91" s="2397"/>
      <c r="H91" s="2396"/>
      <c r="I91" s="2397"/>
      <c r="J91" s="2396"/>
      <c r="K91" s="2396"/>
      <c r="L91" s="2397"/>
      <c r="M91" s="2396"/>
      <c r="N91" s="2396"/>
      <c r="O91" s="2397"/>
      <c r="P91" s="2396"/>
      <c r="Q91" s="2396"/>
      <c r="R91" s="2398"/>
    </row>
    <row r="92" spans="2:18" s="2368" customFormat="1">
      <c r="B92" s="2396"/>
      <c r="C92" s="2396"/>
      <c r="D92" s="2396"/>
      <c r="E92" s="2396"/>
      <c r="F92" s="2396"/>
      <c r="G92" s="2397"/>
      <c r="H92" s="2396"/>
      <c r="I92" s="2397"/>
      <c r="J92" s="2396"/>
      <c r="K92" s="2396"/>
      <c r="L92" s="2397"/>
      <c r="M92" s="2396"/>
      <c r="N92" s="2396"/>
      <c r="O92" s="2397"/>
      <c r="P92" s="2396"/>
      <c r="Q92" s="2396"/>
      <c r="R92" s="2398"/>
    </row>
    <row r="93" spans="2:18" s="2368" customFormat="1">
      <c r="B93" s="2396"/>
      <c r="C93" s="2396"/>
      <c r="D93" s="2396"/>
      <c r="E93" s="2396"/>
      <c r="F93" s="2396"/>
      <c r="G93" s="2397"/>
      <c r="H93" s="2396"/>
      <c r="I93" s="2397"/>
      <c r="J93" s="2396"/>
      <c r="K93" s="2396"/>
      <c r="L93" s="2397"/>
      <c r="M93" s="2396"/>
      <c r="N93" s="2396"/>
      <c r="O93" s="2397"/>
      <c r="P93" s="2396"/>
      <c r="Q93" s="2396"/>
      <c r="R93" s="2398"/>
    </row>
    <row r="94" spans="2:18" s="2368" customFormat="1">
      <c r="B94" s="2396"/>
      <c r="C94" s="2396"/>
      <c r="D94" s="2396"/>
      <c r="E94" s="2396"/>
      <c r="F94" s="2396"/>
      <c r="G94" s="2397"/>
      <c r="H94" s="2396"/>
      <c r="I94" s="2397"/>
      <c r="J94" s="2396"/>
      <c r="K94" s="2396"/>
      <c r="L94" s="2397"/>
      <c r="M94" s="2396"/>
      <c r="N94" s="2396"/>
      <c r="O94" s="2397"/>
      <c r="P94" s="2396"/>
      <c r="Q94" s="2396"/>
      <c r="R94" s="2398"/>
    </row>
    <row r="95" spans="2:18" s="2368" customFormat="1">
      <c r="B95" s="2396"/>
      <c r="C95" s="2396"/>
      <c r="D95" s="2396"/>
      <c r="E95" s="2396"/>
      <c r="F95" s="2396"/>
      <c r="G95" s="2397"/>
      <c r="H95" s="2396"/>
      <c r="I95" s="2397"/>
      <c r="J95" s="2396"/>
      <c r="K95" s="2396"/>
      <c r="L95" s="2397"/>
      <c r="M95" s="2396"/>
      <c r="N95" s="2396"/>
      <c r="O95" s="2397"/>
      <c r="P95" s="2396"/>
      <c r="Q95" s="2396"/>
      <c r="R95" s="2398"/>
    </row>
    <row r="96" spans="2:18" s="2368" customFormat="1">
      <c r="B96" s="2396"/>
      <c r="C96" s="2396"/>
      <c r="D96" s="2396"/>
      <c r="E96" s="2396"/>
      <c r="F96" s="2396"/>
      <c r="G96" s="2397"/>
      <c r="H96" s="2396"/>
      <c r="I96" s="2397"/>
      <c r="J96" s="2396"/>
      <c r="K96" s="2396"/>
      <c r="L96" s="2397"/>
      <c r="M96" s="2396"/>
      <c r="N96" s="2396"/>
      <c r="O96" s="2397"/>
      <c r="P96" s="2396"/>
      <c r="Q96" s="2396"/>
      <c r="R96" s="2398"/>
    </row>
    <row r="97" spans="2:18" s="2368" customFormat="1">
      <c r="B97" s="2396"/>
      <c r="C97" s="2396"/>
      <c r="D97" s="2396"/>
      <c r="E97" s="2396"/>
      <c r="F97" s="2396"/>
      <c r="G97" s="2397"/>
      <c r="H97" s="2396"/>
      <c r="I97" s="2397"/>
      <c r="J97" s="2396"/>
      <c r="K97" s="2396"/>
      <c r="L97" s="2397"/>
      <c r="M97" s="2396"/>
      <c r="N97" s="2396"/>
      <c r="O97" s="2397"/>
      <c r="P97" s="2396"/>
      <c r="Q97" s="2396"/>
      <c r="R97" s="2398"/>
    </row>
    <row r="98" spans="2:18" s="2368" customFormat="1">
      <c r="B98" s="2396"/>
      <c r="C98" s="2396"/>
      <c r="D98" s="2396"/>
      <c r="E98" s="2396"/>
      <c r="F98" s="2396"/>
      <c r="G98" s="2397"/>
      <c r="H98" s="2396"/>
      <c r="I98" s="2397"/>
      <c r="J98" s="2396"/>
      <c r="K98" s="2396"/>
      <c r="L98" s="2397"/>
      <c r="M98" s="2396"/>
      <c r="N98" s="2396"/>
      <c r="O98" s="2397"/>
      <c r="P98" s="2396"/>
      <c r="Q98" s="2396"/>
      <c r="R98" s="2398"/>
    </row>
    <row r="99" spans="2:18" s="2368" customFormat="1">
      <c r="B99" s="2396"/>
      <c r="C99" s="2396"/>
      <c r="D99" s="2396"/>
      <c r="E99" s="2396"/>
      <c r="F99" s="2396"/>
      <c r="G99" s="2397"/>
      <c r="H99" s="2396"/>
      <c r="I99" s="2397"/>
      <c r="J99" s="2396"/>
      <c r="K99" s="2396"/>
      <c r="L99" s="2397"/>
      <c r="M99" s="2396"/>
      <c r="N99" s="2396"/>
      <c r="O99" s="2397"/>
      <c r="P99" s="2396"/>
      <c r="Q99" s="2396"/>
      <c r="R99" s="2398"/>
    </row>
    <row r="100" spans="2:18" s="2368" customFormat="1">
      <c r="B100" s="2396"/>
      <c r="C100" s="2396"/>
      <c r="D100" s="2396"/>
      <c r="E100" s="2396"/>
      <c r="F100" s="2396"/>
      <c r="G100" s="2397"/>
      <c r="H100" s="2396"/>
      <c r="I100" s="2397"/>
      <c r="J100" s="2396"/>
      <c r="K100" s="2396"/>
      <c r="L100" s="2397"/>
      <c r="M100" s="2396"/>
      <c r="N100" s="2396"/>
      <c r="O100" s="2397"/>
      <c r="P100" s="2396"/>
      <c r="Q100" s="2396"/>
      <c r="R100" s="2398"/>
    </row>
    <row r="101" spans="2:18" s="2368" customFormat="1">
      <c r="B101" s="2396"/>
      <c r="C101" s="2396"/>
      <c r="D101" s="2396"/>
      <c r="E101" s="2396"/>
      <c r="F101" s="2396"/>
      <c r="G101" s="2397"/>
      <c r="H101" s="2396"/>
      <c r="I101" s="2397"/>
      <c r="J101" s="2396"/>
      <c r="K101" s="2396"/>
      <c r="L101" s="2397"/>
      <c r="M101" s="2396"/>
      <c r="N101" s="2396"/>
      <c r="O101" s="2397"/>
      <c r="P101" s="2396"/>
      <c r="Q101" s="2396"/>
      <c r="R101" s="2398"/>
    </row>
    <row r="102" spans="2:18" s="2368" customFormat="1">
      <c r="B102" s="2396"/>
      <c r="C102" s="2396"/>
      <c r="D102" s="2396"/>
      <c r="E102" s="2396"/>
      <c r="F102" s="2396"/>
      <c r="G102" s="2397"/>
      <c r="H102" s="2396"/>
      <c r="I102" s="2397"/>
      <c r="J102" s="2396"/>
      <c r="K102" s="2396"/>
      <c r="L102" s="2397"/>
      <c r="M102" s="2396"/>
      <c r="N102" s="2396"/>
      <c r="O102" s="2397"/>
      <c r="P102" s="2396"/>
      <c r="Q102" s="2396"/>
      <c r="R102" s="2398"/>
    </row>
    <row r="103" spans="2:18" s="2368" customFormat="1">
      <c r="B103" s="2396"/>
      <c r="C103" s="2396"/>
      <c r="D103" s="2396"/>
      <c r="E103" s="2396"/>
      <c r="F103" s="2396"/>
      <c r="G103" s="2397"/>
      <c r="H103" s="2396"/>
      <c r="I103" s="2397"/>
      <c r="J103" s="2396"/>
      <c r="K103" s="2396"/>
      <c r="L103" s="2397"/>
      <c r="M103" s="2396"/>
      <c r="N103" s="2396"/>
      <c r="O103" s="2397"/>
      <c r="P103" s="2396"/>
      <c r="Q103" s="2396"/>
      <c r="R103" s="2398"/>
    </row>
    <row r="104" spans="2:18" s="2368" customFormat="1">
      <c r="B104" s="2396"/>
      <c r="C104" s="2396"/>
      <c r="D104" s="2396"/>
      <c r="E104" s="2396"/>
      <c r="F104" s="2396"/>
      <c r="G104" s="2397"/>
      <c r="H104" s="2396"/>
      <c r="I104" s="2397"/>
      <c r="J104" s="2396"/>
      <c r="K104" s="2396"/>
      <c r="L104" s="2397"/>
      <c r="M104" s="2396"/>
      <c r="N104" s="2396"/>
      <c r="O104" s="2397"/>
      <c r="P104" s="2396"/>
      <c r="Q104" s="2396"/>
      <c r="R104" s="2398"/>
    </row>
    <row r="105" spans="2:18" s="2368" customFormat="1">
      <c r="B105" s="2396"/>
      <c r="C105" s="2396"/>
      <c r="D105" s="2396"/>
      <c r="E105" s="2396"/>
      <c r="F105" s="2396"/>
      <c r="G105" s="2397"/>
      <c r="H105" s="2396"/>
      <c r="I105" s="2397"/>
      <c r="J105" s="2396"/>
      <c r="K105" s="2396"/>
      <c r="L105" s="2397"/>
      <c r="M105" s="2396"/>
      <c r="N105" s="2396"/>
      <c r="O105" s="2397"/>
      <c r="P105" s="2396"/>
      <c r="Q105" s="2396"/>
      <c r="R105" s="2398"/>
    </row>
    <row r="106" spans="2:18" s="2368" customFormat="1">
      <c r="B106" s="2396"/>
      <c r="C106" s="2396"/>
      <c r="D106" s="2396"/>
      <c r="E106" s="2396"/>
      <c r="F106" s="2396"/>
      <c r="G106" s="2397"/>
      <c r="H106" s="2396"/>
      <c r="I106" s="2397"/>
      <c r="J106" s="2396"/>
      <c r="K106" s="2396"/>
      <c r="L106" s="2397"/>
      <c r="M106" s="2396"/>
      <c r="N106" s="2396"/>
      <c r="O106" s="2397"/>
      <c r="P106" s="2396"/>
      <c r="Q106" s="2396"/>
      <c r="R106" s="2398"/>
    </row>
    <row r="107" spans="2:18" s="2368" customFormat="1">
      <c r="B107" s="2396"/>
      <c r="C107" s="2396"/>
      <c r="D107" s="2396"/>
      <c r="E107" s="2396"/>
      <c r="F107" s="2396"/>
      <c r="G107" s="2397"/>
      <c r="H107" s="2396"/>
      <c r="I107" s="2397"/>
      <c r="J107" s="2396"/>
      <c r="K107" s="2396"/>
      <c r="L107" s="2397"/>
      <c r="M107" s="2396"/>
      <c r="N107" s="2396"/>
      <c r="O107" s="2397"/>
      <c r="P107" s="2396"/>
      <c r="Q107" s="2396"/>
      <c r="R107" s="2398"/>
    </row>
    <row r="108" spans="2:18" s="2368" customFormat="1">
      <c r="B108" s="2396"/>
      <c r="C108" s="2396"/>
      <c r="D108" s="2396"/>
      <c r="E108" s="2396"/>
      <c r="F108" s="2396"/>
      <c r="G108" s="2397"/>
      <c r="H108" s="2396"/>
      <c r="I108" s="2397"/>
      <c r="J108" s="2396"/>
      <c r="K108" s="2396"/>
      <c r="L108" s="2397"/>
      <c r="M108" s="2396"/>
      <c r="N108" s="2396"/>
      <c r="O108" s="2397"/>
      <c r="P108" s="2396"/>
      <c r="Q108" s="2396"/>
      <c r="R108" s="2398"/>
    </row>
    <row r="109" spans="2:18" s="2368" customFormat="1">
      <c r="B109" s="2396"/>
      <c r="C109" s="2396"/>
      <c r="D109" s="2396"/>
      <c r="E109" s="2396"/>
      <c r="F109" s="2396"/>
      <c r="G109" s="2397"/>
      <c r="H109" s="2396"/>
      <c r="I109" s="2397"/>
      <c r="J109" s="2396"/>
      <c r="K109" s="2396"/>
      <c r="L109" s="2397"/>
      <c r="M109" s="2396"/>
      <c r="N109" s="2396"/>
      <c r="O109" s="2397"/>
      <c r="P109" s="2396"/>
      <c r="Q109" s="2396"/>
      <c r="R109" s="2398"/>
    </row>
    <row r="110" spans="2:18" s="2368" customFormat="1">
      <c r="B110" s="2396"/>
      <c r="C110" s="2396"/>
      <c r="D110" s="2396"/>
      <c r="E110" s="2396"/>
      <c r="F110" s="2396"/>
      <c r="G110" s="2397"/>
      <c r="H110" s="2396"/>
      <c r="I110" s="2397"/>
      <c r="J110" s="2396"/>
      <c r="K110" s="2396"/>
      <c r="L110" s="2397"/>
      <c r="M110" s="2396"/>
      <c r="N110" s="2396"/>
      <c r="O110" s="2397"/>
      <c r="P110" s="2396"/>
      <c r="Q110" s="2396"/>
      <c r="R110" s="2398"/>
    </row>
    <row r="111" spans="2:18" s="2368" customFormat="1">
      <c r="B111" s="2396"/>
      <c r="C111" s="2396"/>
      <c r="D111" s="2396"/>
      <c r="E111" s="2396"/>
      <c r="F111" s="2396"/>
      <c r="G111" s="2397"/>
      <c r="H111" s="2396"/>
      <c r="I111" s="2397"/>
      <c r="J111" s="2396"/>
      <c r="K111" s="2396"/>
      <c r="L111" s="2397"/>
      <c r="M111" s="2396"/>
      <c r="N111" s="2396"/>
      <c r="O111" s="2397"/>
      <c r="P111" s="2396"/>
      <c r="Q111" s="2396"/>
      <c r="R111" s="2398"/>
    </row>
    <row r="112" spans="2:18" s="2368" customFormat="1">
      <c r="B112" s="2396"/>
      <c r="C112" s="2396"/>
      <c r="D112" s="2396"/>
      <c r="E112" s="2396"/>
      <c r="F112" s="2396"/>
      <c r="G112" s="2397"/>
      <c r="H112" s="2396"/>
      <c r="I112" s="2397"/>
      <c r="J112" s="2396"/>
      <c r="K112" s="2396"/>
      <c r="L112" s="2397"/>
      <c r="M112" s="2396"/>
      <c r="N112" s="2396"/>
      <c r="O112" s="2397"/>
      <c r="P112" s="2396"/>
      <c r="Q112" s="2396"/>
      <c r="R112" s="2398"/>
    </row>
    <row r="113" spans="2:18" s="2368" customFormat="1">
      <c r="B113" s="2396"/>
      <c r="C113" s="2396"/>
      <c r="D113" s="2396"/>
      <c r="E113" s="2396"/>
      <c r="F113" s="2396"/>
      <c r="G113" s="2397"/>
      <c r="H113" s="2396"/>
      <c r="I113" s="2397"/>
      <c r="J113" s="2396"/>
      <c r="K113" s="2396"/>
      <c r="L113" s="2397"/>
      <c r="M113" s="2396"/>
      <c r="N113" s="2396"/>
      <c r="O113" s="2397"/>
      <c r="P113" s="2396"/>
      <c r="Q113" s="2396"/>
      <c r="R113" s="2398"/>
    </row>
    <row r="114" spans="2:18" s="2368" customFormat="1">
      <c r="B114" s="2396"/>
      <c r="C114" s="2396"/>
      <c r="D114" s="2396"/>
      <c r="E114" s="2396"/>
      <c r="F114" s="2396"/>
      <c r="G114" s="2397"/>
      <c r="H114" s="2396"/>
      <c r="I114" s="2397"/>
      <c r="J114" s="2396"/>
      <c r="K114" s="2396"/>
      <c r="L114" s="2397"/>
      <c r="M114" s="2396"/>
      <c r="N114" s="2396"/>
      <c r="O114" s="2397"/>
      <c r="P114" s="2396"/>
      <c r="Q114" s="2396"/>
      <c r="R114" s="2398"/>
    </row>
    <row r="115" spans="2:18" s="2368" customFormat="1">
      <c r="B115" s="2396"/>
      <c r="C115" s="2396"/>
      <c r="D115" s="2396"/>
      <c r="E115" s="2396"/>
      <c r="F115" s="2396"/>
      <c r="G115" s="2397"/>
      <c r="H115" s="2396"/>
      <c r="I115" s="2397"/>
      <c r="J115" s="2396"/>
      <c r="K115" s="2396"/>
      <c r="L115" s="2397"/>
      <c r="M115" s="2396"/>
      <c r="N115" s="2396"/>
      <c r="O115" s="2397"/>
      <c r="P115" s="2396"/>
      <c r="Q115" s="2396"/>
      <c r="R115" s="2398"/>
    </row>
    <row r="116" spans="2:18" s="2368" customFormat="1">
      <c r="B116" s="2396"/>
      <c r="C116" s="2396"/>
      <c r="D116" s="2396"/>
      <c r="E116" s="2396"/>
      <c r="F116" s="2396"/>
      <c r="G116" s="2397"/>
      <c r="H116" s="2396"/>
      <c r="I116" s="2397"/>
      <c r="J116" s="2396"/>
      <c r="K116" s="2396"/>
      <c r="L116" s="2397"/>
      <c r="M116" s="2396"/>
      <c r="N116" s="2396"/>
      <c r="O116" s="2397"/>
      <c r="P116" s="2396"/>
      <c r="Q116" s="2396"/>
      <c r="R116" s="2398"/>
    </row>
    <row r="117" spans="2:18" s="2368" customFormat="1">
      <c r="B117" s="2396"/>
      <c r="C117" s="2396"/>
      <c r="D117" s="2396"/>
      <c r="E117" s="2396"/>
      <c r="F117" s="2396"/>
      <c r="G117" s="2397"/>
      <c r="H117" s="2396"/>
      <c r="I117" s="2397"/>
      <c r="J117" s="2396"/>
      <c r="K117" s="2396"/>
      <c r="L117" s="2397"/>
      <c r="M117" s="2396"/>
      <c r="N117" s="2396"/>
      <c r="O117" s="2397"/>
      <c r="P117" s="2396"/>
      <c r="Q117" s="2396"/>
      <c r="R117" s="2398"/>
    </row>
    <row r="118" spans="2:18" s="2368" customFormat="1">
      <c r="B118" s="2396"/>
      <c r="C118" s="2396"/>
      <c r="D118" s="2396"/>
      <c r="E118" s="2396"/>
      <c r="F118" s="2396"/>
      <c r="G118" s="2397"/>
      <c r="H118" s="2396"/>
      <c r="I118" s="2397"/>
      <c r="J118" s="2396"/>
      <c r="K118" s="2396"/>
      <c r="L118" s="2397"/>
      <c r="M118" s="2396"/>
      <c r="N118" s="2396"/>
      <c r="O118" s="2397"/>
      <c r="P118" s="2396"/>
      <c r="Q118" s="2396"/>
      <c r="R118" s="2398"/>
    </row>
    <row r="119" spans="2:18" s="2368" customFormat="1">
      <c r="B119" s="2396"/>
      <c r="C119" s="2396"/>
      <c r="D119" s="2396"/>
      <c r="E119" s="2396"/>
      <c r="F119" s="2396"/>
      <c r="G119" s="2397"/>
      <c r="H119" s="2396"/>
      <c r="I119" s="2397"/>
      <c r="J119" s="2396"/>
      <c r="K119" s="2396"/>
      <c r="L119" s="2397"/>
      <c r="M119" s="2396"/>
      <c r="N119" s="2396"/>
      <c r="O119" s="2397"/>
      <c r="P119" s="2396"/>
      <c r="Q119" s="2396"/>
      <c r="R119" s="2398"/>
    </row>
    <row r="120" spans="2:18" s="2368" customFormat="1">
      <c r="B120" s="2396"/>
      <c r="C120" s="2396"/>
      <c r="D120" s="2396"/>
      <c r="E120" s="2396"/>
      <c r="F120" s="2396"/>
      <c r="G120" s="2397"/>
      <c r="H120" s="2396"/>
      <c r="I120" s="2397"/>
      <c r="J120" s="2396"/>
      <c r="K120" s="2396"/>
      <c r="L120" s="2397"/>
      <c r="M120" s="2396"/>
      <c r="N120" s="2396"/>
      <c r="O120" s="2397"/>
      <c r="P120" s="2396"/>
      <c r="Q120" s="2396"/>
      <c r="R120" s="2398"/>
    </row>
    <row r="121" spans="2:18" s="2368" customFormat="1">
      <c r="B121" s="2396"/>
      <c r="C121" s="2396"/>
      <c r="D121" s="2396"/>
      <c r="E121" s="2396"/>
      <c r="F121" s="2396"/>
      <c r="G121" s="2397"/>
      <c r="H121" s="2396"/>
      <c r="I121" s="2397"/>
      <c r="J121" s="2396"/>
      <c r="K121" s="2396"/>
      <c r="L121" s="2397"/>
      <c r="M121" s="2396"/>
      <c r="N121" s="2396"/>
      <c r="O121" s="2397"/>
      <c r="P121" s="2396"/>
      <c r="Q121" s="2396"/>
      <c r="R121" s="2398"/>
    </row>
    <row r="122" spans="2:18" s="2368" customFormat="1">
      <c r="B122" s="2396"/>
      <c r="C122" s="2396"/>
      <c r="D122" s="2396"/>
      <c r="E122" s="2396"/>
      <c r="F122" s="2396"/>
      <c r="G122" s="2397"/>
      <c r="H122" s="2396"/>
      <c r="I122" s="2397"/>
      <c r="J122" s="2396"/>
      <c r="K122" s="2396"/>
      <c r="L122" s="2397"/>
      <c r="M122" s="2396"/>
      <c r="N122" s="2396"/>
      <c r="O122" s="2397"/>
      <c r="P122" s="2396"/>
      <c r="Q122" s="2396"/>
      <c r="R122" s="2398"/>
    </row>
    <row r="123" spans="2:18" s="2368" customFormat="1">
      <c r="B123" s="2396"/>
      <c r="C123" s="2396"/>
      <c r="D123" s="2396"/>
      <c r="E123" s="2396"/>
      <c r="F123" s="2396"/>
      <c r="G123" s="2397"/>
      <c r="H123" s="2396"/>
      <c r="I123" s="2397"/>
      <c r="J123" s="2396"/>
      <c r="K123" s="2396"/>
      <c r="L123" s="2397"/>
      <c r="M123" s="2396"/>
      <c r="N123" s="2396"/>
      <c r="O123" s="2397"/>
      <c r="P123" s="2396"/>
      <c r="Q123" s="2396"/>
      <c r="R123" s="2398"/>
    </row>
    <row r="124" spans="2:18" s="2368" customFormat="1">
      <c r="B124" s="2396"/>
      <c r="C124" s="2396"/>
      <c r="D124" s="2396"/>
      <c r="E124" s="2396"/>
      <c r="F124" s="2396"/>
      <c r="G124" s="2397"/>
      <c r="H124" s="2396"/>
      <c r="I124" s="2397"/>
      <c r="J124" s="2396"/>
      <c r="K124" s="2396"/>
      <c r="L124" s="2397"/>
      <c r="M124" s="2396"/>
      <c r="N124" s="2396"/>
      <c r="O124" s="2397"/>
      <c r="P124" s="2396"/>
      <c r="Q124" s="2396"/>
      <c r="R124" s="2398"/>
    </row>
    <row r="125" spans="2:18" s="2368" customFormat="1">
      <c r="B125" s="2396"/>
      <c r="C125" s="2396"/>
      <c r="D125" s="2396"/>
      <c r="E125" s="2396"/>
      <c r="F125" s="2396"/>
      <c r="G125" s="2397"/>
      <c r="H125" s="2396"/>
      <c r="I125" s="2397"/>
      <c r="J125" s="2396"/>
      <c r="K125" s="2396"/>
      <c r="L125" s="2397"/>
      <c r="M125" s="2396"/>
      <c r="N125" s="2396"/>
      <c r="O125" s="2397"/>
      <c r="P125" s="2396"/>
      <c r="Q125" s="2396"/>
      <c r="R125" s="2398"/>
    </row>
    <row r="126" spans="2:18" s="2368" customFormat="1">
      <c r="B126" s="2396"/>
      <c r="C126" s="2396"/>
      <c r="D126" s="2396"/>
      <c r="E126" s="2396"/>
      <c r="F126" s="2396"/>
      <c r="G126" s="2397"/>
      <c r="H126" s="2396"/>
      <c r="I126" s="2397"/>
      <c r="J126" s="2396"/>
      <c r="K126" s="2396"/>
      <c r="L126" s="2397"/>
      <c r="M126" s="2396"/>
      <c r="N126" s="2396"/>
      <c r="O126" s="2397"/>
      <c r="P126" s="2396"/>
      <c r="Q126" s="2396"/>
      <c r="R126" s="2398"/>
    </row>
    <row r="127" spans="2:18" s="2368" customFormat="1">
      <c r="B127" s="2396"/>
      <c r="C127" s="2396"/>
      <c r="D127" s="2396"/>
      <c r="E127" s="2396"/>
      <c r="F127" s="2396"/>
      <c r="G127" s="2397"/>
      <c r="H127" s="2396"/>
      <c r="I127" s="2397"/>
      <c r="J127" s="2396"/>
      <c r="K127" s="2396"/>
      <c r="L127" s="2397"/>
      <c r="M127" s="2396"/>
      <c r="N127" s="2396"/>
      <c r="O127" s="2397"/>
      <c r="P127" s="2396"/>
      <c r="Q127" s="2396"/>
      <c r="R127" s="2398"/>
    </row>
    <row r="128" spans="2:18" s="2368" customFormat="1">
      <c r="B128" s="2396"/>
      <c r="C128" s="2396"/>
      <c r="D128" s="2396"/>
      <c r="E128" s="2396"/>
      <c r="F128" s="2396"/>
      <c r="G128" s="2397"/>
      <c r="H128" s="2396"/>
      <c r="I128" s="2397"/>
      <c r="J128" s="2396"/>
      <c r="K128" s="2396"/>
      <c r="L128" s="2397"/>
      <c r="M128" s="2396"/>
      <c r="N128" s="2396"/>
      <c r="O128" s="2397"/>
      <c r="P128" s="2396"/>
      <c r="Q128" s="2396"/>
      <c r="R128" s="2398"/>
    </row>
    <row r="129" spans="2:18" s="2368" customFormat="1">
      <c r="B129" s="2396"/>
      <c r="C129" s="2396"/>
      <c r="D129" s="2396"/>
      <c r="E129" s="2396"/>
      <c r="F129" s="2396"/>
      <c r="G129" s="2397"/>
      <c r="H129" s="2396"/>
      <c r="I129" s="2397"/>
      <c r="J129" s="2396"/>
      <c r="K129" s="2396"/>
      <c r="L129" s="2397"/>
      <c r="M129" s="2396"/>
      <c r="N129" s="2396"/>
      <c r="O129" s="2397"/>
      <c r="P129" s="2396"/>
      <c r="Q129" s="2396"/>
      <c r="R129" s="2398"/>
    </row>
    <row r="130" spans="2:18" s="2368" customFormat="1">
      <c r="B130" s="2396"/>
      <c r="C130" s="2396"/>
      <c r="D130" s="2396"/>
      <c r="E130" s="2396"/>
      <c r="F130" s="2396"/>
      <c r="G130" s="2397"/>
      <c r="H130" s="2396"/>
      <c r="I130" s="2397"/>
      <c r="J130" s="2396"/>
      <c r="K130" s="2396"/>
      <c r="L130" s="2397"/>
      <c r="M130" s="2396"/>
      <c r="N130" s="2396"/>
      <c r="O130" s="2397"/>
      <c r="P130" s="2396"/>
      <c r="Q130" s="2396"/>
      <c r="R130" s="2398"/>
    </row>
    <row r="131" spans="2:18" s="2368" customFormat="1">
      <c r="B131" s="2396"/>
      <c r="C131" s="2396"/>
      <c r="D131" s="2396"/>
      <c r="E131" s="2396"/>
      <c r="F131" s="2396"/>
      <c r="G131" s="2397"/>
      <c r="H131" s="2396"/>
      <c r="I131" s="2397"/>
      <c r="J131" s="2396"/>
      <c r="K131" s="2396"/>
      <c r="L131" s="2397"/>
      <c r="M131" s="2396"/>
      <c r="N131" s="2396"/>
      <c r="O131" s="2397"/>
      <c r="P131" s="2396"/>
      <c r="Q131" s="2396"/>
      <c r="R131" s="2398"/>
    </row>
    <row r="132" spans="2:18" s="2368" customFormat="1">
      <c r="B132" s="2396"/>
      <c r="C132" s="2396"/>
      <c r="D132" s="2396"/>
      <c r="E132" s="2396"/>
      <c r="F132" s="2396"/>
      <c r="G132" s="2397"/>
      <c r="H132" s="2396"/>
      <c r="I132" s="2397"/>
      <c r="J132" s="2396"/>
      <c r="K132" s="2396"/>
      <c r="L132" s="2397"/>
      <c r="M132" s="2396"/>
      <c r="N132" s="2396"/>
      <c r="O132" s="2397"/>
      <c r="P132" s="2396"/>
      <c r="Q132" s="2396"/>
      <c r="R132" s="2398"/>
    </row>
    <row r="133" spans="2:18" s="2368" customFormat="1">
      <c r="B133" s="2396"/>
      <c r="C133" s="2396"/>
      <c r="D133" s="2396"/>
      <c r="E133" s="2396"/>
      <c r="F133" s="2396"/>
      <c r="G133" s="2397"/>
      <c r="H133" s="2396"/>
      <c r="I133" s="2397"/>
      <c r="J133" s="2396"/>
      <c r="K133" s="2396"/>
      <c r="L133" s="2397"/>
      <c r="M133" s="2396"/>
      <c r="N133" s="2396"/>
      <c r="O133" s="2397"/>
      <c r="P133" s="2396"/>
      <c r="Q133" s="2396"/>
      <c r="R133" s="2398"/>
    </row>
    <row r="134" spans="2:18" s="2368" customFormat="1">
      <c r="B134" s="2396"/>
      <c r="C134" s="2396"/>
      <c r="D134" s="2396"/>
      <c r="E134" s="2396"/>
      <c r="F134" s="2396"/>
      <c r="G134" s="2397"/>
      <c r="H134" s="2396"/>
      <c r="I134" s="2397"/>
      <c r="J134" s="2396"/>
      <c r="K134" s="2396"/>
      <c r="L134" s="2397"/>
      <c r="M134" s="2396"/>
      <c r="N134" s="2396"/>
      <c r="O134" s="2397"/>
      <c r="P134" s="2396"/>
      <c r="Q134" s="2396"/>
      <c r="R134" s="2398"/>
    </row>
    <row r="135" spans="2:18" s="2368" customFormat="1">
      <c r="B135" s="2396"/>
      <c r="C135" s="2396"/>
      <c r="D135" s="2396"/>
      <c r="E135" s="2396"/>
      <c r="F135" s="2396"/>
      <c r="G135" s="2397"/>
      <c r="H135" s="2396"/>
      <c r="I135" s="2397"/>
      <c r="J135" s="2396"/>
      <c r="K135" s="2396"/>
      <c r="L135" s="2397"/>
      <c r="M135" s="2396"/>
      <c r="N135" s="2396"/>
      <c r="O135" s="2397"/>
      <c r="P135" s="2396"/>
      <c r="Q135" s="2396"/>
      <c r="R135" s="2398"/>
    </row>
    <row r="136" spans="2:18" s="2368" customFormat="1">
      <c r="B136" s="2396"/>
      <c r="C136" s="2396"/>
      <c r="D136" s="2396"/>
      <c r="E136" s="2396"/>
      <c r="F136" s="2396"/>
      <c r="G136" s="2397"/>
      <c r="H136" s="2396"/>
      <c r="I136" s="2397"/>
      <c r="J136" s="2396"/>
      <c r="K136" s="2396"/>
      <c r="L136" s="2397"/>
      <c r="M136" s="2396"/>
      <c r="N136" s="2396"/>
      <c r="O136" s="2397"/>
      <c r="P136" s="2396"/>
      <c r="Q136" s="2396"/>
      <c r="R136" s="2398"/>
    </row>
    <row r="137" spans="2:18" s="2368" customFormat="1">
      <c r="B137" s="2396"/>
      <c r="C137" s="2396"/>
      <c r="D137" s="2396"/>
      <c r="E137" s="2396"/>
      <c r="F137" s="2396"/>
      <c r="G137" s="2397"/>
      <c r="H137" s="2396"/>
      <c r="I137" s="2397"/>
      <c r="J137" s="2396"/>
      <c r="K137" s="2396"/>
      <c r="L137" s="2397"/>
      <c r="M137" s="2396"/>
      <c r="N137" s="2396"/>
      <c r="O137" s="2397"/>
      <c r="P137" s="2396"/>
      <c r="Q137" s="2396"/>
      <c r="R137" s="2398"/>
    </row>
    <row r="138" spans="2:18" s="2368" customFormat="1">
      <c r="B138" s="2396"/>
      <c r="C138" s="2396"/>
      <c r="D138" s="2396"/>
      <c r="E138" s="2396"/>
      <c r="F138" s="2396"/>
      <c r="G138" s="2397"/>
      <c r="H138" s="2396"/>
      <c r="I138" s="2397"/>
      <c r="J138" s="2396"/>
      <c r="K138" s="2396"/>
      <c r="L138" s="2397"/>
      <c r="M138" s="2396"/>
      <c r="N138" s="2396"/>
      <c r="O138" s="2397"/>
      <c r="P138" s="2396"/>
      <c r="Q138" s="2396"/>
      <c r="R138" s="2398"/>
    </row>
    <row r="139" spans="2:18" s="2368" customFormat="1">
      <c r="B139" s="2396"/>
      <c r="C139" s="2396"/>
      <c r="D139" s="2396"/>
      <c r="E139" s="2396"/>
      <c r="F139" s="2396"/>
      <c r="G139" s="2397"/>
      <c r="H139" s="2396"/>
      <c r="I139" s="2397"/>
      <c r="J139" s="2396"/>
      <c r="K139" s="2396"/>
      <c r="L139" s="2397"/>
      <c r="M139" s="2396"/>
      <c r="N139" s="2396"/>
      <c r="O139" s="2397"/>
      <c r="P139" s="2396"/>
      <c r="Q139" s="2396"/>
      <c r="R139" s="2398"/>
    </row>
    <row r="140" spans="2:18" s="2368" customFormat="1">
      <c r="B140" s="2396"/>
      <c r="C140" s="2396"/>
      <c r="D140" s="2396"/>
      <c r="E140" s="2396"/>
      <c r="F140" s="2396"/>
      <c r="G140" s="2397"/>
      <c r="H140" s="2396"/>
      <c r="I140" s="2397"/>
      <c r="J140" s="2396"/>
      <c r="K140" s="2396"/>
      <c r="L140" s="2397"/>
      <c r="M140" s="2396"/>
      <c r="N140" s="2396"/>
      <c r="O140" s="2397"/>
      <c r="P140" s="2396"/>
      <c r="Q140" s="2396"/>
      <c r="R140" s="2398"/>
    </row>
    <row r="141" spans="2:18" s="2368" customFormat="1">
      <c r="B141" s="2396"/>
      <c r="C141" s="2396"/>
      <c r="D141" s="2396"/>
      <c r="E141" s="2396"/>
      <c r="F141" s="2396"/>
      <c r="G141" s="2397"/>
      <c r="H141" s="2396"/>
      <c r="I141" s="2397"/>
      <c r="J141" s="2396"/>
      <c r="K141" s="2396"/>
      <c r="L141" s="2397"/>
      <c r="M141" s="2396"/>
      <c r="N141" s="2396"/>
      <c r="O141" s="2397"/>
      <c r="P141" s="2396"/>
      <c r="Q141" s="2396"/>
      <c r="R141" s="2398"/>
    </row>
    <row r="142" spans="2:18" s="2368" customFormat="1">
      <c r="B142" s="2396"/>
      <c r="C142" s="2396"/>
      <c r="D142" s="2396"/>
      <c r="E142" s="2396"/>
      <c r="F142" s="2396"/>
      <c r="G142" s="2397"/>
      <c r="H142" s="2396"/>
      <c r="I142" s="2397"/>
      <c r="J142" s="2396"/>
      <c r="K142" s="2396"/>
      <c r="L142" s="2397"/>
      <c r="M142" s="2396"/>
      <c r="N142" s="2396"/>
      <c r="O142" s="2397"/>
      <c r="P142" s="2396"/>
      <c r="Q142" s="2396"/>
      <c r="R142" s="2398"/>
    </row>
    <row r="143" spans="2:18" s="2368" customFormat="1">
      <c r="B143" s="2396"/>
      <c r="C143" s="2396"/>
      <c r="D143" s="2396"/>
      <c r="E143" s="2396"/>
      <c r="F143" s="2396"/>
      <c r="G143" s="2397"/>
      <c r="H143" s="2396"/>
      <c r="I143" s="2397"/>
      <c r="J143" s="2396"/>
      <c r="K143" s="2396"/>
      <c r="L143" s="2397"/>
      <c r="M143" s="2396"/>
      <c r="N143" s="2396"/>
      <c r="O143" s="2397"/>
      <c r="P143" s="2396"/>
      <c r="Q143" s="2396"/>
      <c r="R143" s="2398"/>
    </row>
    <row r="144" spans="2:18" s="2368" customFormat="1">
      <c r="B144" s="2396"/>
      <c r="C144" s="2396"/>
      <c r="D144" s="2396"/>
      <c r="E144" s="2396"/>
      <c r="F144" s="2396"/>
      <c r="G144" s="2397"/>
      <c r="H144" s="2396"/>
      <c r="I144" s="2397"/>
      <c r="J144" s="2396"/>
      <c r="K144" s="2396"/>
      <c r="L144" s="2397"/>
      <c r="M144" s="2396"/>
      <c r="N144" s="2396"/>
      <c r="O144" s="2397"/>
      <c r="P144" s="2396"/>
      <c r="Q144" s="2396"/>
      <c r="R144" s="2398"/>
    </row>
    <row r="145" spans="2:18" s="2368" customFormat="1">
      <c r="B145" s="2396"/>
      <c r="C145" s="2396"/>
      <c r="D145" s="2396"/>
      <c r="E145" s="2396"/>
      <c r="F145" s="2396"/>
      <c r="G145" s="2397"/>
      <c r="H145" s="2396"/>
      <c r="I145" s="2397"/>
      <c r="J145" s="2396"/>
      <c r="K145" s="2396"/>
      <c r="L145" s="2397"/>
      <c r="M145" s="2396"/>
      <c r="N145" s="2396"/>
      <c r="O145" s="2397"/>
      <c r="P145" s="2396"/>
      <c r="Q145" s="2396"/>
      <c r="R145" s="2398"/>
    </row>
    <row r="146" spans="2:18" s="2368" customFormat="1">
      <c r="B146" s="2396"/>
      <c r="C146" s="2396"/>
      <c r="D146" s="2396"/>
      <c r="E146" s="2396"/>
      <c r="F146" s="2396"/>
      <c r="G146" s="2397"/>
      <c r="H146" s="2396"/>
      <c r="I146" s="2397"/>
      <c r="J146" s="2396"/>
      <c r="K146" s="2396"/>
      <c r="L146" s="2397"/>
      <c r="M146" s="2396"/>
      <c r="N146" s="2396"/>
      <c r="O146" s="2397"/>
      <c r="P146" s="2396"/>
      <c r="Q146" s="2396"/>
      <c r="R146" s="2398"/>
    </row>
    <row r="147" spans="2:18" s="2368" customFormat="1">
      <c r="B147" s="2396"/>
      <c r="C147" s="2396"/>
      <c r="D147" s="2396"/>
      <c r="E147" s="2396"/>
      <c r="F147" s="2396"/>
      <c r="G147" s="2397"/>
      <c r="H147" s="2396"/>
      <c r="I147" s="2397"/>
      <c r="J147" s="2396"/>
      <c r="K147" s="2396"/>
      <c r="L147" s="2397"/>
      <c r="M147" s="2396"/>
      <c r="N147" s="2396"/>
      <c r="O147" s="2397"/>
      <c r="P147" s="2396"/>
      <c r="Q147" s="2396"/>
      <c r="R147" s="2398"/>
    </row>
    <row r="148" spans="2:18" s="2368" customFormat="1">
      <c r="B148" s="2396"/>
      <c r="C148" s="2396"/>
      <c r="D148" s="2396"/>
      <c r="E148" s="2396"/>
      <c r="F148" s="2396"/>
      <c r="G148" s="2397"/>
      <c r="H148" s="2396"/>
      <c r="I148" s="2397"/>
      <c r="J148" s="2396"/>
      <c r="K148" s="2396"/>
      <c r="L148" s="2397"/>
      <c r="M148" s="2396"/>
      <c r="N148" s="2396"/>
      <c r="O148" s="2397"/>
      <c r="P148" s="2396"/>
      <c r="Q148" s="2396"/>
      <c r="R148" s="2398"/>
    </row>
    <row r="149" spans="2:18" s="2368" customFormat="1">
      <c r="B149" s="2396"/>
      <c r="C149" s="2396"/>
      <c r="D149" s="2396"/>
      <c r="E149" s="2396"/>
      <c r="F149" s="2396"/>
      <c r="G149" s="2397"/>
      <c r="H149" s="2396"/>
      <c r="I149" s="2397"/>
      <c r="J149" s="2396"/>
      <c r="K149" s="2396"/>
      <c r="L149" s="2397"/>
      <c r="M149" s="2396"/>
      <c r="N149" s="2396"/>
      <c r="O149" s="2397"/>
      <c r="P149" s="2396"/>
      <c r="Q149" s="2396"/>
      <c r="R149" s="2398"/>
    </row>
    <row r="150" spans="2:18" s="2368" customFormat="1">
      <c r="B150" s="2396"/>
      <c r="C150" s="2396"/>
      <c r="D150" s="2396"/>
      <c r="E150" s="2396"/>
      <c r="F150" s="2396"/>
      <c r="G150" s="2397"/>
      <c r="H150" s="2396"/>
      <c r="I150" s="2397"/>
      <c r="J150" s="2396"/>
      <c r="K150" s="2396"/>
      <c r="L150" s="2397"/>
      <c r="M150" s="2396"/>
      <c r="N150" s="2396"/>
      <c r="O150" s="2397"/>
      <c r="P150" s="2396"/>
      <c r="Q150" s="2396"/>
      <c r="R150" s="2398"/>
    </row>
    <row r="151" spans="2:18" s="2368" customFormat="1">
      <c r="B151" s="2396"/>
      <c r="C151" s="2396"/>
      <c r="D151" s="2396"/>
      <c r="E151" s="2396"/>
      <c r="F151" s="2396"/>
      <c r="G151" s="2397"/>
      <c r="H151" s="2396"/>
      <c r="I151" s="2397"/>
      <c r="J151" s="2396"/>
      <c r="K151" s="2396"/>
      <c r="L151" s="2397"/>
      <c r="M151" s="2396"/>
      <c r="N151" s="2396"/>
      <c r="O151" s="2397"/>
      <c r="P151" s="2396"/>
      <c r="Q151" s="2396"/>
      <c r="R151" s="2398"/>
    </row>
    <row r="152" spans="2:18" s="2368" customFormat="1">
      <c r="B152" s="2396"/>
      <c r="C152" s="2396"/>
      <c r="D152" s="2396"/>
      <c r="E152" s="2396"/>
      <c r="F152" s="2396"/>
      <c r="G152" s="2397"/>
      <c r="H152" s="2396"/>
      <c r="I152" s="2397"/>
      <c r="J152" s="2396"/>
      <c r="K152" s="2396"/>
      <c r="L152" s="2397"/>
      <c r="M152" s="2396"/>
      <c r="N152" s="2396"/>
      <c r="O152" s="2397"/>
      <c r="P152" s="2396"/>
      <c r="Q152" s="2396"/>
      <c r="R152" s="2398"/>
    </row>
    <row r="153" spans="2:18" s="2368" customFormat="1">
      <c r="B153" s="2396"/>
      <c r="C153" s="2396"/>
      <c r="D153" s="2396"/>
      <c r="E153" s="2396"/>
      <c r="F153" s="2396"/>
      <c r="G153" s="2397"/>
      <c r="H153" s="2396"/>
      <c r="I153" s="2397"/>
      <c r="J153" s="2396"/>
      <c r="K153" s="2396"/>
      <c r="L153" s="2397"/>
      <c r="M153" s="2396"/>
      <c r="N153" s="2396"/>
      <c r="O153" s="2397"/>
      <c r="P153" s="2396"/>
      <c r="Q153" s="2396"/>
      <c r="R153" s="2398"/>
    </row>
    <row r="154" spans="2:18" s="2368" customFormat="1">
      <c r="B154" s="2396"/>
      <c r="C154" s="2396"/>
      <c r="D154" s="2396"/>
      <c r="E154" s="2396"/>
      <c r="F154" s="2396"/>
      <c r="G154" s="2397"/>
      <c r="H154" s="2396"/>
      <c r="I154" s="2397"/>
      <c r="J154" s="2396"/>
      <c r="K154" s="2396"/>
      <c r="L154" s="2397"/>
      <c r="M154" s="2396"/>
      <c r="N154" s="2396"/>
      <c r="O154" s="2397"/>
      <c r="P154" s="2396"/>
      <c r="Q154" s="2396"/>
      <c r="R154" s="2398"/>
    </row>
    <row r="155" spans="2:18" s="2368" customFormat="1">
      <c r="B155" s="2396"/>
      <c r="C155" s="2396"/>
      <c r="D155" s="2396"/>
      <c r="E155" s="2396"/>
      <c r="F155" s="2396"/>
      <c r="G155" s="2397"/>
      <c r="H155" s="2396"/>
      <c r="I155" s="2397"/>
      <c r="J155" s="2396"/>
      <c r="K155" s="2396"/>
      <c r="L155" s="2397"/>
      <c r="M155" s="2396"/>
      <c r="N155" s="2396"/>
      <c r="O155" s="2397"/>
      <c r="P155" s="2396"/>
      <c r="Q155" s="2396"/>
      <c r="R155" s="2398"/>
    </row>
    <row r="156" spans="2:18" s="2368" customFormat="1">
      <c r="B156" s="2396"/>
      <c r="C156" s="2396"/>
      <c r="D156" s="2396"/>
      <c r="E156" s="2396"/>
      <c r="F156" s="2396"/>
      <c r="G156" s="2397"/>
      <c r="H156" s="2396"/>
      <c r="I156" s="2397"/>
      <c r="J156" s="2396"/>
      <c r="K156" s="2396"/>
      <c r="L156" s="2397"/>
      <c r="M156" s="2396"/>
      <c r="N156" s="2396"/>
      <c r="O156" s="2397"/>
      <c r="P156" s="2396"/>
      <c r="Q156" s="2396"/>
      <c r="R156" s="2398"/>
    </row>
    <row r="157" spans="2:18" s="2368" customFormat="1">
      <c r="B157" s="2396"/>
      <c r="C157" s="2396"/>
      <c r="D157" s="2396"/>
      <c r="E157" s="2396"/>
      <c r="F157" s="2396"/>
      <c r="G157" s="2397"/>
      <c r="H157" s="2396"/>
      <c r="I157" s="2397"/>
      <c r="J157" s="2396"/>
      <c r="K157" s="2396"/>
      <c r="L157" s="2397"/>
      <c r="M157" s="2396"/>
      <c r="N157" s="2396"/>
      <c r="O157" s="2397"/>
      <c r="P157" s="2396"/>
      <c r="Q157" s="2396"/>
      <c r="R157" s="2398"/>
    </row>
    <row r="158" spans="2:18" s="2368" customFormat="1">
      <c r="B158" s="2396"/>
      <c r="C158" s="2396"/>
      <c r="D158" s="2396"/>
      <c r="E158" s="2396"/>
      <c r="F158" s="2396"/>
      <c r="G158" s="2397"/>
      <c r="H158" s="2396"/>
      <c r="I158" s="2397"/>
      <c r="J158" s="2396"/>
      <c r="K158" s="2396"/>
      <c r="L158" s="2397"/>
      <c r="M158" s="2396"/>
      <c r="N158" s="2396"/>
      <c r="O158" s="2397"/>
      <c r="P158" s="2396"/>
      <c r="Q158" s="2396"/>
      <c r="R158" s="2398"/>
    </row>
    <row r="159" spans="2:18" s="2368" customFormat="1">
      <c r="B159" s="2396"/>
      <c r="C159" s="2396"/>
      <c r="D159" s="2396"/>
      <c r="E159" s="2396"/>
      <c r="F159" s="2396"/>
      <c r="G159" s="2397"/>
      <c r="H159" s="2396"/>
      <c r="I159" s="2397"/>
      <c r="J159" s="2396"/>
      <c r="K159" s="2396"/>
      <c r="L159" s="2397"/>
      <c r="M159" s="2396"/>
      <c r="N159" s="2396"/>
      <c r="O159" s="2397"/>
      <c r="P159" s="2396"/>
      <c r="Q159" s="2396"/>
      <c r="R159" s="2398"/>
    </row>
    <row r="160" spans="2:18" s="2368" customFormat="1">
      <c r="B160" s="2396"/>
      <c r="C160" s="2396"/>
      <c r="D160" s="2396"/>
      <c r="E160" s="2396"/>
      <c r="F160" s="2396"/>
      <c r="G160" s="2397"/>
      <c r="H160" s="2396"/>
      <c r="I160" s="2397"/>
      <c r="J160" s="2396"/>
      <c r="K160" s="2396"/>
      <c r="L160" s="2397"/>
      <c r="M160" s="2396"/>
      <c r="N160" s="2396"/>
      <c r="O160" s="2397"/>
      <c r="P160" s="2396"/>
      <c r="Q160" s="2396"/>
      <c r="R160" s="2398"/>
    </row>
    <row r="161" spans="2:18" s="2368" customFormat="1">
      <c r="B161" s="2396"/>
      <c r="C161" s="2396"/>
      <c r="D161" s="2396"/>
      <c r="E161" s="2396"/>
      <c r="F161" s="2396"/>
      <c r="G161" s="2397"/>
      <c r="H161" s="2396"/>
      <c r="I161" s="2397"/>
      <c r="J161" s="2396"/>
      <c r="K161" s="2396"/>
      <c r="L161" s="2397"/>
      <c r="M161" s="2396"/>
      <c r="N161" s="2396"/>
      <c r="O161" s="2397"/>
      <c r="P161" s="2396"/>
      <c r="Q161" s="2396"/>
      <c r="R161" s="2398"/>
    </row>
    <row r="162" spans="2:18" s="2368" customFormat="1">
      <c r="B162" s="2396"/>
      <c r="C162" s="2396"/>
      <c r="D162" s="2396"/>
      <c r="E162" s="2396"/>
      <c r="F162" s="2396"/>
      <c r="G162" s="2397"/>
      <c r="H162" s="2396"/>
      <c r="I162" s="2397"/>
      <c r="J162" s="2396"/>
      <c r="K162" s="2396"/>
      <c r="L162" s="2397"/>
      <c r="M162" s="2396"/>
      <c r="N162" s="2396"/>
      <c r="O162" s="2397"/>
      <c r="P162" s="2396"/>
      <c r="Q162" s="2396"/>
      <c r="R162" s="2398"/>
    </row>
    <row r="163" spans="2:18" s="2368" customFormat="1">
      <c r="B163" s="2396"/>
      <c r="C163" s="2396"/>
      <c r="D163" s="2396"/>
      <c r="E163" s="2396"/>
      <c r="F163" s="2396"/>
      <c r="G163" s="2397"/>
      <c r="H163" s="2396"/>
      <c r="I163" s="2397"/>
      <c r="J163" s="2396"/>
      <c r="K163" s="2396"/>
      <c r="L163" s="2397"/>
      <c r="M163" s="2396"/>
      <c r="N163" s="2396"/>
      <c r="O163" s="2397"/>
      <c r="P163" s="2396"/>
      <c r="Q163" s="2396"/>
      <c r="R163" s="2398"/>
    </row>
    <row r="164" spans="2:18" s="2368" customFormat="1">
      <c r="B164" s="2396"/>
      <c r="C164" s="2396"/>
      <c r="D164" s="2396"/>
      <c r="E164" s="2396"/>
      <c r="F164" s="2396"/>
      <c r="G164" s="2397"/>
      <c r="H164" s="2396"/>
      <c r="I164" s="2397"/>
      <c r="J164" s="2396"/>
      <c r="K164" s="2396"/>
      <c r="L164" s="2397"/>
      <c r="M164" s="2396"/>
      <c r="N164" s="2396"/>
      <c r="O164" s="2397"/>
      <c r="P164" s="2396"/>
      <c r="Q164" s="2396"/>
      <c r="R164" s="2398"/>
    </row>
    <row r="165" spans="2:18" s="2368" customFormat="1">
      <c r="B165" s="2396"/>
      <c r="C165" s="2396"/>
      <c r="D165" s="2396"/>
      <c r="E165" s="2396"/>
      <c r="F165" s="2396"/>
      <c r="G165" s="2397"/>
      <c r="H165" s="2396"/>
      <c r="I165" s="2397"/>
      <c r="J165" s="2396"/>
      <c r="K165" s="2396"/>
      <c r="L165" s="2397"/>
      <c r="M165" s="2396"/>
      <c r="N165" s="2396"/>
      <c r="O165" s="2397"/>
      <c r="P165" s="2396"/>
      <c r="Q165" s="2396"/>
      <c r="R165" s="2398"/>
    </row>
    <row r="166" spans="2:18" s="2368" customFormat="1">
      <c r="B166" s="2396"/>
      <c r="C166" s="2396"/>
      <c r="D166" s="2396"/>
      <c r="E166" s="2396"/>
      <c r="F166" s="2396"/>
      <c r="G166" s="2397"/>
      <c r="H166" s="2396"/>
      <c r="I166" s="2397"/>
      <c r="J166" s="2396"/>
      <c r="K166" s="2396"/>
      <c r="L166" s="2397"/>
      <c r="M166" s="2396"/>
      <c r="N166" s="2396"/>
      <c r="O166" s="2397"/>
      <c r="P166" s="2396"/>
      <c r="Q166" s="2396"/>
      <c r="R166" s="2398"/>
    </row>
    <row r="167" spans="2:18" s="2368" customFormat="1">
      <c r="B167" s="2396"/>
      <c r="C167" s="2396"/>
      <c r="D167" s="2396"/>
      <c r="E167" s="2396"/>
      <c r="F167" s="2396"/>
      <c r="G167" s="2397"/>
      <c r="H167" s="2396"/>
      <c r="I167" s="2397"/>
      <c r="J167" s="2396"/>
      <c r="K167" s="2396"/>
      <c r="L167" s="2397"/>
      <c r="M167" s="2396"/>
      <c r="N167" s="2396"/>
      <c r="O167" s="2397"/>
      <c r="P167" s="2396"/>
      <c r="Q167" s="2396"/>
      <c r="R167" s="2398"/>
    </row>
    <row r="168" spans="2:18" s="2368" customFormat="1">
      <c r="B168" s="2396"/>
      <c r="C168" s="2396"/>
      <c r="D168" s="2396"/>
      <c r="E168" s="2396"/>
      <c r="F168" s="2396"/>
      <c r="G168" s="2397"/>
      <c r="H168" s="2396"/>
      <c r="I168" s="2397"/>
      <c r="J168" s="2396"/>
      <c r="K168" s="2396"/>
      <c r="L168" s="2397"/>
      <c r="M168" s="2396"/>
      <c r="N168" s="2396"/>
      <c r="O168" s="2397"/>
      <c r="P168" s="2396"/>
      <c r="Q168" s="2396"/>
      <c r="R168" s="2398"/>
    </row>
    <row r="169" spans="2:18" s="2368" customFormat="1">
      <c r="B169" s="2396"/>
      <c r="C169" s="2396"/>
      <c r="D169" s="2396"/>
      <c r="E169" s="2396"/>
      <c r="F169" s="2396"/>
      <c r="G169" s="2397"/>
      <c r="H169" s="2396"/>
      <c r="I169" s="2397"/>
      <c r="J169" s="2396"/>
      <c r="K169" s="2396"/>
      <c r="L169" s="2397"/>
      <c r="M169" s="2396"/>
      <c r="N169" s="2396"/>
      <c r="O169" s="2397"/>
      <c r="P169" s="2396"/>
      <c r="Q169" s="2396"/>
      <c r="R169" s="2398"/>
    </row>
    <row r="170" spans="2:18" s="2368" customFormat="1">
      <c r="B170" s="2396"/>
      <c r="C170" s="2396"/>
      <c r="D170" s="2396"/>
      <c r="E170" s="2396"/>
      <c r="F170" s="2396"/>
      <c r="G170" s="2397"/>
      <c r="H170" s="2396"/>
      <c r="I170" s="2397"/>
      <c r="J170" s="2396"/>
      <c r="K170" s="2396"/>
      <c r="L170" s="2397"/>
      <c r="M170" s="2396"/>
      <c r="N170" s="2396"/>
      <c r="O170" s="2397"/>
      <c r="P170" s="2396"/>
      <c r="Q170" s="2396"/>
      <c r="R170" s="2398"/>
    </row>
    <row r="171" spans="2:18" s="2368" customFormat="1">
      <c r="B171" s="2396"/>
      <c r="C171" s="2396"/>
      <c r="D171" s="2396"/>
      <c r="E171" s="2396"/>
      <c r="F171" s="2396"/>
      <c r="G171" s="2397"/>
      <c r="H171" s="2396"/>
      <c r="I171" s="2397"/>
      <c r="J171" s="2396"/>
      <c r="K171" s="2396"/>
      <c r="L171" s="2397"/>
      <c r="M171" s="2396"/>
      <c r="N171" s="2396"/>
      <c r="O171" s="2397"/>
      <c r="P171" s="2396"/>
      <c r="Q171" s="2396"/>
      <c r="R171" s="2398"/>
    </row>
    <row r="172" spans="2:18" s="2368" customFormat="1">
      <c r="B172" s="2396"/>
      <c r="C172" s="2396"/>
      <c r="D172" s="2396"/>
      <c r="E172" s="2396"/>
      <c r="F172" s="2396"/>
      <c r="G172" s="2397"/>
      <c r="H172" s="2396"/>
      <c r="I172" s="2397"/>
      <c r="J172" s="2396"/>
      <c r="K172" s="2396"/>
      <c r="L172" s="2397"/>
      <c r="M172" s="2396"/>
      <c r="N172" s="2396"/>
      <c r="O172" s="2397"/>
      <c r="P172" s="2396"/>
      <c r="Q172" s="2396"/>
      <c r="R172" s="2398"/>
    </row>
    <row r="173" spans="2:18" s="2368" customFormat="1">
      <c r="B173" s="2396"/>
      <c r="C173" s="2396"/>
      <c r="D173" s="2396"/>
      <c r="E173" s="2396"/>
      <c r="F173" s="2396"/>
      <c r="G173" s="2397"/>
      <c r="H173" s="2396"/>
      <c r="I173" s="2397"/>
      <c r="J173" s="2396"/>
      <c r="K173" s="2396"/>
      <c r="L173" s="2397"/>
      <c r="M173" s="2396"/>
      <c r="N173" s="2396"/>
      <c r="O173" s="2397"/>
      <c r="P173" s="2396"/>
      <c r="Q173" s="2396"/>
      <c r="R173" s="2398"/>
    </row>
    <row r="174" spans="2:18" s="2368" customFormat="1">
      <c r="B174" s="2396"/>
      <c r="C174" s="2396"/>
      <c r="D174" s="2396"/>
      <c r="E174" s="2396"/>
      <c r="F174" s="2396"/>
      <c r="G174" s="2397"/>
      <c r="H174" s="2396"/>
      <c r="I174" s="2397"/>
      <c r="J174" s="2396"/>
      <c r="K174" s="2396"/>
      <c r="L174" s="2397"/>
      <c r="M174" s="2396"/>
      <c r="N174" s="2396"/>
      <c r="O174" s="2397"/>
      <c r="P174" s="2396"/>
      <c r="Q174" s="2396"/>
      <c r="R174" s="2398"/>
    </row>
    <row r="175" spans="2:18" s="2368" customFormat="1">
      <c r="B175" s="2396"/>
      <c r="C175" s="2396"/>
      <c r="D175" s="2396"/>
      <c r="E175" s="2396"/>
      <c r="F175" s="2396"/>
      <c r="G175" s="2397"/>
      <c r="H175" s="2396"/>
      <c r="I175" s="2397"/>
      <c r="J175" s="2396"/>
      <c r="K175" s="2396"/>
      <c r="L175" s="2397"/>
      <c r="M175" s="2396"/>
      <c r="N175" s="2396"/>
      <c r="O175" s="2397"/>
      <c r="P175" s="2396"/>
      <c r="Q175" s="2396"/>
      <c r="R175" s="2398"/>
    </row>
    <row r="176" spans="2:18" s="2368" customFormat="1">
      <c r="B176" s="2396"/>
      <c r="C176" s="2396"/>
      <c r="D176" s="2396"/>
      <c r="E176" s="2396"/>
      <c r="F176" s="2396"/>
      <c r="G176" s="2397"/>
      <c r="H176" s="2396"/>
      <c r="I176" s="2397"/>
      <c r="J176" s="2396"/>
      <c r="K176" s="2396"/>
      <c r="L176" s="2397"/>
      <c r="M176" s="2396"/>
      <c r="N176" s="2396"/>
      <c r="O176" s="2397"/>
      <c r="P176" s="2396"/>
      <c r="Q176" s="2396"/>
      <c r="R176" s="2398"/>
    </row>
    <row r="177" spans="1:18" s="2368" customFormat="1">
      <c r="B177" s="2396"/>
      <c r="C177" s="2396"/>
      <c r="D177" s="2396"/>
      <c r="E177" s="2396"/>
      <c r="F177" s="2396"/>
      <c r="G177" s="2397"/>
      <c r="H177" s="2396"/>
      <c r="I177" s="2397"/>
      <c r="J177" s="2396"/>
      <c r="K177" s="2396"/>
      <c r="L177" s="2397"/>
      <c r="M177" s="2396"/>
      <c r="N177" s="2396"/>
      <c r="O177" s="2397"/>
      <c r="P177" s="2396"/>
      <c r="Q177" s="2396"/>
      <c r="R177" s="2398"/>
    </row>
    <row r="178" spans="1:18" s="2368" customFormat="1">
      <c r="B178" s="2396"/>
      <c r="C178" s="2396"/>
      <c r="D178" s="2396"/>
      <c r="E178" s="2396"/>
      <c r="F178" s="2396"/>
      <c r="G178" s="2397"/>
      <c r="H178" s="2396"/>
      <c r="I178" s="2397"/>
      <c r="J178" s="2396"/>
      <c r="K178" s="2396"/>
      <c r="L178" s="2397"/>
      <c r="M178" s="2396"/>
      <c r="N178" s="2396"/>
      <c r="O178" s="2397"/>
      <c r="P178" s="2396"/>
      <c r="Q178" s="2396"/>
      <c r="R178" s="2398"/>
    </row>
    <row r="179" spans="1:18" s="2368" customFormat="1">
      <c r="B179" s="2396"/>
      <c r="C179" s="2396"/>
      <c r="D179" s="2396"/>
      <c r="E179" s="2396"/>
      <c r="F179" s="2396"/>
      <c r="G179" s="2397"/>
      <c r="H179" s="2396"/>
      <c r="I179" s="2397"/>
      <c r="J179" s="2396"/>
      <c r="K179" s="2396"/>
      <c r="L179" s="2397"/>
      <c r="M179" s="2396"/>
      <c r="N179" s="2396"/>
      <c r="O179" s="2397"/>
      <c r="P179" s="2396"/>
      <c r="Q179" s="2396"/>
      <c r="R179" s="2398"/>
    </row>
    <row r="180" spans="1:18" s="2368" customFormat="1">
      <c r="B180" s="2396"/>
      <c r="C180" s="2396"/>
      <c r="D180" s="2396"/>
      <c r="E180" s="2396"/>
      <c r="F180" s="2396"/>
      <c r="G180" s="2397"/>
      <c r="H180" s="2396"/>
      <c r="I180" s="2397"/>
      <c r="J180" s="2396"/>
      <c r="K180" s="2396"/>
      <c r="L180" s="2397"/>
      <c r="M180" s="2396"/>
      <c r="N180" s="2396"/>
      <c r="O180" s="2397"/>
      <c r="P180" s="2396"/>
      <c r="Q180" s="2396"/>
      <c r="R180" s="2398"/>
    </row>
    <row r="181" spans="1:18" s="2368" customFormat="1">
      <c r="B181" s="2396"/>
      <c r="C181" s="2396"/>
      <c r="D181" s="2396"/>
      <c r="E181" s="2396"/>
      <c r="F181" s="2396"/>
      <c r="G181" s="2397"/>
      <c r="H181" s="2396"/>
      <c r="I181" s="2397"/>
      <c r="J181" s="2396"/>
      <c r="K181" s="2396"/>
      <c r="L181" s="2397"/>
      <c r="M181" s="2396"/>
      <c r="N181" s="2396"/>
      <c r="O181" s="2397"/>
      <c r="P181" s="2396"/>
      <c r="Q181" s="2396"/>
      <c r="R181" s="2398"/>
    </row>
    <row r="182" spans="1:18" s="2368" customFormat="1">
      <c r="B182" s="2396"/>
      <c r="C182" s="2396"/>
      <c r="D182" s="2396"/>
      <c r="E182" s="2396"/>
      <c r="F182" s="2396"/>
      <c r="G182" s="2397"/>
      <c r="H182" s="2396"/>
      <c r="I182" s="2397"/>
      <c r="J182" s="2396"/>
      <c r="K182" s="2396"/>
      <c r="L182" s="2397"/>
      <c r="M182" s="2396"/>
      <c r="N182" s="2396"/>
      <c r="O182" s="2397"/>
      <c r="P182" s="2396"/>
      <c r="Q182" s="2396"/>
      <c r="R182" s="2398"/>
    </row>
    <row r="183" spans="1:18" s="2368" customFormat="1">
      <c r="B183" s="2396"/>
      <c r="C183" s="2396"/>
      <c r="D183" s="2396"/>
      <c r="E183" s="2396"/>
      <c r="F183" s="2396"/>
      <c r="G183" s="2397"/>
      <c r="H183" s="2396"/>
      <c r="I183" s="2397"/>
      <c r="J183" s="2396"/>
      <c r="K183" s="2396"/>
      <c r="L183" s="2397"/>
      <c r="M183" s="2396"/>
      <c r="N183" s="2396"/>
      <c r="O183" s="2397"/>
      <c r="P183" s="2396"/>
      <c r="Q183" s="2396"/>
      <c r="R183" s="2398"/>
    </row>
    <row r="184" spans="1:18" s="2368" customFormat="1">
      <c r="B184" s="2396"/>
      <c r="C184" s="2396"/>
      <c r="D184" s="2396"/>
      <c r="E184" s="2396"/>
      <c r="F184" s="2396"/>
      <c r="G184" s="2397"/>
      <c r="H184" s="2396"/>
      <c r="I184" s="2397"/>
      <c r="J184" s="2396"/>
      <c r="K184" s="2396"/>
      <c r="L184" s="2397"/>
      <c r="M184" s="2396"/>
      <c r="N184" s="2396"/>
      <c r="O184" s="2397"/>
      <c r="P184" s="2396"/>
      <c r="Q184" s="2396"/>
      <c r="R184" s="2398"/>
    </row>
    <row r="185" spans="1:18" s="2368" customFormat="1">
      <c r="B185" s="2396"/>
      <c r="C185" s="2396"/>
      <c r="D185" s="2396"/>
      <c r="E185" s="2396"/>
      <c r="F185" s="2396"/>
      <c r="G185" s="2397"/>
      <c r="H185" s="2396"/>
      <c r="I185" s="2397"/>
      <c r="J185" s="2396"/>
      <c r="K185" s="2396"/>
      <c r="L185" s="2397"/>
      <c r="M185" s="2396"/>
      <c r="N185" s="2396"/>
      <c r="O185" s="2397"/>
      <c r="P185" s="2396"/>
      <c r="Q185" s="2396"/>
      <c r="R185" s="2398"/>
    </row>
    <row r="186" spans="1:18">
      <c r="A186" s="2368"/>
      <c r="B186" s="2396"/>
      <c r="C186" s="2396"/>
      <c r="E186" s="2396"/>
      <c r="F186" s="2396"/>
      <c r="G186" s="2397"/>
    </row>
    <row r="187" spans="1:18">
      <c r="A187" s="2368"/>
      <c r="B187" s="2396"/>
      <c r="C187" s="2396"/>
      <c r="E187" s="2396"/>
      <c r="F187" s="2396"/>
      <c r="G187" s="239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41" customWidth="1"/>
    <col min="2" max="9" width="15.75" style="1741" customWidth="1"/>
    <col min="10" max="16384" width="9" style="1741"/>
  </cols>
  <sheetData>
    <row r="1" spans="1:10" ht="16.5">
      <c r="A1" s="1746" t="s">
        <v>1361</v>
      </c>
      <c r="B1" s="1746">
        <f>SUM(B14:B23)</f>
        <v>134490.28</v>
      </c>
      <c r="C1" s="1745"/>
      <c r="D1" s="1745"/>
      <c r="E1" s="1745"/>
      <c r="F1" s="1745"/>
      <c r="G1" s="1743"/>
    </row>
    <row r="2" spans="1:10" ht="16.5">
      <c r="A2" s="1746" t="s">
        <v>1349</v>
      </c>
      <c r="B2" s="1746">
        <f>SUM(C14:C23)</f>
        <v>109852.9</v>
      </c>
      <c r="C2" s="1745"/>
      <c r="D2" s="1745"/>
      <c r="E2" s="1745"/>
      <c r="F2" s="1745"/>
      <c r="G2" s="1743"/>
    </row>
    <row r="3" spans="1:10" ht="16.5">
      <c r="A3" s="1746" t="s">
        <v>1358</v>
      </c>
      <c r="B3" s="1747">
        <f>项目基本情况!D3</f>
        <v>43528</v>
      </c>
      <c r="C3" s="1745"/>
      <c r="D3" s="1745"/>
      <c r="E3" s="1745"/>
      <c r="F3" s="1745"/>
      <c r="G3" s="1743"/>
    </row>
    <row r="4" spans="1:10" ht="33">
      <c r="A4" s="1746" t="s">
        <v>1357</v>
      </c>
      <c r="B4" s="1746" t="s">
        <v>1356</v>
      </c>
      <c r="C4" s="1746" t="s">
        <v>1355</v>
      </c>
      <c r="D4" s="1746" t="s">
        <v>1354</v>
      </c>
      <c r="E4" s="1745"/>
      <c r="F4" s="1743"/>
      <c r="G4" s="1743"/>
    </row>
    <row r="5" spans="1:10" ht="16.5">
      <c r="A5" s="1746" t="s">
        <v>1353</v>
      </c>
      <c r="B5" s="1746">
        <f ca="1">SUM(D14:D23)</f>
        <v>125754</v>
      </c>
      <c r="C5" s="1746">
        <f ca="1">ROUND(B5*10000/$B$1,0)</f>
        <v>9350</v>
      </c>
      <c r="D5" s="1746">
        <f ca="1">ROUND(B5*10000/$B$2,0)</f>
        <v>11447</v>
      </c>
      <c r="E5" s="1745"/>
      <c r="F5" s="1743"/>
      <c r="G5" s="1743"/>
    </row>
    <row r="6" spans="1:10" ht="16.5">
      <c r="A6" s="1746" t="s">
        <v>1352</v>
      </c>
      <c r="B6" s="1746">
        <f ca="1">SUM(G14:G23)</f>
        <v>125754</v>
      </c>
      <c r="C6" s="1746">
        <f ca="1">ROUND(B6*10000/$B$1,0)</f>
        <v>9350</v>
      </c>
      <c r="D6" s="1746">
        <f ca="1">ROUND(B6*10000/$B$2,0)</f>
        <v>11447</v>
      </c>
      <c r="E6" s="1745"/>
      <c r="F6" s="1743"/>
      <c r="G6" s="1743"/>
    </row>
    <row r="7" spans="1:10" ht="16.5">
      <c r="A7" s="1746" t="s">
        <v>1360</v>
      </c>
      <c r="B7" s="1746">
        <f>SUM(H14:H23)</f>
        <v>0</v>
      </c>
      <c r="C7" s="1746">
        <f>ROUND(B7*10000/$B$1,0)</f>
        <v>0</v>
      </c>
      <c r="D7" s="1746">
        <f>ROUND(B7*10000/$B$2,0)</f>
        <v>0</v>
      </c>
      <c r="E7" s="1745"/>
      <c r="F7" s="1743"/>
      <c r="G7" s="1743"/>
    </row>
    <row r="8" spans="1:10" ht="16.5">
      <c r="A8" s="1746" t="s">
        <v>1281</v>
      </c>
      <c r="B8" s="1746">
        <f>SUM(I14:I23)</f>
        <v>0</v>
      </c>
      <c r="C8" s="1746">
        <f>ROUND(B8*10000/$B$1,0)</f>
        <v>0</v>
      </c>
      <c r="D8" s="1746">
        <f>ROUND(B8*10000/$B$2,0)</f>
        <v>0</v>
      </c>
      <c r="E8" s="1745"/>
      <c r="F8" s="1743"/>
      <c r="G8" s="1743"/>
    </row>
    <row r="9" spans="1:10" ht="16.5">
      <c r="A9" s="1746" t="s">
        <v>1351</v>
      </c>
      <c r="B9" s="1748"/>
      <c r="C9" s="1745"/>
      <c r="D9" s="1745"/>
      <c r="E9" s="1745"/>
      <c r="F9" s="1743"/>
      <c r="G9" s="1743"/>
    </row>
    <row r="10" spans="1:10" ht="16.5">
      <c r="A10" s="1746" t="s">
        <v>1350</v>
      </c>
      <c r="B10" s="1748"/>
      <c r="C10" s="1745"/>
      <c r="D10" s="1745"/>
      <c r="E10" s="1745"/>
      <c r="F10" s="1743"/>
      <c r="G10" s="1743"/>
    </row>
    <row r="11" spans="1:10" ht="16.5">
      <c r="A11" s="1746" t="s">
        <v>1366</v>
      </c>
      <c r="B11" s="1748"/>
      <c r="C11" s="1745"/>
      <c r="D11" s="1745"/>
      <c r="E11" s="1745"/>
      <c r="F11" s="1743"/>
      <c r="G11" s="1743"/>
    </row>
    <row r="12" spans="1:10" ht="16.5">
      <c r="A12" s="1745"/>
      <c r="B12" s="1745"/>
      <c r="C12" s="1745"/>
      <c r="D12" s="1745"/>
      <c r="E12" s="1745"/>
      <c r="F12" s="1743"/>
      <c r="G12" s="1743"/>
    </row>
    <row r="13" spans="1:10" ht="33">
      <c r="A13" s="1751" t="s">
        <v>1365</v>
      </c>
      <c r="B13" s="1744" t="s">
        <v>1362</v>
      </c>
      <c r="C13" s="1744" t="s">
        <v>1364</v>
      </c>
      <c r="D13" s="1744" t="s">
        <v>1363</v>
      </c>
      <c r="E13" s="1746" t="s">
        <v>1355</v>
      </c>
      <c r="F13" s="1746" t="s">
        <v>1354</v>
      </c>
      <c r="G13" s="1744" t="s">
        <v>1348</v>
      </c>
      <c r="H13" s="1744" t="s">
        <v>1359</v>
      </c>
      <c r="I13" s="1744" t="s">
        <v>1347</v>
      </c>
      <c r="J13" s="1743"/>
    </row>
    <row r="14" spans="1:10" ht="16.5">
      <c r="A14" s="1742" t="s">
        <v>1346</v>
      </c>
      <c r="B14" s="1744">
        <f>结果表!B118</f>
        <v>134490.28</v>
      </c>
      <c r="C14" s="1744">
        <f>结果表!C118</f>
        <v>109852.9</v>
      </c>
      <c r="D14" s="1744">
        <f ca="1">结果表!H118</f>
        <v>125754</v>
      </c>
      <c r="E14" s="1744">
        <f ca="1">ROUND(D14*10000/B14,0)</f>
        <v>9350</v>
      </c>
      <c r="F14" s="1744">
        <f ca="1">ROUND(D14*10000/C14,0)</f>
        <v>11447</v>
      </c>
      <c r="G14" s="1744">
        <f ca="1">结果表!D122</f>
        <v>125754</v>
      </c>
      <c r="H14" s="1744" t="str">
        <f>结果表!D124</f>
        <v>——</v>
      </c>
      <c r="I14" s="1744" t="str">
        <f>结果表!D126</f>
        <v>——</v>
      </c>
      <c r="J14" s="1743"/>
    </row>
    <row r="15" spans="1:10" ht="16.5">
      <c r="A15" s="1742" t="s">
        <v>1345</v>
      </c>
      <c r="B15" s="1749"/>
      <c r="C15" s="1749"/>
      <c r="D15" s="1749"/>
      <c r="E15" s="1744" t="e">
        <f t="shared" ref="E15:E23" si="0">ROUND(D15*10000/B15,0)</f>
        <v>#DIV/0!</v>
      </c>
      <c r="F15" s="1744" t="e">
        <f t="shared" ref="F15:F23" si="1">ROUND(D15*10000/C15,0)</f>
        <v>#DIV/0!</v>
      </c>
      <c r="G15" s="1750"/>
      <c r="H15" s="1750"/>
      <c r="I15" s="1749"/>
      <c r="J15" s="1743"/>
    </row>
    <row r="16" spans="1:10" ht="16.5">
      <c r="A16" s="1742" t="s">
        <v>1344</v>
      </c>
      <c r="B16" s="1749"/>
      <c r="C16" s="1749"/>
      <c r="D16" s="1749"/>
      <c r="E16" s="1744" t="e">
        <f t="shared" si="0"/>
        <v>#DIV/0!</v>
      </c>
      <c r="F16" s="1744" t="e">
        <f t="shared" si="1"/>
        <v>#DIV/0!</v>
      </c>
      <c r="G16" s="1750"/>
      <c r="H16" s="1750"/>
      <c r="I16" s="1749"/>
    </row>
    <row r="17" spans="1:9" ht="16.5">
      <c r="A17" s="1742" t="s">
        <v>1343</v>
      </c>
      <c r="B17" s="1749"/>
      <c r="C17" s="1749"/>
      <c r="D17" s="1749"/>
      <c r="E17" s="1744" t="e">
        <f t="shared" si="0"/>
        <v>#DIV/0!</v>
      </c>
      <c r="F17" s="1744" t="e">
        <f t="shared" si="1"/>
        <v>#DIV/0!</v>
      </c>
      <c r="G17" s="1750"/>
      <c r="H17" s="1750"/>
      <c r="I17" s="1749"/>
    </row>
    <row r="18" spans="1:9" ht="16.5">
      <c r="A18" s="1742" t="s">
        <v>1342</v>
      </c>
      <c r="B18" s="1749"/>
      <c r="C18" s="1749"/>
      <c r="D18" s="1749"/>
      <c r="E18" s="1744" t="e">
        <f t="shared" si="0"/>
        <v>#DIV/0!</v>
      </c>
      <c r="F18" s="1744" t="e">
        <f t="shared" si="1"/>
        <v>#DIV/0!</v>
      </c>
      <c r="G18" s="1749"/>
      <c r="H18" s="1749"/>
      <c r="I18" s="1749"/>
    </row>
    <row r="19" spans="1:9" ht="16.5">
      <c r="A19" s="1742" t="s">
        <v>1341</v>
      </c>
      <c r="B19" s="1749"/>
      <c r="C19" s="1749"/>
      <c r="D19" s="1749"/>
      <c r="E19" s="1744" t="e">
        <f t="shared" si="0"/>
        <v>#DIV/0!</v>
      </c>
      <c r="F19" s="1744" t="e">
        <f t="shared" si="1"/>
        <v>#DIV/0!</v>
      </c>
      <c r="G19" s="1749"/>
      <c r="H19" s="1749"/>
      <c r="I19" s="1749"/>
    </row>
    <row r="20" spans="1:9" ht="16.5">
      <c r="A20" s="1742" t="s">
        <v>1340</v>
      </c>
      <c r="B20" s="1749"/>
      <c r="C20" s="1749"/>
      <c r="D20" s="1749"/>
      <c r="E20" s="1744" t="e">
        <f t="shared" si="0"/>
        <v>#DIV/0!</v>
      </c>
      <c r="F20" s="1744" t="e">
        <f t="shared" si="1"/>
        <v>#DIV/0!</v>
      </c>
      <c r="G20" s="1749"/>
      <c r="H20" s="1749"/>
      <c r="I20" s="1749"/>
    </row>
    <row r="21" spans="1:9" ht="16.5">
      <c r="A21" s="1742" t="s">
        <v>1339</v>
      </c>
      <c r="B21" s="1749"/>
      <c r="C21" s="1749"/>
      <c r="D21" s="1749"/>
      <c r="E21" s="1744" t="e">
        <f t="shared" si="0"/>
        <v>#DIV/0!</v>
      </c>
      <c r="F21" s="1744" t="e">
        <f t="shared" si="1"/>
        <v>#DIV/0!</v>
      </c>
      <c r="G21" s="1749"/>
      <c r="H21" s="1749"/>
      <c r="I21" s="1749"/>
    </row>
    <row r="22" spans="1:9" ht="16.5">
      <c r="A22" s="1742" t="s">
        <v>1338</v>
      </c>
      <c r="B22" s="1749"/>
      <c r="C22" s="1749"/>
      <c r="D22" s="1749"/>
      <c r="E22" s="1744" t="e">
        <f t="shared" si="0"/>
        <v>#DIV/0!</v>
      </c>
      <c r="F22" s="1744" t="e">
        <f t="shared" si="1"/>
        <v>#DIV/0!</v>
      </c>
      <c r="G22" s="1749"/>
      <c r="H22" s="1749"/>
      <c r="I22" s="1749"/>
    </row>
    <row r="23" spans="1:9" ht="16.5">
      <c r="A23" s="1742" t="s">
        <v>1337</v>
      </c>
      <c r="B23" s="1749"/>
      <c r="C23" s="1749"/>
      <c r="D23" s="1749"/>
      <c r="E23" s="1746" t="e">
        <f t="shared" si="0"/>
        <v>#DIV/0!</v>
      </c>
      <c r="F23" s="1746" t="e">
        <f t="shared" si="1"/>
        <v>#DIV/0!</v>
      </c>
      <c r="G23" s="1749"/>
      <c r="H23" s="1749"/>
      <c r="I23" s="1749"/>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K26" sqref="K26"/>
    </sheetView>
  </sheetViews>
  <sheetFormatPr defaultColWidth="12.625" defaultRowHeight="21.75" customHeight="1"/>
  <cols>
    <col min="1" max="2" width="12.625" style="2425"/>
    <col min="3" max="4" width="12.625" style="2425" customWidth="1"/>
    <col min="5" max="9" width="12.625" style="2425"/>
    <col min="10" max="11" width="12.625" style="795" customWidth="1"/>
    <col min="12" max="12" width="12.625" style="795"/>
    <col min="13" max="13" width="14.125" style="795" bestFit="1" customWidth="1"/>
    <col min="14" max="26" width="12.625" style="795"/>
    <col min="27" max="35" width="12.625" style="2424"/>
    <col min="36" max="16384" width="12.625" style="2425"/>
  </cols>
  <sheetData>
    <row r="1" spans="1:12" ht="21.75" customHeight="1" thickBot="1">
      <c r="A1" s="2225" t="s">
        <v>2111</v>
      </c>
      <c r="B1" s="2419"/>
      <c r="C1" s="2420"/>
      <c r="D1" s="2419"/>
      <c r="E1" s="2419"/>
      <c r="F1" s="2421" t="s">
        <v>2112</v>
      </c>
      <c r="G1" s="2071" t="s">
        <v>3051</v>
      </c>
      <c r="H1" s="2422" t="str">
        <f>IF(G1="现房","——","估价对象范围")</f>
        <v>——</v>
      </c>
      <c r="I1" s="2423"/>
    </row>
    <row r="2" spans="1:12" ht="21.75" customHeight="1" thickBot="1">
      <c r="A2" s="3119" t="str">
        <f>项目基本情况!S2</f>
        <v>北京市北京经济技术开发区东环中路5号11幢等6幢楼工业用房房地产</v>
      </c>
      <c r="B2" s="3120"/>
      <c r="C2" s="3120"/>
      <c r="D2" s="3120"/>
      <c r="E2" s="3120"/>
      <c r="F2" s="3120"/>
      <c r="G2" s="3120"/>
      <c r="H2" s="3120"/>
      <c r="I2" s="3121"/>
    </row>
    <row r="3" spans="1:12" ht="12.75">
      <c r="A3" s="3123" t="s">
        <v>2113</v>
      </c>
      <c r="B3" s="3124"/>
      <c r="C3" s="3124"/>
      <c r="D3" s="3124"/>
      <c r="E3" s="3124"/>
      <c r="F3" s="3124"/>
      <c r="G3" s="3124"/>
      <c r="H3" s="3124"/>
      <c r="I3" s="3124"/>
    </row>
    <row r="4" spans="1:12" ht="14.25">
      <c r="A4" s="2426" t="s">
        <v>2114</v>
      </c>
      <c r="B4" s="2427" t="s">
        <v>2115</v>
      </c>
      <c r="C4" s="2428" t="s">
        <v>3093</v>
      </c>
      <c r="D4" s="2428" t="s">
        <v>3119</v>
      </c>
      <c r="E4" s="3116" t="s">
        <v>2116</v>
      </c>
      <c r="F4" s="3117"/>
      <c r="G4" s="3117"/>
      <c r="H4" s="3117"/>
      <c r="I4" s="3125"/>
      <c r="K4" s="2429" t="str">
        <f>IF(ISNUMBER(FIND("比较法",结果表!C4)),"比较法",IF(ISNUMBER(FIND("成本法",结果表!C4)),"成本法",IF(ISNUMBER(FIND("假设开发法",结果表!C4)),"假设开发法",IF(ISNUMBER(FIND("收益法",结果表!C4)),"收益法","基准地价系数修正法"))))</f>
        <v>成本法</v>
      </c>
      <c r="L4" s="2429" t="str">
        <f>IF(ISNUMBER(FIND("比较法",结果表!D4)),"比较法",IF(ISNUMBER(FIND("成本法",结果表!D4)),"成本法",IF(ISNUMBER(FIND("假设开发法",结果表!D4)),"假设开发法",IF(ISNUMBER(FIND("收益法",结果表!D4)),"收益法","基准地价系数修正法"))))</f>
        <v>收益法</v>
      </c>
    </row>
    <row r="5" spans="1:12" ht="12.75">
      <c r="A5" s="3099" t="s">
        <v>2117</v>
      </c>
      <c r="B5" s="3037">
        <v>25</v>
      </c>
      <c r="C5" s="3102"/>
      <c r="D5" s="3122"/>
      <c r="E5" s="140" t="s">
        <v>2118</v>
      </c>
      <c r="F5" s="2430"/>
      <c r="G5" s="2430"/>
      <c r="H5" s="2430"/>
      <c r="I5" s="1834"/>
    </row>
    <row r="6" spans="1:12" ht="12.75">
      <c r="A6" s="3099"/>
      <c r="B6" s="3037"/>
      <c r="C6" s="3103"/>
      <c r="D6" s="3122"/>
      <c r="E6" s="140" t="s">
        <v>2119</v>
      </c>
      <c r="F6" s="2430"/>
      <c r="G6" s="2430"/>
      <c r="H6" s="2430"/>
      <c r="I6" s="1834"/>
    </row>
    <row r="7" spans="1:12" ht="12.75">
      <c r="A7" s="3099"/>
      <c r="B7" s="3037"/>
      <c r="C7" s="3104"/>
      <c r="D7" s="3122"/>
      <c r="E7" s="140" t="s">
        <v>2120</v>
      </c>
      <c r="F7" s="2430"/>
      <c r="G7" s="2430"/>
      <c r="H7" s="2430"/>
      <c r="I7" s="1834"/>
    </row>
    <row r="8" spans="1:12" ht="12.75">
      <c r="A8" s="3099" t="s">
        <v>2121</v>
      </c>
      <c r="B8" s="3037">
        <v>15</v>
      </c>
      <c r="C8" s="3102"/>
      <c r="D8" s="3122"/>
      <c r="E8" s="140" t="s">
        <v>2122</v>
      </c>
      <c r="F8" s="2430"/>
      <c r="G8" s="2430"/>
      <c r="H8" s="2430"/>
      <c r="I8" s="1834"/>
    </row>
    <row r="9" spans="1:12" ht="12.75">
      <c r="A9" s="3099"/>
      <c r="B9" s="3037"/>
      <c r="C9" s="3104"/>
      <c r="D9" s="3122"/>
      <c r="E9" s="140" t="s">
        <v>2123</v>
      </c>
      <c r="F9" s="2430"/>
      <c r="G9" s="2430"/>
      <c r="H9" s="2430"/>
      <c r="I9" s="1834"/>
    </row>
    <row r="10" spans="1:12" ht="12.75">
      <c r="A10" s="3099" t="s">
        <v>2124</v>
      </c>
      <c r="B10" s="3037">
        <v>15</v>
      </c>
      <c r="C10" s="3102"/>
      <c r="D10" s="3122"/>
      <c r="E10" s="140" t="s">
        <v>2125</v>
      </c>
      <c r="F10" s="2430"/>
      <c r="G10" s="2430"/>
      <c r="H10" s="2430"/>
      <c r="I10" s="1834"/>
    </row>
    <row r="11" spans="1:12" ht="12.75">
      <c r="A11" s="3099"/>
      <c r="B11" s="3037"/>
      <c r="C11" s="3104"/>
      <c r="D11" s="3122"/>
      <c r="E11" s="140" t="s">
        <v>2126</v>
      </c>
      <c r="F11" s="2430"/>
      <c r="G11" s="2430"/>
      <c r="H11" s="2430"/>
      <c r="I11" s="1834"/>
    </row>
    <row r="12" spans="1:12" ht="12.75">
      <c r="A12" s="3099" t="s">
        <v>2127</v>
      </c>
      <c r="B12" s="3037">
        <v>15</v>
      </c>
      <c r="C12" s="3102"/>
      <c r="D12" s="3122"/>
      <c r="E12" s="140" t="s">
        <v>2128</v>
      </c>
      <c r="F12" s="2430"/>
      <c r="G12" s="2430"/>
      <c r="H12" s="2430"/>
      <c r="I12" s="1834"/>
    </row>
    <row r="13" spans="1:12" ht="12.75">
      <c r="A13" s="3099"/>
      <c r="B13" s="3037"/>
      <c r="C13" s="3104"/>
      <c r="D13" s="3122"/>
      <c r="E13" s="140" t="s">
        <v>2129</v>
      </c>
      <c r="F13" s="2430"/>
      <c r="G13" s="2430"/>
      <c r="H13" s="2430"/>
      <c r="I13" s="1834"/>
    </row>
    <row r="14" spans="1:12" ht="12.75">
      <c r="A14" s="3099" t="s">
        <v>2130</v>
      </c>
      <c r="B14" s="3037">
        <v>30</v>
      </c>
      <c r="C14" s="3102">
        <v>5</v>
      </c>
      <c r="D14" s="3122">
        <v>5</v>
      </c>
      <c r="E14" s="140" t="s">
        <v>2131</v>
      </c>
      <c r="F14" s="2430"/>
      <c r="G14" s="2430"/>
      <c r="H14" s="2430"/>
      <c r="I14" s="1834"/>
    </row>
    <row r="15" spans="1:12" ht="12.75">
      <c r="A15" s="3099"/>
      <c r="B15" s="3037"/>
      <c r="C15" s="3103"/>
      <c r="D15" s="3122"/>
      <c r="E15" s="140" t="s">
        <v>2132</v>
      </c>
      <c r="F15" s="2430"/>
      <c r="G15" s="2430"/>
      <c r="H15" s="2430"/>
      <c r="I15" s="1834"/>
    </row>
    <row r="16" spans="1:12" ht="12.75">
      <c r="A16" s="3099"/>
      <c r="B16" s="3037"/>
      <c r="C16" s="3104"/>
      <c r="D16" s="3122"/>
      <c r="E16" s="140" t="s">
        <v>2133</v>
      </c>
      <c r="F16" s="2430"/>
      <c r="G16" s="2430"/>
      <c r="H16" s="2430"/>
      <c r="I16" s="1834"/>
    </row>
    <row r="17" spans="1:35" ht="15">
      <c r="A17" s="2431" t="s">
        <v>2134</v>
      </c>
      <c r="B17" s="64"/>
      <c r="C17" s="141">
        <f>SUM(C5:C16)</f>
        <v>5</v>
      </c>
      <c r="D17" s="141">
        <f>SUM(D5:D16)</f>
        <v>5</v>
      </c>
      <c r="E17" s="138"/>
      <c r="F17" s="138"/>
      <c r="G17" s="138"/>
      <c r="H17" s="138"/>
      <c r="I17" s="138"/>
      <c r="K17" s="2429"/>
      <c r="L17" s="2432" t="s">
        <v>2135</v>
      </c>
      <c r="M17" s="2432" t="s">
        <v>2136</v>
      </c>
    </row>
    <row r="18" spans="1:35" ht="15.75" thickBot="1">
      <c r="A18" s="2433" t="s">
        <v>2137</v>
      </c>
      <c r="B18" s="2434"/>
      <c r="C18" s="142">
        <f>ROUND(C17/SUM(C17:D17),2)</f>
        <v>0.5</v>
      </c>
      <c r="D18" s="142">
        <f>1-C18</f>
        <v>0.5</v>
      </c>
      <c r="E18" s="138"/>
      <c r="F18" s="138"/>
      <c r="G18" s="138"/>
      <c r="H18" s="138"/>
      <c r="I18" s="138"/>
      <c r="K18" s="2429" t="s">
        <v>2138</v>
      </c>
      <c r="L18" s="2429">
        <f>IF(C1="",'数据-汇总表'!E3,SUMIF(项目类型,C1,'数据-汇总表'!E17:E26)+SUMIF(项目类型,C1,'数据-汇总表'!I17:I26))</f>
        <v>134490.28</v>
      </c>
      <c r="M18" s="2429">
        <f>IF(C1="",'数据-汇总表'!E3,SUMIF(项目类型,C1,'数据-汇总表'!E17:E26))</f>
        <v>134490.28</v>
      </c>
    </row>
    <row r="19" spans="1:35" ht="15">
      <c r="A19" s="2435" t="s">
        <v>2139</v>
      </c>
      <c r="B19" s="2436" t="s">
        <v>2140</v>
      </c>
      <c r="C19" s="143">
        <f ca="1">SUMIF(INDIRECT("'"&amp;C4&amp;"'"&amp;"!A:A"),结果表!B19,INDIRECT("'"&amp;C4&amp;"'"&amp;"!B:B"))</f>
        <v>120829</v>
      </c>
      <c r="D19" s="144">
        <f ca="1">SUMIF(INDIRECT("'"&amp;D4&amp;"'"&amp;"!A:A"),结果表!B19,INDIRECT("'"&amp;D4&amp;"'"&amp;"!B:B"))</f>
        <v>130679</v>
      </c>
      <c r="E19" s="2435" t="s">
        <v>2141</v>
      </c>
      <c r="F19" s="2436" t="s">
        <v>2140</v>
      </c>
      <c r="G19" s="145">
        <f ca="1">ROUND(C19*$C$18+D19*$D$18,0)</f>
        <v>125754</v>
      </c>
      <c r="H19" s="2437" t="s">
        <v>2142</v>
      </c>
      <c r="I19" s="138"/>
      <c r="K19" s="2429" t="s">
        <v>2143</v>
      </c>
      <c r="L19" s="2429">
        <f>IF(C1="",'数据-汇总表'!D3,SUMIF(项目类型,C1,'数据-汇总表'!D17:D26)+SUMIF(项目类型,C1,'数据-汇总表'!H17:H27))</f>
        <v>109852.9</v>
      </c>
      <c r="M19" s="2429">
        <f>IF(C1="",'数据-汇总表'!D3,SUMIF(项目类型,C1,'数据-汇总表'!D17:D26))</f>
        <v>109852.9</v>
      </c>
    </row>
    <row r="20" spans="1:35" ht="15">
      <c r="A20" s="2438"/>
      <c r="B20" s="1250" t="s">
        <v>2144</v>
      </c>
      <c r="C20" s="146">
        <f ca="1">SUMIF(INDIRECT("'"&amp;C4&amp;"'"&amp;"!A:A"),结果表!B20,INDIRECT("'"&amp;C4&amp;"'"&amp;"!B:B"))</f>
        <v>8984</v>
      </c>
      <c r="D20" s="147">
        <f ca="1">SUMIF(INDIRECT("'"&amp;D4&amp;"'"&amp;"!A:A"),结果表!B20,INDIRECT("'"&amp;D4&amp;"'"&amp;"!B:B"))</f>
        <v>9717</v>
      </c>
      <c r="E20" s="2438"/>
      <c r="F20" s="1250" t="s">
        <v>2144</v>
      </c>
      <c r="G20" s="148">
        <f ca="1">ROUND(C20*$C$18+D20*$D$18,0)</f>
        <v>9351</v>
      </c>
      <c r="H20" s="983" t="s">
        <v>2145</v>
      </c>
      <c r="I20" s="138"/>
    </row>
    <row r="21" spans="1:35" ht="15" customHeight="1" thickBot="1">
      <c r="A21" s="1003"/>
      <c r="B21" s="2439" t="s">
        <v>2146</v>
      </c>
      <c r="C21" s="789">
        <f ca="1">ROUND(C19*10000/L19,0)</f>
        <v>10999</v>
      </c>
      <c r="D21" s="790">
        <f ca="1">ROUND(D19*10000/L19,0)</f>
        <v>11896</v>
      </c>
      <c r="E21" s="1003"/>
      <c r="F21" s="2439" t="s">
        <v>2146</v>
      </c>
      <c r="G21" s="149">
        <f ca="1">ROUND(G19*10000/L19,0)</f>
        <v>11447</v>
      </c>
      <c r="H21" s="2440" t="s">
        <v>2145</v>
      </c>
      <c r="I21" s="138"/>
    </row>
    <row r="22" spans="1:35" ht="15" thickBot="1">
      <c r="A22" s="2281" t="s">
        <v>2147</v>
      </c>
      <c r="B22" s="2441"/>
      <c r="C22" s="2442"/>
      <c r="D22" s="791">
        <f ca="1">IF(C19&lt;D19,D19/C19-1,C19/D19-1)</f>
        <v>8.1520164861084599E-2</v>
      </c>
      <c r="E22" s="138"/>
      <c r="F22" s="138"/>
      <c r="G22" s="138"/>
      <c r="H22" s="138"/>
      <c r="I22" s="138"/>
    </row>
    <row r="23" spans="1:35" ht="13.5" thickBot="1">
      <c r="A23" s="2419"/>
      <c r="B23" s="2419"/>
      <c r="C23" s="2419"/>
      <c r="D23" s="2419"/>
      <c r="E23" s="138"/>
      <c r="F23" s="138"/>
      <c r="G23" s="138"/>
      <c r="H23" s="138"/>
      <c r="I23" s="138"/>
    </row>
    <row r="24" spans="1:35" ht="14.25">
      <c r="A24" s="3093" t="s">
        <v>2148</v>
      </c>
      <c r="B24" s="2436" t="s">
        <v>2140</v>
      </c>
      <c r="C24" s="145">
        <f>IF(B30=0,0,D30)</f>
        <v>0</v>
      </c>
      <c r="D24" s="2443"/>
      <c r="E24" s="138"/>
      <c r="F24" s="138"/>
      <c r="G24" s="138"/>
      <c r="H24" s="138"/>
      <c r="I24" s="138"/>
    </row>
    <row r="25" spans="1:35" ht="14.25">
      <c r="A25" s="3094"/>
      <c r="B25" s="1250" t="s">
        <v>2144</v>
      </c>
      <c r="C25" s="150">
        <f>IF(B30=0,0,C30)</f>
        <v>0</v>
      </c>
      <c r="D25" s="2444"/>
      <c r="E25" s="138"/>
      <c r="F25" s="138"/>
      <c r="G25" s="138"/>
      <c r="H25" s="138"/>
      <c r="I25" s="138"/>
    </row>
    <row r="26" spans="1:35" ht="13.5" customHeight="1">
      <c r="A26" s="2445" t="s">
        <v>2149</v>
      </c>
      <c r="B26" s="151" t="s">
        <v>2150</v>
      </c>
      <c r="C26" s="151" t="s">
        <v>2151</v>
      </c>
      <c r="D26" s="152" t="s">
        <v>2152</v>
      </c>
      <c r="E26" s="138"/>
      <c r="F26" s="138"/>
      <c r="G26" s="138"/>
      <c r="H26" s="138"/>
      <c r="I26" s="138"/>
    </row>
    <row r="27" spans="1:35" ht="14.25">
      <c r="A27" s="2445"/>
      <c r="B27" s="151">
        <v>0</v>
      </c>
      <c r="C27" s="151">
        <v>0</v>
      </c>
      <c r="D27" s="152">
        <f>ROUND(C27*B27/10000,0)</f>
        <v>0</v>
      </c>
      <c r="E27" s="138"/>
      <c r="F27" s="138"/>
      <c r="G27" s="138"/>
      <c r="H27" s="138"/>
      <c r="I27" s="138"/>
    </row>
    <row r="28" spans="1:35" ht="14.25">
      <c r="A28" s="2445"/>
      <c r="B28" s="151"/>
      <c r="C28" s="151"/>
      <c r="D28" s="152"/>
      <c r="E28" s="138"/>
      <c r="F28" s="138"/>
      <c r="G28" s="138"/>
      <c r="H28" s="138"/>
      <c r="I28" s="138"/>
    </row>
    <row r="29" spans="1:35" ht="14.25">
      <c r="A29" s="2445"/>
      <c r="B29" s="151"/>
      <c r="C29" s="151"/>
      <c r="D29" s="152"/>
      <c r="E29" s="138"/>
      <c r="F29" s="138"/>
      <c r="G29" s="138"/>
      <c r="H29" s="138"/>
      <c r="I29" s="138"/>
    </row>
    <row r="30" spans="1:35" ht="14.25">
      <c r="A30" s="151" t="s">
        <v>2153</v>
      </c>
      <c r="B30" s="151"/>
      <c r="C30" s="151"/>
      <c r="D30" s="151"/>
      <c r="E30" s="2925" t="s">
        <v>3027</v>
      </c>
      <c r="F30" s="138"/>
      <c r="G30" s="138"/>
      <c r="H30" s="138"/>
      <c r="I30" s="138"/>
    </row>
    <row r="31" spans="1:35" s="2447" customFormat="1" ht="15" thickBot="1">
      <c r="A31" s="2446"/>
      <c r="B31" s="2446"/>
      <c r="C31" s="2446"/>
      <c r="D31" s="2446"/>
      <c r="E31" s="138"/>
      <c r="F31" s="138"/>
      <c r="G31" s="138"/>
      <c r="H31" s="138"/>
      <c r="I31" s="138"/>
      <c r="J31" s="795"/>
      <c r="K31" s="795"/>
      <c r="L31" s="795"/>
      <c r="M31" s="795"/>
      <c r="N31" s="795"/>
      <c r="O31" s="795"/>
      <c r="P31" s="795"/>
      <c r="Q31" s="795"/>
      <c r="R31" s="795"/>
      <c r="S31" s="795"/>
      <c r="T31" s="795"/>
      <c r="U31" s="795"/>
      <c r="V31" s="795"/>
      <c r="W31" s="795"/>
      <c r="X31" s="795"/>
      <c r="Y31" s="795"/>
      <c r="Z31" s="795"/>
      <c r="AA31" s="2424"/>
      <c r="AB31" s="2424"/>
      <c r="AC31" s="2424"/>
      <c r="AD31" s="2424"/>
      <c r="AE31" s="2424"/>
      <c r="AF31" s="2424"/>
      <c r="AG31" s="2424"/>
      <c r="AH31" s="2424"/>
      <c r="AI31" s="2424"/>
    </row>
    <row r="32" spans="1:35" ht="15.75" thickBot="1">
      <c r="A32" s="2448" t="s">
        <v>2154</v>
      </c>
      <c r="B32" s="2449"/>
      <c r="C32" s="153">
        <f ca="1">IF(D32="总价",G19-C24,G20-C25)</f>
        <v>125754</v>
      </c>
      <c r="D32" s="2450" t="s">
        <v>2155</v>
      </c>
      <c r="E32" s="138"/>
      <c r="F32" s="138"/>
      <c r="G32" s="138"/>
      <c r="H32" s="138"/>
      <c r="I32" s="138"/>
    </row>
    <row r="33" spans="1:15" ht="15">
      <c r="A33" s="960" t="s">
        <v>2156</v>
      </c>
      <c r="B33" s="2451"/>
      <c r="C33" s="2452" t="s">
        <v>3095</v>
      </c>
      <c r="D33" s="2453" t="s">
        <v>3093</v>
      </c>
      <c r="E33" s="2454" t="s">
        <v>2157</v>
      </c>
      <c r="F33" s="2455" t="str">
        <f>IF(D32="楼面单价","取值（单价）","取值（总价）")</f>
        <v>取值（总价）</v>
      </c>
      <c r="G33" s="138"/>
      <c r="H33" s="138"/>
      <c r="I33" s="138"/>
    </row>
    <row r="34" spans="1:15" ht="15">
      <c r="A34" s="2456"/>
      <c r="B34" s="2457" t="s">
        <v>2158</v>
      </c>
      <c r="C34" s="157">
        <f ca="1">IF(C33="自定义",F34,C32-C35)</f>
        <v>37852</v>
      </c>
      <c r="D34" s="1058">
        <f ca="1">IF(C33="自定义",ROUND(C34/C32,3),IF(C33="收益比率",SUMIF(INDIRECT("'"&amp;D33&amp;"'"&amp;"!b:b"),"土地收益比率",INDIRECT("'"&amp;D33&amp;"'"&amp;"!c:c")),SUMIF(INDIRECT("'"&amp;D33&amp;"'"&amp;"!b:b"),"土地成本比率",INDIRECT("'"&amp;D33&amp;"'"&amp;"!c:c"))))</f>
        <v>0.30100000000000005</v>
      </c>
      <c r="E34" s="2458" t="s">
        <v>2159</v>
      </c>
      <c r="F34" s="1739"/>
      <c r="G34" s="138"/>
      <c r="H34" s="138"/>
      <c r="I34" s="138"/>
    </row>
    <row r="35" spans="1:15" ht="15.75" thickBot="1">
      <c r="A35" s="2459"/>
      <c r="B35" s="2460" t="s">
        <v>2160</v>
      </c>
      <c r="C35" s="1444">
        <f ca="1">IF(C33="自定义",F35,ROUND(C32*D35,0))</f>
        <v>87902</v>
      </c>
      <c r="D35" s="1445">
        <f ca="1">IF(C33="自定义",ROUND(C35/C32,3),IF(C33="收益比率",SUMIF(INDIRECT("'"&amp;D33&amp;"'"&amp;"!b:b"),"建筑物收益比率",INDIRECT("'"&amp;D33&amp;"'"&amp;"!c:c")),SUMIF(INDIRECT("'"&amp;D33&amp;"'"&amp;"!b:b"),"建筑物成本比率",INDIRECT("'"&amp;D33&amp;"'"&amp;"!c:c"))))</f>
        <v>0.69899999999999995</v>
      </c>
      <c r="E35" s="2461" t="s">
        <v>2161</v>
      </c>
      <c r="F35" s="163"/>
      <c r="G35" s="138"/>
      <c r="H35" s="138"/>
      <c r="I35" s="138"/>
    </row>
    <row r="36" spans="1:15" ht="15.75" thickBot="1">
      <c r="A36" s="3111" t="s">
        <v>2162</v>
      </c>
      <c r="B36" s="2462" t="s">
        <v>2163</v>
      </c>
      <c r="C36" s="154"/>
      <c r="D36" s="2463"/>
      <c r="E36" s="2464"/>
      <c r="F36" s="2465"/>
      <c r="G36" s="138"/>
      <c r="H36" s="138"/>
      <c r="I36" s="138"/>
    </row>
    <row r="37" spans="1:15" ht="15.75" thickBot="1">
      <c r="A37" s="3112"/>
      <c r="B37" s="2267" t="s">
        <v>2164</v>
      </c>
      <c r="C37" s="156"/>
      <c r="D37" s="1395"/>
      <c r="E37" s="1395"/>
      <c r="F37" s="2465"/>
      <c r="G37" s="138"/>
      <c r="H37" s="138"/>
      <c r="I37" s="138"/>
    </row>
    <row r="38" spans="1:15" ht="15.75" thickBot="1">
      <c r="A38" s="3113"/>
      <c r="B38" s="2466" t="s">
        <v>2165</v>
      </c>
      <c r="C38" s="727"/>
      <c r="D38" s="2467" t="s">
        <v>2166</v>
      </c>
      <c r="E38" s="1395"/>
      <c r="F38" s="2465"/>
      <c r="G38" s="138"/>
      <c r="H38" s="138"/>
      <c r="I38" s="138"/>
    </row>
    <row r="39" spans="1:15" ht="15">
      <c r="A39" s="2438" t="s">
        <v>2167</v>
      </c>
      <c r="B39" s="2468" t="s">
        <v>2168</v>
      </c>
      <c r="C39" s="2469" t="s">
        <v>2169</v>
      </c>
      <c r="D39" s="2469" t="s">
        <v>2170</v>
      </c>
      <c r="E39" s="2470" t="s">
        <v>2171</v>
      </c>
      <c r="F39" s="2465"/>
      <c r="G39" s="138"/>
      <c r="H39" s="138"/>
      <c r="I39" s="138"/>
    </row>
    <row r="40" spans="1:15" ht="14.25">
      <c r="A40" s="2471" t="s">
        <v>2172</v>
      </c>
      <c r="B40" s="158"/>
      <c r="C40" s="159"/>
      <c r="D40" s="159"/>
      <c r="E40" s="160"/>
      <c r="F40" s="2465"/>
      <c r="G40" s="138"/>
      <c r="H40" s="138"/>
      <c r="I40" s="138"/>
    </row>
    <row r="41" spans="1:15" ht="14.25">
      <c r="A41" s="2471" t="s">
        <v>2173</v>
      </c>
      <c r="B41" s="158"/>
      <c r="C41" s="159"/>
      <c r="D41" s="159"/>
      <c r="E41" s="160"/>
      <c r="F41" s="2465"/>
      <c r="G41" s="138"/>
      <c r="H41" s="138"/>
      <c r="I41" s="138"/>
    </row>
    <row r="42" spans="1:15" ht="15" thickBot="1">
      <c r="A42" s="2472"/>
      <c r="B42" s="161"/>
      <c r="C42" s="162"/>
      <c r="D42" s="162"/>
      <c r="E42" s="163"/>
      <c r="F42" s="2465"/>
      <c r="G42" s="138"/>
      <c r="H42" s="138"/>
      <c r="I42" s="138"/>
    </row>
    <row r="43" spans="1:15" ht="12.75">
      <c r="A43" s="2165"/>
      <c r="B43" s="2165"/>
      <c r="C43" s="2165"/>
      <c r="D43" s="2165"/>
      <c r="E43" s="2165"/>
      <c r="F43" s="2473"/>
      <c r="G43" s="2473"/>
      <c r="H43" s="2473"/>
      <c r="I43" s="2474"/>
    </row>
    <row r="44" spans="1:15" ht="18.75">
      <c r="A44" s="2475" t="s">
        <v>2174</v>
      </c>
      <c r="B44" s="2476"/>
      <c r="C44" s="2476"/>
      <c r="D44" s="2477"/>
      <c r="E44" s="2477"/>
      <c r="F44" s="2478"/>
      <c r="G44" s="2478"/>
      <c r="H44" s="2478"/>
      <c r="I44" s="2478"/>
      <c r="J44" s="2479" t="s">
        <v>2175</v>
      </c>
      <c r="K44" s="2480"/>
      <c r="L44" s="2480"/>
      <c r="M44" s="2480"/>
      <c r="N44" s="2480"/>
      <c r="O44" s="2480"/>
    </row>
    <row r="45" spans="1:15" ht="14.25" customHeight="1" thickBot="1">
      <c r="A45" s="3090" t="s">
        <v>2176</v>
      </c>
      <c r="B45" s="3091"/>
      <c r="C45" s="3092"/>
      <c r="D45" s="164">
        <f ca="1">ROUND(H101*F45,0)</f>
        <v>125754</v>
      </c>
      <c r="E45" s="165" t="s">
        <v>2177</v>
      </c>
      <c r="F45" s="166">
        <v>1</v>
      </c>
      <c r="G45" s="167" t="s">
        <v>2178</v>
      </c>
      <c r="H45" s="138"/>
      <c r="I45" s="138"/>
      <c r="J45" s="3150" t="s">
        <v>2179</v>
      </c>
      <c r="K45" s="3150"/>
      <c r="L45" s="3150"/>
      <c r="M45" s="3150"/>
      <c r="N45" s="3150"/>
      <c r="O45" s="3150"/>
    </row>
    <row r="46" spans="1:15" ht="14.25" customHeight="1">
      <c r="A46" s="3087" t="s">
        <v>2180</v>
      </c>
      <c r="B46" s="3088"/>
      <c r="C46" s="3088"/>
      <c r="D46" s="3088"/>
      <c r="E46" s="3088"/>
      <c r="F46" s="3088"/>
      <c r="G46" s="3089"/>
      <c r="H46" s="2481"/>
      <c r="I46" s="168"/>
      <c r="J46" s="1812">
        <v>1</v>
      </c>
      <c r="K46" s="3150" t="s">
        <v>2181</v>
      </c>
      <c r="L46" s="3150"/>
      <c r="M46" s="3170"/>
      <c r="N46" s="3170"/>
      <c r="O46" s="3170"/>
    </row>
    <row r="47" spans="1:15" ht="12" customHeight="1">
      <c r="A47" s="169" t="s">
        <v>2182</v>
      </c>
      <c r="B47" s="170"/>
      <c r="C47" s="171"/>
      <c r="D47" s="172" t="s">
        <v>2183</v>
      </c>
      <c r="E47" s="24" t="s">
        <v>2184</v>
      </c>
      <c r="F47" s="173" t="s">
        <v>2185</v>
      </c>
      <c r="G47" s="174" t="s">
        <v>2186</v>
      </c>
      <c r="H47" s="2481"/>
      <c r="I47" s="168"/>
      <c r="J47" s="1812">
        <v>2</v>
      </c>
      <c r="K47" s="3150" t="s">
        <v>2187</v>
      </c>
      <c r="L47" s="3150"/>
      <c r="M47" s="3171">
        <f>'数据-取费表'!B2</f>
        <v>43528</v>
      </c>
      <c r="N47" s="3171"/>
      <c r="O47" s="3171"/>
    </row>
    <row r="48" spans="1:15" ht="25.5">
      <c r="A48" s="3118" t="s">
        <v>2188</v>
      </c>
      <c r="B48" s="3101"/>
      <c r="C48" s="3101"/>
      <c r="D48" s="140">
        <f>IF(H48="情况1",0,IF(H48="情况2",D52,IF(H48="情况3",D53,IF(H48="情况4",D54))))</f>
        <v>0</v>
      </c>
      <c r="E48" s="1801" t="str">
        <f>IF(H48="情况4","(销售额-原购置价)×税（费）率","销售额×税（费）率")</f>
        <v>销售额×税（费）率</v>
      </c>
      <c r="F48" s="175" t="str">
        <f>IF(H48="情况1","免征",'数据-取费表'!B41)</f>
        <v>免征</v>
      </c>
      <c r="G48" s="2482" t="s">
        <v>2189</v>
      </c>
      <c r="H48" s="2483" t="s">
        <v>2190</v>
      </c>
      <c r="I48" s="2481"/>
      <c r="J48" s="1812">
        <v>3</v>
      </c>
      <c r="K48" s="3150" t="s">
        <v>2191</v>
      </c>
      <c r="L48" s="3150"/>
      <c r="M48" s="3172">
        <f ca="1">H101</f>
        <v>125754</v>
      </c>
      <c r="N48" s="3172"/>
      <c r="O48" s="3172"/>
    </row>
    <row r="49" spans="1:35" ht="25.5" customHeight="1">
      <c r="A49" s="176" t="s">
        <v>2192</v>
      </c>
      <c r="B49" s="3086" t="s">
        <v>2193</v>
      </c>
      <c r="C49" s="3086"/>
      <c r="D49" s="177">
        <v>0</v>
      </c>
      <c r="E49" s="23" t="s">
        <v>2194</v>
      </c>
      <c r="F49" s="28" t="s">
        <v>34</v>
      </c>
      <c r="G49" s="3156"/>
      <c r="H49" s="138"/>
      <c r="I49" s="2484"/>
      <c r="J49" s="1812">
        <v>4</v>
      </c>
      <c r="K49" s="3150" t="str">
        <f>IF(项目基本情况!E8="房地产抵押价值","房地产抵押价值","抵押担保权已注销时的房地产抵押价值")</f>
        <v>房地产抵押价值</v>
      </c>
      <c r="L49" s="3150"/>
      <c r="M49" s="3172">
        <f ca="1">IF(项目基本情况!E8="房地产抵押价值",H107,H109)</f>
        <v>125754</v>
      </c>
      <c r="N49" s="3172"/>
      <c r="O49" s="3172"/>
    </row>
    <row r="50" spans="1:35" ht="25.5" customHeight="1">
      <c r="A50" s="178"/>
      <c r="B50" s="3086" t="s">
        <v>2195</v>
      </c>
      <c r="C50" s="3086"/>
      <c r="D50" s="179"/>
      <c r="E50" s="31"/>
      <c r="F50" s="180"/>
      <c r="G50" s="3157"/>
      <c r="H50" s="138"/>
      <c r="I50" s="2484"/>
      <c r="J50" s="3150" t="s">
        <v>2196</v>
      </c>
      <c r="K50" s="3150"/>
      <c r="L50" s="3150"/>
      <c r="M50" s="3150"/>
      <c r="N50" s="3150"/>
      <c r="O50" s="3150"/>
    </row>
    <row r="51" spans="1:35" ht="12" customHeight="1">
      <c r="A51" s="181"/>
      <c r="B51" s="3086" t="s">
        <v>2197</v>
      </c>
      <c r="C51" s="3086"/>
      <c r="D51" s="182"/>
      <c r="E51" s="30"/>
      <c r="F51" s="180"/>
      <c r="G51" s="3158"/>
      <c r="H51" s="138"/>
      <c r="I51" s="2484"/>
      <c r="J51" s="2485" t="s">
        <v>2198</v>
      </c>
      <c r="K51" s="3150" t="s">
        <v>2199</v>
      </c>
      <c r="L51" s="3150"/>
      <c r="M51" s="2485" t="s">
        <v>2200</v>
      </c>
      <c r="N51" s="2485" t="s">
        <v>2201</v>
      </c>
      <c r="O51" s="2485" t="s">
        <v>2202</v>
      </c>
    </row>
    <row r="52" spans="1:35" ht="24" customHeight="1">
      <c r="A52" s="183" t="s">
        <v>2203</v>
      </c>
      <c r="B52" s="3086" t="s">
        <v>2204</v>
      </c>
      <c r="C52" s="3086"/>
      <c r="D52" s="182">
        <f ca="1">ROUND(D45*'数据-取费表'!B41/(1+'数据-取费表'!C42),0)</f>
        <v>6587</v>
      </c>
      <c r="E52" s="11" t="s">
        <v>2205</v>
      </c>
      <c r="F52" s="184">
        <f>'数据-取费表'!B41</f>
        <v>5.5000000000000007E-2</v>
      </c>
      <c r="G52" s="2486"/>
      <c r="H52" s="138"/>
      <c r="I52" s="2484"/>
      <c r="J52" s="1812">
        <v>1</v>
      </c>
      <c r="K52" s="3151" t="s">
        <v>2206</v>
      </c>
      <c r="L52" s="3151"/>
      <c r="M52" s="1754">
        <f>D48</f>
        <v>0</v>
      </c>
      <c r="N52" s="1812" t="str">
        <f>E48</f>
        <v>销售额×税（费）率</v>
      </c>
      <c r="O52" s="1755" t="str">
        <f>F48</f>
        <v>免征</v>
      </c>
    </row>
    <row r="53" spans="1:35" ht="12" customHeight="1">
      <c r="A53" s="183" t="s">
        <v>2207</v>
      </c>
      <c r="B53" s="3109" t="s">
        <v>2208</v>
      </c>
      <c r="C53" s="3110"/>
      <c r="D53" s="182">
        <f ca="1">ROUND(D45*'数据-取费表'!B41/(1+'数据-取费表'!C42),0)</f>
        <v>6587</v>
      </c>
      <c r="E53" s="11" t="s">
        <v>2205</v>
      </c>
      <c r="F53" s="184">
        <f>'数据-取费表'!B41</f>
        <v>5.5000000000000007E-2</v>
      </c>
      <c r="G53" s="2486"/>
      <c r="H53" s="138"/>
      <c r="I53" s="2484"/>
      <c r="J53" s="1812">
        <v>2</v>
      </c>
      <c r="K53" s="3151" t="s">
        <v>2209</v>
      </c>
      <c r="L53" s="3151"/>
      <c r="M53" s="1754">
        <f t="shared" ref="M53:O54" ca="1" si="0">D55</f>
        <v>63</v>
      </c>
      <c r="N53" s="1812" t="str">
        <f t="shared" si="0"/>
        <v>销售额×税（费）率</v>
      </c>
      <c r="O53" s="1755">
        <f t="shared" si="0"/>
        <v>5.0000000000000001E-4</v>
      </c>
    </row>
    <row r="54" spans="1:35" ht="12" customHeight="1">
      <c r="A54" s="183" t="s">
        <v>2210</v>
      </c>
      <c r="B54" s="3109" t="s">
        <v>2211</v>
      </c>
      <c r="C54" s="3110"/>
      <c r="D54" s="182">
        <f ca="1">C68</f>
        <v>6587</v>
      </c>
      <c r="E54" s="30" t="s">
        <v>2212</v>
      </c>
      <c r="F54" s="184">
        <f>'数据-取费表'!B41</f>
        <v>5.5000000000000007E-2</v>
      </c>
      <c r="G54" s="2486"/>
      <c r="H54" s="2487"/>
      <c r="I54" s="2484"/>
      <c r="J54" s="1812">
        <v>3</v>
      </c>
      <c r="K54" s="3151" t="s">
        <v>2213</v>
      </c>
      <c r="L54" s="3151"/>
      <c r="M54" s="1754">
        <f t="shared" ca="1" si="0"/>
        <v>71291</v>
      </c>
      <c r="N54" s="1812" t="str">
        <f t="shared" si="0"/>
        <v>增值额×税（费）率</v>
      </c>
      <c r="O54" s="1756" t="str">
        <f t="shared" si="0"/>
        <v>——</v>
      </c>
    </row>
    <row r="55" spans="1:35" ht="24" customHeight="1">
      <c r="A55" s="3100" t="s">
        <v>2214</v>
      </c>
      <c r="B55" s="3101"/>
      <c r="C55" s="3101"/>
      <c r="D55" s="185">
        <f ca="1">IF(H55="个人住宅",0,ROUND(D45*I55,0))</f>
        <v>63</v>
      </c>
      <c r="E55" s="11" t="s">
        <v>2215</v>
      </c>
      <c r="F55" s="184">
        <f>IF(H55="正常",I55,"免征")</f>
        <v>5.0000000000000001E-4</v>
      </c>
      <c r="G55" s="2486"/>
      <c r="H55" s="2483" t="s">
        <v>2216</v>
      </c>
      <c r="I55" s="186">
        <f>'数据-取费表'!B49</f>
        <v>5.0000000000000001E-4</v>
      </c>
      <c r="J55" s="1812" t="str">
        <f>IF(H59="非个人房产","",4)</f>
        <v/>
      </c>
      <c r="K55" s="3151" t="str">
        <f>IF(H59="非个人房产","——","个人所得税")</f>
        <v>——</v>
      </c>
      <c r="L55" s="3151"/>
      <c r="M55" s="1757" t="str">
        <f>D59</f>
        <v>——</v>
      </c>
      <c r="N55" s="1810" t="str">
        <f>E59</f>
        <v>——</v>
      </c>
      <c r="O55" s="1758" t="str">
        <f>F59</f>
        <v>——</v>
      </c>
    </row>
    <row r="56" spans="1:35" ht="24.75">
      <c r="A56" s="3100" t="s">
        <v>2217</v>
      </c>
      <c r="B56" s="3101"/>
      <c r="C56" s="3101"/>
      <c r="D56" s="185">
        <f ca="1">IF(H56="个人住宅",D57,D58)</f>
        <v>71291</v>
      </c>
      <c r="E56" s="11" t="s">
        <v>2218</v>
      </c>
      <c r="F56" s="184" t="str">
        <f>IF(H56="正常",F58,"免征")</f>
        <v>——</v>
      </c>
      <c r="G56" s="2488" t="s">
        <v>2219</v>
      </c>
      <c r="H56" s="2489" t="s">
        <v>2216</v>
      </c>
      <c r="I56" s="2490"/>
      <c r="J56" s="1812" t="str">
        <f>IF(项目基本情况!K6="上海银行",IF(J55="",4,J55+1),"")</f>
        <v/>
      </c>
      <c r="K56" s="3174" t="str">
        <f>IF(项目基本情况!K6="上海银行","其他处置费用","")</f>
        <v/>
      </c>
      <c r="L56" s="3175"/>
      <c r="M56" s="1754" t="str">
        <f>IF(项目基本情况!K6="上海银行",M69,"")</f>
        <v/>
      </c>
      <c r="N56" s="3177" t="str">
        <f>IF(项目基本情况!K6="上海银行","包含处置中涉及的律师、诉讼、拍卖、评估等费用","")</f>
        <v/>
      </c>
      <c r="O56" s="3178"/>
    </row>
    <row r="57" spans="1:35" ht="12.75">
      <c r="A57" s="183" t="s">
        <v>2192</v>
      </c>
      <c r="B57" s="3116" t="s">
        <v>2220</v>
      </c>
      <c r="C57" s="3125"/>
      <c r="D57" s="187">
        <v>0</v>
      </c>
      <c r="E57" s="23" t="s">
        <v>2194</v>
      </c>
      <c r="F57" s="155"/>
      <c r="G57" s="2486"/>
      <c r="H57" s="2490"/>
      <c r="I57" s="2490"/>
      <c r="J57" s="3151">
        <f>IF(AND(J55="",J56=""),4,IF(项目基本情况!K6="上海银行",结果表!J56+1,结果表!J55+1))</f>
        <v>4</v>
      </c>
      <c r="K57" s="3151" t="s">
        <v>2221</v>
      </c>
      <c r="L57" s="2491" t="s">
        <v>2222</v>
      </c>
      <c r="M57" s="1759"/>
      <c r="N57" s="1760">
        <f ca="1">SUMIF(M52:M56,"&lt;9e307")</f>
        <v>71354</v>
      </c>
      <c r="O57" s="2492"/>
      <c r="P57" s="1753">
        <f ca="1">N57/M49</f>
        <v>0.5674093865801485</v>
      </c>
    </row>
    <row r="58" spans="1:35" ht="24.75">
      <c r="A58" s="183" t="s">
        <v>2203</v>
      </c>
      <c r="B58" s="3116" t="s">
        <v>2223</v>
      </c>
      <c r="C58" s="3117"/>
      <c r="D58" s="185">
        <f ca="1">IF(H58="转让取得",C81,C97)</f>
        <v>71291</v>
      </c>
      <c r="E58" s="11" t="s">
        <v>2218</v>
      </c>
      <c r="F58" s="24" t="s">
        <v>34</v>
      </c>
      <c r="G58" s="2486"/>
      <c r="H58" s="2489" t="s">
        <v>2224</v>
      </c>
      <c r="I58" s="2490"/>
      <c r="J58" s="3151"/>
      <c r="K58" s="3151"/>
      <c r="L58" s="2491" t="s">
        <v>2225</v>
      </c>
      <c r="M58" s="1761"/>
      <c r="N58" s="2493" t="str">
        <f ca="1">NUMBERSTRING(INT(N57*10000),2)&amp;"元整"</f>
        <v>柒亿壹仟叁佰伍拾肆万元整</v>
      </c>
      <c r="O58" s="2494"/>
    </row>
    <row r="59" spans="1:35" ht="24.75" thickBot="1">
      <c r="A59" s="3154" t="s">
        <v>2226</v>
      </c>
      <c r="B59" s="3155"/>
      <c r="C59" s="3155"/>
      <c r="D59" s="188" t="str">
        <f>IF(H59="非个人房产","——",IF(H59="个人住宅",0,ROUND(D45*I59,0)))</f>
        <v>——</v>
      </c>
      <c r="E59" s="189" t="str">
        <f>IF(H59="非个人房产","——","销售额×税（费）率")</f>
        <v>——</v>
      </c>
      <c r="F59" s="190" t="str">
        <f>IF(H59="非个人房产","——",IF(H59="个人住宅","免征",I59))</f>
        <v>——</v>
      </c>
      <c r="G59" s="2495" t="s">
        <v>2219</v>
      </c>
      <c r="H59" s="2489" t="s">
        <v>2227</v>
      </c>
      <c r="I59" s="191">
        <v>0.01</v>
      </c>
      <c r="J59" s="3152">
        <f>J57+1</f>
        <v>5</v>
      </c>
      <c r="K59" s="3151" t="s">
        <v>2228</v>
      </c>
      <c r="L59" s="1812" t="s">
        <v>2222</v>
      </c>
      <c r="M59" s="1762"/>
      <c r="N59" s="1763">
        <f ca="1">M49-N57</f>
        <v>54400</v>
      </c>
      <c r="O59" s="2496"/>
    </row>
    <row r="60" spans="1:35" ht="12" customHeight="1">
      <c r="A60" s="2497"/>
      <c r="B60" s="2419"/>
      <c r="C60" s="2419"/>
      <c r="D60" s="2419"/>
      <c r="E60" s="2166"/>
      <c r="F60" s="2490"/>
      <c r="G60" s="2490"/>
      <c r="H60" s="2498"/>
      <c r="I60" s="138"/>
      <c r="J60" s="3153"/>
      <c r="K60" s="3151"/>
      <c r="L60" s="2491" t="s">
        <v>2225</v>
      </c>
      <c r="M60" s="1761"/>
      <c r="N60" s="2493" t="str">
        <f ca="1">NUMBERSTRING(INT(N59*10000),2)&amp;"元整"</f>
        <v>伍亿肆仟肆佰万元整</v>
      </c>
      <c r="O60" s="2494"/>
    </row>
    <row r="61" spans="1:35" ht="13.5" thickBot="1">
      <c r="A61" s="3098" t="s">
        <v>2229</v>
      </c>
      <c r="B61" s="3098"/>
      <c r="C61" s="3098"/>
      <c r="D61" s="3098"/>
      <c r="E61" s="3098"/>
      <c r="F61" s="2490"/>
      <c r="G61" s="2490"/>
      <c r="H61" s="2498"/>
      <c r="I61" s="138"/>
      <c r="J61" s="1812">
        <f>J59+1</f>
        <v>6</v>
      </c>
      <c r="K61" s="3151" t="s">
        <v>2230</v>
      </c>
      <c r="L61" s="3151"/>
      <c r="M61" s="1764"/>
      <c r="N61" s="1765">
        <f ca="1">ROUND(N59*10000/'数据-汇总表'!E3,0)</f>
        <v>4045</v>
      </c>
      <c r="O61" s="2499"/>
    </row>
    <row r="62" spans="1:35" ht="12.75">
      <c r="A62" s="3114" t="s">
        <v>2231</v>
      </c>
      <c r="B62" s="3115"/>
      <c r="C62" s="1804"/>
      <c r="D62" s="1804" t="s">
        <v>2232</v>
      </c>
      <c r="E62" s="192" t="s">
        <v>2233</v>
      </c>
      <c r="F62" s="2490"/>
      <c r="G62" s="2490"/>
      <c r="H62" s="2498"/>
      <c r="I62" s="138"/>
    </row>
    <row r="63" spans="1:35" ht="12.75">
      <c r="A63" s="203" t="s">
        <v>775</v>
      </c>
      <c r="B63" s="193" t="s">
        <v>2234</v>
      </c>
      <c r="C63" s="194">
        <f ca="1">ROUND((C64+C65)/(1+'数据-取费表'!C42),0)</f>
        <v>119766</v>
      </c>
      <c r="D63" s="195"/>
      <c r="E63" s="196"/>
      <c r="F63" s="2490"/>
      <c r="G63" s="2490"/>
      <c r="H63" s="2498"/>
      <c r="I63" s="138"/>
      <c r="J63" s="3176" t="s">
        <v>2235</v>
      </c>
      <c r="K63" s="2500" t="s">
        <v>2236</v>
      </c>
      <c r="L63" s="1752">
        <f ca="1">IF(M49&gt;10000,M49*0.5%,IF(AND(M49&gt;1000,M49&lt;=10000),M49*1%,IF(AND(M49&gt;100,M49&lt;=1000),M49*3%,IF(AND(M49&gt;10,M49&lt;=100),M49*5%,M49*8%))))</f>
        <v>628.77</v>
      </c>
      <c r="M63" s="24">
        <f ca="1">ROUND(L63,1)</f>
        <v>628.79999999999995</v>
      </c>
      <c r="Z63" s="2424"/>
      <c r="AI63" s="2425"/>
    </row>
    <row r="64" spans="1:35" ht="14.25" customHeight="1">
      <c r="A64" s="197" t="s">
        <v>770</v>
      </c>
      <c r="B64" s="198" t="s">
        <v>2237</v>
      </c>
      <c r="C64" s="199">
        <f ca="1">D45</f>
        <v>125754</v>
      </c>
      <c r="D64" s="200" t="s">
        <v>32</v>
      </c>
      <c r="E64" s="201"/>
      <c r="F64" s="2490"/>
      <c r="G64" s="2490"/>
      <c r="H64" s="2498"/>
      <c r="I64" s="138"/>
      <c r="J64" s="3176"/>
      <c r="K64" s="2500" t="s">
        <v>2238</v>
      </c>
      <c r="L64" s="1752">
        <f ca="1">IF(M49&gt;2000,M49*0.5%,IF(AND(M49&gt;1000,M49&lt;=2000),M49*0.6%,IF(AND(M49&gt;500,M49&lt;=1000),M49*0.7%,IF(AND(M49&gt;200,M49&lt;=500),M49*0.8%,IF(AND(M49&gt;100,M49&lt;=200),M49*0.9%,IF(AND(M49&gt;50,M49&lt;=100),M49*1%,IF(AND(M49&gt;20,M49&lt;=50),M49*1.5%,IF(AND(M49&gt;10,M49&lt;=20),M49*2%,IF(AND(M49&gt;1,M49&lt;=10),M49*2.5%)))))))))</f>
        <v>628.77</v>
      </c>
      <c r="M64" s="24">
        <f t="shared" ref="M64:M65" ca="1" si="1">ROUND(L64,1)</f>
        <v>628.79999999999995</v>
      </c>
      <c r="N64" s="138" t="s">
        <v>2239</v>
      </c>
      <c r="Z64" s="2424"/>
      <c r="AI64" s="2425"/>
    </row>
    <row r="65" spans="1:35" ht="14.25" customHeight="1">
      <c r="A65" s="197" t="s">
        <v>771</v>
      </c>
      <c r="B65" s="198" t="s">
        <v>2240</v>
      </c>
      <c r="C65" s="202"/>
      <c r="D65" s="200"/>
      <c r="E65" s="201"/>
      <c r="F65" s="2490"/>
      <c r="G65" s="2490"/>
      <c r="H65" s="2498"/>
      <c r="I65" s="138"/>
      <c r="J65" s="3176"/>
      <c r="K65" s="2500" t="s">
        <v>2241</v>
      </c>
      <c r="L65" s="1752">
        <f ca="1">IF(M49&gt;1000,M49*0.1%,IF(AND(M49&gt;500,M49&lt;=1000),M49*0.5%,IF(AND(M49&gt;50,M49&lt;=500),M49*1%,IF(AND(M49&gt;1,M49&lt;=50),M49*1.5%))))</f>
        <v>125.754</v>
      </c>
      <c r="M65" s="24">
        <f t="shared" ca="1" si="1"/>
        <v>125.8</v>
      </c>
      <c r="N65" s="138" t="s">
        <v>2239</v>
      </c>
      <c r="Z65" s="2424"/>
      <c r="AI65" s="2425"/>
    </row>
    <row r="66" spans="1:35" ht="14.25" customHeight="1">
      <c r="A66" s="203" t="s">
        <v>772</v>
      </c>
      <c r="B66" s="204" t="s">
        <v>2242</v>
      </c>
      <c r="C66" s="205"/>
      <c r="D66" s="206" t="s">
        <v>32</v>
      </c>
      <c r="E66" s="1776" t="s">
        <v>1367</v>
      </c>
      <c r="F66" s="2490"/>
      <c r="G66" s="2490"/>
      <c r="H66" s="2498"/>
      <c r="I66" s="138"/>
      <c r="J66" s="3176"/>
      <c r="K66" s="2500" t="s">
        <v>2243</v>
      </c>
      <c r="L66" s="1752">
        <f ca="1">M49*0.5%</f>
        <v>628.77</v>
      </c>
      <c r="M66" s="24">
        <f ca="1">IF(L66&gt;0.5,0.5,ROUND(L66,0))</f>
        <v>0.5</v>
      </c>
      <c r="N66" s="138" t="s">
        <v>2244</v>
      </c>
      <c r="Z66" s="2424"/>
      <c r="AI66" s="2425"/>
    </row>
    <row r="67" spans="1:35" ht="14.25" customHeight="1">
      <c r="A67" s="203" t="s">
        <v>773</v>
      </c>
      <c r="B67" s="204" t="s">
        <v>2245</v>
      </c>
      <c r="C67" s="207">
        <f ca="1">C63-C66</f>
        <v>119766</v>
      </c>
      <c r="D67" s="200" t="s">
        <v>32</v>
      </c>
      <c r="E67" s="201"/>
      <c r="F67" s="2490"/>
      <c r="G67" s="2490"/>
      <c r="H67" s="2498"/>
      <c r="I67" s="138"/>
      <c r="J67" s="3176"/>
      <c r="K67" s="2500" t="s">
        <v>2246</v>
      </c>
      <c r="L67" s="1752">
        <f ca="1">IF(M49&gt;=10000,(8.25+(M49-10000)*0.01%),IF(AND(M49&gt;=8000,M49&lt;10000),(7.85+(M49-8000)*0.02%),IF(AND(M49&gt;=5000,M49&lt;8000),(6.65+(M49-5000)*0.04%),IF(AND(M49&gt;=2000,M49&lt;5000),(4.25+(PM49-2000)*0.08%),IF(AND(M49&gt;=1000,M49&lt;2000),(2.75+(M49-1000)*0.15%),IF(AND(M49&gt;=100,M49&lt;1000),(0.5+(M49-100)*0.25%),IF(AND(M49&gt;0,M49&lt;100),M49*0.5%)))))))</f>
        <v>19.825400000000002</v>
      </c>
      <c r="M67" s="24">
        <f ca="1">ROUND(L67*0.9,1)</f>
        <v>17.8</v>
      </c>
      <c r="Z67" s="2424"/>
      <c r="AI67" s="2425"/>
    </row>
    <row r="68" spans="1:35" ht="14.25" customHeight="1" thickBot="1">
      <c r="A68" s="208" t="s">
        <v>774</v>
      </c>
      <c r="B68" s="209" t="s">
        <v>2247</v>
      </c>
      <c r="C68" s="210">
        <f ca="1">IF(C67&lt;=0,0,ROUND(C67*D68,0))</f>
        <v>6587</v>
      </c>
      <c r="D68" s="211">
        <f>'数据-取费表'!B41</f>
        <v>5.5000000000000007E-2</v>
      </c>
      <c r="E68" s="212"/>
      <c r="F68" s="2490"/>
      <c r="G68" s="2490"/>
      <c r="H68" s="2498"/>
      <c r="I68" s="138"/>
      <c r="J68" s="3176"/>
      <c r="K68" s="2500" t="s">
        <v>2248</v>
      </c>
      <c r="L68" s="1752">
        <f ca="1">IF(M49&gt;10000,M49*0.5%,IF(AND(M49&gt;5000,M49&lt;=10000),M49*1%,IF(AND(M49&gt;1000,M49&lt;=5000),M49*2%,IF(AND(M49&gt;200,M49&lt;=1000),M49*3%,M49*5%))))</f>
        <v>628.77</v>
      </c>
      <c r="M68" s="24">
        <f ca="1">ROUND(L68,1)</f>
        <v>628.79999999999995</v>
      </c>
      <c r="Z68" s="2424"/>
      <c r="AI68" s="2425"/>
    </row>
    <row r="69" spans="1:35" s="2447" customFormat="1" ht="16.5" customHeight="1">
      <c r="A69" s="2501"/>
      <c r="B69" s="2502"/>
      <c r="C69" s="2503"/>
      <c r="D69" s="2504"/>
      <c r="E69" s="2505"/>
      <c r="F69" s="2166"/>
      <c r="G69" s="2166"/>
      <c r="H69" s="2165"/>
      <c r="I69" s="2419"/>
      <c r="J69" s="3176"/>
      <c r="K69" s="2500" t="s">
        <v>2249</v>
      </c>
      <c r="L69" s="2506"/>
      <c r="M69" s="24">
        <f ca="1">ROUND(SUM(M63:M68),0)</f>
        <v>2031</v>
      </c>
      <c r="N69" s="1753">
        <f ca="1">M69/M49</f>
        <v>1.6150579703230115E-2</v>
      </c>
      <c r="O69" s="795"/>
      <c r="P69" s="795"/>
      <c r="Q69" s="795"/>
      <c r="R69" s="795"/>
      <c r="S69" s="795"/>
      <c r="T69" s="795"/>
      <c r="U69" s="795"/>
      <c r="V69" s="795"/>
      <c r="W69" s="795"/>
      <c r="X69" s="795"/>
      <c r="Y69" s="795"/>
      <c r="Z69" s="2424"/>
      <c r="AA69" s="2424"/>
      <c r="AB69" s="2424"/>
      <c r="AC69" s="2424"/>
      <c r="AD69" s="2424"/>
      <c r="AE69" s="2424"/>
      <c r="AF69" s="2424"/>
      <c r="AG69" s="2424"/>
      <c r="AH69" s="2424"/>
    </row>
    <row r="70" spans="1:35" s="2508" customFormat="1" ht="15" thickBot="1">
      <c r="A70" s="3135" t="s">
        <v>2250</v>
      </c>
      <c r="B70" s="3136"/>
      <c r="C70" s="3136"/>
      <c r="D70" s="3136"/>
      <c r="E70" s="3136"/>
      <c r="F70" s="3136"/>
      <c r="G70" s="3136"/>
      <c r="H70" s="3136"/>
      <c r="I70" s="2507"/>
      <c r="N70" s="2509"/>
      <c r="O70" s="2509"/>
      <c r="P70" s="2509"/>
      <c r="Q70" s="2509"/>
      <c r="R70" s="2509"/>
      <c r="S70" s="2509"/>
      <c r="T70" s="2509"/>
      <c r="U70" s="2509"/>
      <c r="V70" s="2509"/>
      <c r="W70" s="2509"/>
      <c r="X70" s="2509"/>
      <c r="Y70" s="2509"/>
      <c r="Z70" s="2509"/>
      <c r="AA70" s="2510"/>
      <c r="AB70" s="2510"/>
      <c r="AC70" s="2510"/>
      <c r="AD70" s="2510"/>
      <c r="AE70" s="2510"/>
      <c r="AF70" s="2510"/>
      <c r="AG70" s="2510"/>
      <c r="AH70" s="2510"/>
      <c r="AI70" s="2510"/>
    </row>
    <row r="71" spans="1:35" s="2508" customFormat="1" ht="14.25">
      <c r="A71" s="3114" t="s">
        <v>2231</v>
      </c>
      <c r="B71" s="3115"/>
      <c r="C71" s="1804"/>
      <c r="D71" s="1804" t="s">
        <v>2232</v>
      </c>
      <c r="E71" s="213" t="s">
        <v>2233</v>
      </c>
      <c r="F71" s="214"/>
      <c r="G71" s="214"/>
      <c r="H71" s="215"/>
      <c r="I71" s="2511"/>
      <c r="N71" s="2509"/>
      <c r="O71" s="2509"/>
      <c r="P71" s="2509"/>
      <c r="Q71" s="2509"/>
      <c r="R71" s="2509"/>
      <c r="S71" s="2509"/>
      <c r="T71" s="2509"/>
      <c r="U71" s="2509"/>
      <c r="V71" s="2509"/>
      <c r="W71" s="2509"/>
      <c r="X71" s="2509"/>
      <c r="Y71" s="2509"/>
      <c r="Z71" s="2509"/>
      <c r="AA71" s="2510"/>
      <c r="AB71" s="2510"/>
      <c r="AC71" s="2510"/>
      <c r="AD71" s="2510"/>
      <c r="AE71" s="2510"/>
      <c r="AF71" s="2510"/>
      <c r="AG71" s="2510"/>
      <c r="AH71" s="2510"/>
      <c r="AI71" s="2510"/>
    </row>
    <row r="72" spans="1:35" s="2508" customFormat="1" ht="14.25">
      <c r="A72" s="203" t="s">
        <v>775</v>
      </c>
      <c r="B72" s="204" t="s">
        <v>2251</v>
      </c>
      <c r="C72" s="207">
        <f ca="1">ROUND(D45/(1+'数据-取费表'!C42),0)</f>
        <v>119766</v>
      </c>
      <c r="D72" s="200" t="s">
        <v>32</v>
      </c>
      <c r="E72" s="1803"/>
      <c r="F72" s="1797"/>
      <c r="G72" s="1797"/>
      <c r="H72" s="216"/>
      <c r="I72" s="2511"/>
      <c r="N72" s="2509"/>
      <c r="O72" s="2509"/>
      <c r="P72" s="2509"/>
      <c r="Q72" s="2509"/>
      <c r="R72" s="2509"/>
      <c r="S72" s="2509"/>
      <c r="T72" s="2509"/>
      <c r="U72" s="2509"/>
      <c r="V72" s="2509"/>
      <c r="W72" s="2509"/>
      <c r="X72" s="2509"/>
      <c r="Y72" s="2509"/>
      <c r="Z72" s="2509"/>
      <c r="AA72" s="2510"/>
      <c r="AB72" s="2510"/>
      <c r="AC72" s="2510"/>
      <c r="AD72" s="2510"/>
      <c r="AE72" s="2510"/>
      <c r="AF72" s="2510"/>
      <c r="AG72" s="2510"/>
      <c r="AH72" s="2510"/>
      <c r="AI72" s="2510"/>
    </row>
    <row r="73" spans="1:35" s="2508" customFormat="1" ht="14.25">
      <c r="A73" s="203" t="s">
        <v>772</v>
      </c>
      <c r="B73" s="173" t="s">
        <v>2252</v>
      </c>
      <c r="C73" s="207">
        <f ca="1">C74+C78</f>
        <v>599</v>
      </c>
      <c r="D73" s="200" t="s">
        <v>32</v>
      </c>
      <c r="E73" s="1803"/>
      <c r="F73" s="1797"/>
      <c r="G73" s="1797"/>
      <c r="H73" s="216"/>
      <c r="I73" s="2511"/>
      <c r="J73" s="2509"/>
      <c r="K73" s="2509"/>
      <c r="L73" s="2509"/>
      <c r="M73" s="2509"/>
      <c r="N73" s="2509"/>
      <c r="O73" s="2509"/>
      <c r="P73" s="2509"/>
      <c r="Q73" s="2509"/>
      <c r="R73" s="2509"/>
      <c r="S73" s="2509"/>
      <c r="T73" s="2509"/>
      <c r="U73" s="2509"/>
      <c r="V73" s="2509"/>
      <c r="W73" s="2509"/>
      <c r="X73" s="2509"/>
      <c r="Y73" s="2509"/>
      <c r="Z73" s="2509"/>
      <c r="AA73" s="2510"/>
      <c r="AB73" s="2510"/>
      <c r="AC73" s="2510"/>
      <c r="AD73" s="2510"/>
      <c r="AE73" s="2510"/>
      <c r="AF73" s="2510"/>
      <c r="AG73" s="2510"/>
      <c r="AH73" s="2510"/>
      <c r="AI73" s="2510"/>
    </row>
    <row r="74" spans="1:35" s="2508" customFormat="1" ht="24">
      <c r="A74" s="217" t="s">
        <v>770</v>
      </c>
      <c r="B74" s="198" t="s">
        <v>2253</v>
      </c>
      <c r="C74" s="200">
        <f>ROUND(IF(G77="2016年5月1日后购买",C75/(1+'数据-取费表'!C42)+C76+C77,C75+C76+C77),0)</f>
        <v>0</v>
      </c>
      <c r="D74" s="200" t="s">
        <v>32</v>
      </c>
      <c r="E74" s="1803"/>
      <c r="F74" s="1797"/>
      <c r="G74" s="1797"/>
      <c r="H74" s="216"/>
      <c r="I74" s="2511"/>
      <c r="J74" s="2509"/>
      <c r="K74" s="2509"/>
      <c r="L74" s="2509"/>
      <c r="M74" s="2509"/>
      <c r="N74" s="2509"/>
      <c r="O74" s="2509"/>
      <c r="P74" s="2509"/>
      <c r="Q74" s="2509"/>
      <c r="R74" s="2509"/>
      <c r="S74" s="2509"/>
      <c r="T74" s="2509"/>
      <c r="U74" s="2509"/>
      <c r="V74" s="2509"/>
      <c r="W74" s="2509"/>
      <c r="X74" s="2509"/>
      <c r="Y74" s="2509"/>
      <c r="Z74" s="2509"/>
      <c r="AA74" s="2510"/>
      <c r="AB74" s="2510"/>
      <c r="AC74" s="2510"/>
      <c r="AD74" s="2510"/>
      <c r="AE74" s="2510"/>
      <c r="AF74" s="2510"/>
      <c r="AG74" s="2510"/>
      <c r="AH74" s="2510"/>
      <c r="AI74" s="2510"/>
    </row>
    <row r="75" spans="1:35" s="2508" customFormat="1" ht="14.25">
      <c r="A75" s="217" t="s">
        <v>776</v>
      </c>
      <c r="B75" s="198" t="s">
        <v>2254</v>
      </c>
      <c r="C75" s="218"/>
      <c r="D75" s="200" t="s">
        <v>32</v>
      </c>
      <c r="E75" s="219" t="s">
        <v>2255</v>
      </c>
      <c r="F75" s="2512" t="s">
        <v>2256</v>
      </c>
      <c r="G75" s="219" t="s">
        <v>2257</v>
      </c>
      <c r="H75" s="220"/>
      <c r="I75" s="2513"/>
      <c r="J75" s="2509"/>
      <c r="K75" s="2509"/>
      <c r="L75" s="2509"/>
      <c r="M75" s="2509"/>
      <c r="N75" s="2509"/>
      <c r="O75" s="2509"/>
      <c r="P75" s="2509"/>
      <c r="Q75" s="2509"/>
      <c r="R75" s="2509"/>
      <c r="S75" s="2509"/>
      <c r="T75" s="2509"/>
      <c r="U75" s="2509"/>
      <c r="V75" s="2509"/>
      <c r="W75" s="2509"/>
      <c r="X75" s="2509"/>
      <c r="Y75" s="2509"/>
      <c r="Z75" s="2509"/>
      <c r="AA75" s="2510"/>
      <c r="AB75" s="2510"/>
      <c r="AC75" s="2510"/>
      <c r="AD75" s="2510"/>
      <c r="AE75" s="2510"/>
      <c r="AF75" s="2510"/>
      <c r="AG75" s="2510"/>
      <c r="AH75" s="2510"/>
      <c r="AI75" s="2510"/>
    </row>
    <row r="76" spans="1:35" s="2508" customFormat="1" ht="24.75" customHeight="1">
      <c r="A76" s="217" t="s">
        <v>777</v>
      </c>
      <c r="B76" s="221" t="s">
        <v>2258</v>
      </c>
      <c r="C76" s="200">
        <f>IF(F75="购房发票",ROUND(C75*H75*D76,0),0)</f>
        <v>0</v>
      </c>
      <c r="D76" s="222">
        <v>0.05</v>
      </c>
      <c r="E76" s="3109" t="s">
        <v>2259</v>
      </c>
      <c r="F76" s="3086"/>
      <c r="G76" s="3086"/>
      <c r="H76" s="3134"/>
      <c r="I76" s="2511"/>
      <c r="J76" s="2509"/>
      <c r="K76" s="2509"/>
      <c r="L76" s="2509"/>
      <c r="M76" s="2509"/>
      <c r="N76" s="2509"/>
      <c r="O76" s="2509"/>
      <c r="P76" s="2509"/>
      <c r="Q76" s="2509"/>
      <c r="R76" s="2509"/>
      <c r="S76" s="2509"/>
      <c r="T76" s="2509"/>
      <c r="U76" s="2509"/>
      <c r="V76" s="2509"/>
      <c r="W76" s="2509"/>
      <c r="X76" s="2509"/>
      <c r="Y76" s="2509"/>
      <c r="Z76" s="2509"/>
      <c r="AA76" s="2510"/>
      <c r="AB76" s="2510"/>
      <c r="AC76" s="2510"/>
      <c r="AD76" s="2510"/>
      <c r="AE76" s="2510"/>
      <c r="AF76" s="2510"/>
      <c r="AG76" s="2510"/>
      <c r="AH76" s="2510"/>
      <c r="AI76" s="2510"/>
    </row>
    <row r="77" spans="1:35" s="2508" customFormat="1" ht="24.75" customHeight="1">
      <c r="A77" s="217" t="s">
        <v>778</v>
      </c>
      <c r="B77" s="198" t="s">
        <v>2260</v>
      </c>
      <c r="C77" s="200">
        <f>ROUND(IF(G77="个人住宅",0,IF(G77="2016年5月1日前购买",C75*D77,C75*D77/(1+'数据-取费表'!C42))),0)</f>
        <v>0</v>
      </c>
      <c r="D77" s="223">
        <f>'数据-取费表'!B48+'数据-取费表'!B49</f>
        <v>3.0499999999999999E-2</v>
      </c>
      <c r="E77" s="15" t="s">
        <v>2261</v>
      </c>
      <c r="F77" s="224"/>
      <c r="G77" s="2514" t="s">
        <v>2262</v>
      </c>
      <c r="H77" s="1808" t="str">
        <f>IF(G77="个人买卖住房","免征印花税"," ")</f>
        <v xml:space="preserve"> </v>
      </c>
      <c r="I77" s="2511"/>
      <c r="J77" s="2509"/>
      <c r="K77" s="2509"/>
      <c r="L77" s="2509"/>
      <c r="M77" s="2509"/>
      <c r="N77" s="2509"/>
      <c r="O77" s="2509"/>
      <c r="P77" s="2509"/>
      <c r="Q77" s="2509"/>
      <c r="R77" s="2509"/>
      <c r="S77" s="2509"/>
      <c r="T77" s="2509"/>
      <c r="U77" s="2509"/>
      <c r="V77" s="2509"/>
      <c r="W77" s="2509"/>
      <c r="X77" s="2509"/>
      <c r="Y77" s="2509"/>
      <c r="Z77" s="2509"/>
      <c r="AA77" s="2510"/>
      <c r="AB77" s="2510"/>
      <c r="AC77" s="2510"/>
      <c r="AD77" s="2510"/>
      <c r="AE77" s="2510"/>
      <c r="AF77" s="2510"/>
      <c r="AG77" s="2510"/>
      <c r="AH77" s="2510"/>
      <c r="AI77" s="2510"/>
    </row>
    <row r="78" spans="1:35" s="2508" customFormat="1" ht="24.75" customHeight="1">
      <c r="A78" s="217" t="s">
        <v>771</v>
      </c>
      <c r="B78" s="198" t="s">
        <v>2263</v>
      </c>
      <c r="C78" s="225">
        <f ca="1">ROUND(D45*D78/(1+'数据-取费表'!C42),0)</f>
        <v>599</v>
      </c>
      <c r="D78" s="226">
        <f>'数据-取费表'!B43</f>
        <v>5.000000000000001E-3</v>
      </c>
      <c r="E78" s="3095" t="s">
        <v>2264</v>
      </c>
      <c r="F78" s="3096"/>
      <c r="G78" s="3096"/>
      <c r="H78" s="3105"/>
      <c r="I78" s="2515"/>
      <c r="J78" s="2509"/>
      <c r="K78" s="2509"/>
      <c r="L78" s="2509"/>
      <c r="M78" s="2509"/>
      <c r="N78" s="2509"/>
      <c r="O78" s="2509"/>
      <c r="P78" s="2509"/>
      <c r="Q78" s="2509"/>
      <c r="R78" s="2509"/>
      <c r="S78" s="2509"/>
      <c r="T78" s="2509"/>
      <c r="U78" s="2509"/>
      <c r="V78" s="2509"/>
      <c r="W78" s="2509"/>
      <c r="X78" s="2509"/>
      <c r="Y78" s="2509"/>
      <c r="Z78" s="2509"/>
      <c r="AA78" s="2510"/>
      <c r="AB78" s="2510"/>
      <c r="AC78" s="2510"/>
      <c r="AD78" s="2510"/>
      <c r="AE78" s="2510"/>
      <c r="AF78" s="2510"/>
      <c r="AG78" s="2510"/>
      <c r="AH78" s="2510"/>
      <c r="AI78" s="2510"/>
    </row>
    <row r="79" spans="1:35" s="2508" customFormat="1" ht="14.25">
      <c r="A79" s="2516" t="s">
        <v>779</v>
      </c>
      <c r="B79" s="204" t="s">
        <v>2265</v>
      </c>
      <c r="C79" s="207">
        <f ca="1">C72-C73</f>
        <v>119167</v>
      </c>
      <c r="D79" s="200" t="s">
        <v>32</v>
      </c>
      <c r="E79" s="1803"/>
      <c r="F79" s="1797"/>
      <c r="G79" s="1797"/>
      <c r="H79" s="216"/>
      <c r="I79" s="2511"/>
      <c r="J79" s="2509"/>
      <c r="K79" s="2509"/>
      <c r="L79" s="2509"/>
      <c r="M79" s="2509"/>
      <c r="N79" s="2509"/>
      <c r="O79" s="2509"/>
      <c r="P79" s="2509"/>
      <c r="Q79" s="2509"/>
      <c r="R79" s="2509"/>
      <c r="S79" s="2509"/>
      <c r="T79" s="2509"/>
      <c r="U79" s="2509"/>
      <c r="V79" s="2509"/>
      <c r="W79" s="2509"/>
      <c r="X79" s="2509"/>
      <c r="Y79" s="2509"/>
      <c r="Z79" s="2509"/>
      <c r="AA79" s="2510"/>
      <c r="AB79" s="2510"/>
      <c r="AC79" s="2510"/>
      <c r="AD79" s="2510"/>
      <c r="AE79" s="2510"/>
      <c r="AF79" s="2510"/>
      <c r="AG79" s="2510"/>
      <c r="AH79" s="2510"/>
      <c r="AI79" s="2510"/>
    </row>
    <row r="80" spans="1:35" s="2508" customFormat="1" ht="24">
      <c r="A80" s="2516" t="s">
        <v>780</v>
      </c>
      <c r="B80" s="204" t="s">
        <v>2266</v>
      </c>
      <c r="C80" s="227">
        <f ca="1">IF(C79&lt;=0,0,C79/C73)</f>
        <v>198.94323873121868</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1"/>
      <c r="J80" s="2509"/>
      <c r="K80" s="2509"/>
      <c r="L80" s="2509"/>
      <c r="M80" s="2509"/>
      <c r="N80" s="2509"/>
      <c r="O80" s="2509"/>
      <c r="P80" s="2509"/>
      <c r="Q80" s="2509"/>
      <c r="R80" s="2509"/>
      <c r="S80" s="2509"/>
      <c r="T80" s="2509"/>
      <c r="U80" s="2509"/>
      <c r="V80" s="2509"/>
      <c r="W80" s="2509"/>
      <c r="X80" s="2509"/>
      <c r="Y80" s="2509"/>
      <c r="Z80" s="2509"/>
      <c r="AA80" s="2510"/>
      <c r="AB80" s="2510"/>
      <c r="AC80" s="2510"/>
      <c r="AD80" s="2510"/>
      <c r="AE80" s="2510"/>
      <c r="AF80" s="2510"/>
      <c r="AG80" s="2510"/>
      <c r="AH80" s="2510"/>
      <c r="AI80" s="2510"/>
    </row>
    <row r="81" spans="1:35" s="2508" customFormat="1" ht="24.75" thickBot="1">
      <c r="A81" s="2517" t="s">
        <v>781</v>
      </c>
      <c r="B81" s="209" t="s">
        <v>2267</v>
      </c>
      <c r="C81" s="228">
        <f ca="1">ROUND(IF(C79&lt;=0,0,IF(C80&gt;=200%,C79*60%-C73*35%,IF(C80&gt;=100%,C79*50%-C73*15%,IF(C80&gt;=50%,C79*40%-C73*5%,IF(C80&lt;50%,C79*30%,0))))),0)</f>
        <v>71291</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1"/>
      <c r="J81" s="2509"/>
      <c r="K81" s="2509"/>
      <c r="L81" s="2509"/>
      <c r="M81" s="2509"/>
      <c r="N81" s="2509"/>
      <c r="O81" s="2509"/>
      <c r="P81" s="2509"/>
      <c r="Q81" s="2509"/>
      <c r="R81" s="2509"/>
      <c r="S81" s="2509"/>
      <c r="T81" s="2509"/>
      <c r="U81" s="2509"/>
      <c r="V81" s="2509"/>
      <c r="W81" s="2509"/>
      <c r="X81" s="2509"/>
      <c r="Y81" s="2509"/>
      <c r="Z81" s="2509"/>
      <c r="AA81" s="2510"/>
      <c r="AB81" s="2510"/>
      <c r="AC81" s="2510"/>
      <c r="AD81" s="2510"/>
      <c r="AE81" s="2510"/>
      <c r="AF81" s="2510"/>
      <c r="AG81" s="2510"/>
      <c r="AH81" s="2510"/>
      <c r="AI81" s="2510"/>
    </row>
    <row r="82" spans="1:35" s="2508" customFormat="1" ht="7.5" customHeight="1">
      <c r="A82" s="733"/>
      <c r="B82" s="734"/>
      <c r="C82" s="7"/>
      <c r="D82" s="7"/>
      <c r="E82" s="734"/>
      <c r="F82" s="734"/>
      <c r="G82" s="734"/>
      <c r="H82" s="735"/>
      <c r="I82" s="2515"/>
      <c r="J82" s="2509"/>
      <c r="K82" s="2509"/>
      <c r="L82" s="2509"/>
      <c r="M82" s="2509"/>
      <c r="N82" s="2509"/>
      <c r="O82" s="2509"/>
      <c r="P82" s="2509"/>
      <c r="Q82" s="2509"/>
      <c r="R82" s="2509"/>
      <c r="S82" s="2509"/>
      <c r="T82" s="2509"/>
      <c r="U82" s="2509"/>
      <c r="V82" s="2509"/>
      <c r="W82" s="2509"/>
      <c r="X82" s="2509"/>
      <c r="Y82" s="2509"/>
      <c r="Z82" s="2509"/>
      <c r="AA82" s="2510"/>
      <c r="AB82" s="2510"/>
      <c r="AC82" s="2510"/>
      <c r="AD82" s="2510"/>
      <c r="AE82" s="2510"/>
      <c r="AF82" s="2510"/>
      <c r="AG82" s="2510"/>
      <c r="AH82" s="2510"/>
      <c r="AI82" s="2510"/>
    </row>
    <row r="83" spans="1:35" s="2508" customFormat="1" ht="15" thickBot="1">
      <c r="A83" s="3135" t="s">
        <v>2268</v>
      </c>
      <c r="B83" s="3136"/>
      <c r="C83" s="3136"/>
      <c r="D83" s="3136"/>
      <c r="E83" s="3136"/>
      <c r="F83" s="3136"/>
      <c r="G83" s="3136"/>
      <c r="H83" s="3136"/>
      <c r="I83" s="2513"/>
      <c r="J83" s="2509"/>
      <c r="K83" s="2509"/>
      <c r="L83" s="2509"/>
      <c r="M83" s="2509"/>
      <c r="N83" s="2509"/>
      <c r="O83" s="2509"/>
      <c r="P83" s="2509"/>
      <c r="Q83" s="2509"/>
      <c r="R83" s="2509"/>
      <c r="S83" s="2509"/>
      <c r="T83" s="2509"/>
      <c r="U83" s="2509"/>
      <c r="V83" s="2509"/>
      <c r="W83" s="2509"/>
      <c r="X83" s="2509"/>
      <c r="Y83" s="2509"/>
      <c r="Z83" s="2509"/>
      <c r="AA83" s="2510"/>
      <c r="AB83" s="2510"/>
      <c r="AC83" s="2510"/>
      <c r="AD83" s="2510"/>
      <c r="AE83" s="2510"/>
      <c r="AF83" s="2510"/>
      <c r="AG83" s="2510"/>
      <c r="AH83" s="2510"/>
      <c r="AI83" s="2510"/>
    </row>
    <row r="84" spans="1:35" s="2508" customFormat="1" ht="14.25">
      <c r="A84" s="3114" t="s">
        <v>2231</v>
      </c>
      <c r="B84" s="3115"/>
      <c r="C84" s="1804"/>
      <c r="D84" s="1804" t="s">
        <v>2232</v>
      </c>
      <c r="E84" s="213" t="s">
        <v>2233</v>
      </c>
      <c r="F84" s="214"/>
      <c r="G84" s="214"/>
      <c r="H84" s="233"/>
      <c r="I84" s="2513"/>
      <c r="J84" s="2509"/>
      <c r="K84" s="2509"/>
      <c r="L84" s="2509"/>
      <c r="M84" s="2509"/>
      <c r="N84" s="2509"/>
      <c r="O84" s="2509"/>
      <c r="P84" s="2509"/>
      <c r="Q84" s="2509"/>
      <c r="R84" s="2509"/>
      <c r="S84" s="2509"/>
      <c r="T84" s="2509"/>
      <c r="U84" s="2509"/>
      <c r="V84" s="2509"/>
      <c r="W84" s="2509"/>
      <c r="X84" s="2509"/>
      <c r="Y84" s="2509"/>
      <c r="Z84" s="2509"/>
      <c r="AA84" s="2510"/>
      <c r="AB84" s="2510"/>
      <c r="AC84" s="2510"/>
      <c r="AD84" s="2510"/>
      <c r="AE84" s="2510"/>
      <c r="AF84" s="2510"/>
      <c r="AG84" s="2510"/>
      <c r="AH84" s="2510"/>
      <c r="AI84" s="2510"/>
    </row>
    <row r="85" spans="1:35" s="2508" customFormat="1" ht="14.25">
      <c r="A85" s="203" t="s">
        <v>775</v>
      </c>
      <c r="B85" s="204" t="s">
        <v>2251</v>
      </c>
      <c r="C85" s="207">
        <f ca="1">ROUND(D45/(1+'数据-取费表'!C42),0)</f>
        <v>119766</v>
      </c>
      <c r="D85" s="200" t="s">
        <v>32</v>
      </c>
      <c r="E85" s="1803"/>
      <c r="F85" s="1797"/>
      <c r="G85" s="1797"/>
      <c r="H85" s="234"/>
      <c r="I85" s="2513"/>
      <c r="J85" s="2509"/>
      <c r="K85" s="2509"/>
      <c r="L85" s="2509"/>
      <c r="M85" s="2509"/>
      <c r="N85" s="2509"/>
      <c r="O85" s="2509"/>
      <c r="P85" s="2509"/>
      <c r="Q85" s="2509"/>
      <c r="R85" s="2509"/>
      <c r="S85" s="2509"/>
      <c r="T85" s="2509"/>
      <c r="U85" s="2509"/>
      <c r="V85" s="2509"/>
      <c r="W85" s="2509"/>
      <c r="X85" s="2509"/>
      <c r="Y85" s="2509"/>
      <c r="Z85" s="2509"/>
      <c r="AA85" s="2510"/>
      <c r="AB85" s="2510"/>
      <c r="AC85" s="2510"/>
      <c r="AD85" s="2510"/>
      <c r="AE85" s="2510"/>
      <c r="AF85" s="2510"/>
      <c r="AG85" s="2510"/>
      <c r="AH85" s="2510"/>
      <c r="AI85" s="2510"/>
    </row>
    <row r="86" spans="1:35" s="2508" customFormat="1" ht="14.25">
      <c r="A86" s="203" t="s">
        <v>772</v>
      </c>
      <c r="B86" s="173" t="s">
        <v>2252</v>
      </c>
      <c r="C86" s="207">
        <f ca="1">IF(H88="仅含出让金",C87+C90+C91+C92+C93+C94,C87+C91+C92+C93+C94)</f>
        <v>599</v>
      </c>
      <c r="D86" s="235"/>
      <c r="E86" s="1803"/>
      <c r="F86" s="1797"/>
      <c r="G86" s="1797"/>
      <c r="H86" s="234"/>
      <c r="I86" s="2513"/>
      <c r="J86" s="2509"/>
      <c r="K86" s="2509"/>
      <c r="L86" s="2509"/>
      <c r="M86" s="2509"/>
      <c r="N86" s="2509"/>
      <c r="O86" s="2509"/>
      <c r="P86" s="2509"/>
      <c r="Q86" s="2509"/>
      <c r="R86" s="2509"/>
      <c r="S86" s="2509"/>
      <c r="T86" s="2509"/>
      <c r="U86" s="2509"/>
      <c r="V86" s="2509"/>
      <c r="W86" s="2509"/>
      <c r="X86" s="2509"/>
      <c r="Y86" s="2509"/>
      <c r="Z86" s="2509"/>
      <c r="AA86" s="2510"/>
      <c r="AB86" s="2510"/>
      <c r="AC86" s="2510"/>
      <c r="AD86" s="2510"/>
      <c r="AE86" s="2510"/>
      <c r="AF86" s="2510"/>
      <c r="AG86" s="2510"/>
      <c r="AH86" s="2510"/>
      <c r="AI86" s="2510"/>
    </row>
    <row r="87" spans="1:35" s="2508" customFormat="1" ht="14.25">
      <c r="A87" s="217" t="s">
        <v>770</v>
      </c>
      <c r="B87" s="198" t="s">
        <v>2269</v>
      </c>
      <c r="C87" s="225">
        <f>C88+C89</f>
        <v>0</v>
      </c>
      <c r="D87" s="226"/>
      <c r="E87" s="1799"/>
      <c r="F87" s="1800"/>
      <c r="G87" s="1800"/>
      <c r="H87" s="1802"/>
      <c r="I87" s="2513"/>
      <c r="J87" s="2509"/>
      <c r="K87" s="2509"/>
      <c r="L87" s="2509"/>
      <c r="M87" s="2509"/>
      <c r="N87" s="2509"/>
      <c r="O87" s="2509"/>
      <c r="P87" s="2509"/>
      <c r="Q87" s="2509"/>
      <c r="R87" s="2509"/>
      <c r="S87" s="2509"/>
      <c r="T87" s="2509"/>
      <c r="U87" s="2509"/>
      <c r="V87" s="2509"/>
      <c r="W87" s="2509"/>
      <c r="X87" s="2509"/>
      <c r="Y87" s="2509"/>
      <c r="Z87" s="2509"/>
      <c r="AA87" s="2510"/>
      <c r="AB87" s="2510"/>
      <c r="AC87" s="2510"/>
      <c r="AD87" s="2510"/>
      <c r="AE87" s="2510"/>
      <c r="AF87" s="2510"/>
      <c r="AG87" s="2510"/>
      <c r="AH87" s="2510"/>
      <c r="AI87" s="2510"/>
    </row>
    <row r="88" spans="1:35" s="2508" customFormat="1" ht="14.25">
      <c r="A88" s="217" t="s">
        <v>776</v>
      </c>
      <c r="B88" s="198" t="s">
        <v>2270</v>
      </c>
      <c r="C88" s="236"/>
      <c r="D88" s="226"/>
      <c r="E88" s="237" t="s">
        <v>2271</v>
      </c>
      <c r="F88" s="1800"/>
      <c r="G88" s="238" t="s">
        <v>2272</v>
      </c>
      <c r="H88" s="2518"/>
      <c r="I88" s="2513"/>
      <c r="J88" s="2509"/>
      <c r="K88" s="2509"/>
      <c r="L88" s="2509"/>
      <c r="M88" s="2509"/>
      <c r="N88" s="2509"/>
      <c r="O88" s="2509"/>
      <c r="P88" s="2509"/>
      <c r="Q88" s="2509"/>
      <c r="R88" s="2509"/>
      <c r="S88" s="2509"/>
      <c r="T88" s="2509"/>
      <c r="U88" s="2509"/>
      <c r="V88" s="2509"/>
      <c r="W88" s="2509"/>
      <c r="X88" s="2509"/>
      <c r="Y88" s="2509"/>
      <c r="Z88" s="2509"/>
      <c r="AA88" s="2510"/>
      <c r="AB88" s="2510"/>
      <c r="AC88" s="2510"/>
      <c r="AD88" s="2510"/>
      <c r="AE88" s="2510"/>
      <c r="AF88" s="2510"/>
      <c r="AG88" s="2510"/>
      <c r="AH88" s="2510"/>
      <c r="AI88" s="2510"/>
    </row>
    <row r="89" spans="1:35" s="2508" customFormat="1" ht="14.25">
      <c r="A89" s="217" t="s">
        <v>777</v>
      </c>
      <c r="B89" s="198" t="s">
        <v>2260</v>
      </c>
      <c r="C89" s="225">
        <f>ROUND(C88*D89,0)</f>
        <v>0</v>
      </c>
      <c r="D89" s="226">
        <f>'数据-取费表'!B48+'数据-取费表'!B49</f>
        <v>3.0499999999999999E-2</v>
      </c>
      <c r="E89" s="237" t="s">
        <v>2273</v>
      </c>
      <c r="F89" s="1800"/>
      <c r="G89" s="1800"/>
      <c r="H89" s="1802"/>
      <c r="I89" s="2513"/>
      <c r="J89" s="2509"/>
      <c r="K89" s="2509"/>
      <c r="L89" s="2509"/>
      <c r="M89" s="2509"/>
      <c r="N89" s="2509"/>
      <c r="O89" s="2509"/>
      <c r="P89" s="2509"/>
      <c r="Q89" s="2509"/>
      <c r="R89" s="2509"/>
      <c r="S89" s="2509"/>
      <c r="T89" s="2509"/>
      <c r="U89" s="2509"/>
      <c r="V89" s="2509"/>
      <c r="W89" s="2509"/>
      <c r="X89" s="2509"/>
      <c r="Y89" s="2509"/>
      <c r="Z89" s="2509"/>
      <c r="AA89" s="2510"/>
      <c r="AB89" s="2510"/>
      <c r="AC89" s="2510"/>
      <c r="AD89" s="2510"/>
      <c r="AE89" s="2510"/>
      <c r="AF89" s="2510"/>
      <c r="AG89" s="2510"/>
      <c r="AH89" s="2510"/>
      <c r="AI89" s="2510"/>
    </row>
    <row r="90" spans="1:35" s="2508" customFormat="1" ht="14.25">
      <c r="A90" s="217" t="s">
        <v>771</v>
      </c>
      <c r="B90" s="198" t="s">
        <v>2274</v>
      </c>
      <c r="C90" s="236"/>
      <c r="D90" s="226"/>
      <c r="E90" s="237" t="str">
        <f>IF(H88="-","土地取得成本中已包含该笔费用"," ")</f>
        <v xml:space="preserve"> </v>
      </c>
      <c r="F90" s="1800"/>
      <c r="G90" s="1800"/>
      <c r="H90" s="1802"/>
      <c r="I90" s="2513"/>
      <c r="J90" s="2509"/>
      <c r="K90" s="2509"/>
      <c r="L90" s="2509"/>
      <c r="M90" s="2509"/>
      <c r="N90" s="2509"/>
      <c r="O90" s="2509"/>
      <c r="P90" s="2509"/>
      <c r="Q90" s="2509"/>
      <c r="R90" s="2509"/>
      <c r="S90" s="2509"/>
      <c r="T90" s="2509"/>
      <c r="U90" s="2509"/>
      <c r="V90" s="2509"/>
      <c r="W90" s="2509"/>
      <c r="X90" s="2509"/>
      <c r="Y90" s="2509"/>
      <c r="Z90" s="2509"/>
      <c r="AA90" s="2510"/>
      <c r="AB90" s="2510"/>
      <c r="AC90" s="2510"/>
      <c r="AD90" s="2510"/>
      <c r="AE90" s="2510"/>
      <c r="AF90" s="2510"/>
      <c r="AG90" s="2510"/>
      <c r="AH90" s="2510"/>
      <c r="AI90" s="2510"/>
    </row>
    <row r="91" spans="1:35" s="2508" customFormat="1" ht="27.75" customHeight="1">
      <c r="A91" s="217" t="s">
        <v>2275</v>
      </c>
      <c r="B91" s="198" t="s">
        <v>2276</v>
      </c>
      <c r="C91" s="225">
        <f>IF(H91="——",成本法!C33,I91)</f>
        <v>0</v>
      </c>
      <c r="D91" s="226"/>
      <c r="E91" s="3095" t="s">
        <v>2277</v>
      </c>
      <c r="F91" s="3096"/>
      <c r="G91" s="3096"/>
      <c r="H91" s="2519" t="s">
        <v>2278</v>
      </c>
      <c r="I91" s="2520"/>
      <c r="J91" s="2509"/>
      <c r="K91" s="2509"/>
      <c r="L91" s="2509"/>
      <c r="M91" s="2509"/>
      <c r="N91" s="2509"/>
      <c r="O91" s="2509"/>
      <c r="P91" s="2509"/>
      <c r="Q91" s="2509"/>
      <c r="R91" s="2509"/>
      <c r="S91" s="2509"/>
      <c r="T91" s="2509"/>
      <c r="U91" s="2509"/>
      <c r="V91" s="2509"/>
      <c r="W91" s="2509"/>
      <c r="X91" s="2509"/>
      <c r="Y91" s="2509"/>
      <c r="Z91" s="2509"/>
      <c r="AA91" s="2510"/>
      <c r="AB91" s="2510"/>
      <c r="AC91" s="2510"/>
      <c r="AD91" s="2510"/>
      <c r="AE91" s="2510"/>
      <c r="AF91" s="2510"/>
      <c r="AG91" s="2510"/>
      <c r="AH91" s="2510"/>
      <c r="AI91" s="2510"/>
    </row>
    <row r="92" spans="1:35" s="2508" customFormat="1" ht="25.5" customHeight="1">
      <c r="A92" s="217" t="s">
        <v>2279</v>
      </c>
      <c r="B92" s="198" t="s">
        <v>2280</v>
      </c>
      <c r="C92" s="225">
        <f>ROUND((C87+C90+C91)*D92,0)</f>
        <v>0</v>
      </c>
      <c r="D92" s="226">
        <v>0.1</v>
      </c>
      <c r="E92" s="3095" t="s">
        <v>2281</v>
      </c>
      <c r="F92" s="3096"/>
      <c r="G92" s="3096"/>
      <c r="H92" s="3105"/>
      <c r="I92" s="2513"/>
      <c r="J92" s="2509"/>
      <c r="K92" s="2509"/>
      <c r="L92" s="2509"/>
      <c r="M92" s="2509"/>
      <c r="N92" s="2509"/>
      <c r="O92" s="2509"/>
      <c r="P92" s="2509"/>
      <c r="Q92" s="2509"/>
      <c r="R92" s="2509"/>
      <c r="S92" s="2509"/>
      <c r="T92" s="2509"/>
      <c r="U92" s="2509"/>
      <c r="V92" s="2509"/>
      <c r="W92" s="2509"/>
      <c r="X92" s="2509"/>
      <c r="Y92" s="2509"/>
      <c r="Z92" s="2509"/>
      <c r="AA92" s="2510"/>
      <c r="AB92" s="2510"/>
      <c r="AC92" s="2510"/>
      <c r="AD92" s="2510"/>
      <c r="AE92" s="2510"/>
      <c r="AF92" s="2510"/>
      <c r="AG92" s="2510"/>
      <c r="AH92" s="2510"/>
      <c r="AI92" s="2510"/>
    </row>
    <row r="93" spans="1:35" s="2508" customFormat="1" ht="25.5" customHeight="1">
      <c r="A93" s="217" t="s">
        <v>2282</v>
      </c>
      <c r="B93" s="198" t="s">
        <v>2263</v>
      </c>
      <c r="C93" s="225">
        <f ca="1">ROUND(D45*D93/(1+'数据-取费表'!C42),0)</f>
        <v>599</v>
      </c>
      <c r="D93" s="226">
        <f>'数据-取费表'!B43</f>
        <v>5.000000000000001E-3</v>
      </c>
      <c r="E93" s="3095" t="s">
        <v>2264</v>
      </c>
      <c r="F93" s="3096"/>
      <c r="G93" s="3096"/>
      <c r="H93" s="3105"/>
      <c r="I93" s="2513"/>
      <c r="J93" s="2509"/>
      <c r="K93" s="2509"/>
      <c r="L93" s="2509"/>
      <c r="M93" s="2509"/>
      <c r="N93" s="2509"/>
      <c r="O93" s="2509"/>
      <c r="P93" s="2509"/>
      <c r="Q93" s="2509"/>
      <c r="R93" s="2509"/>
      <c r="S93" s="2509"/>
      <c r="T93" s="2509"/>
      <c r="U93" s="2509"/>
      <c r="V93" s="2509"/>
      <c r="W93" s="2509"/>
      <c r="X93" s="2509"/>
      <c r="Y93" s="2509"/>
      <c r="Z93" s="2509"/>
      <c r="AA93" s="2510"/>
      <c r="AB93" s="2510"/>
      <c r="AC93" s="2510"/>
      <c r="AD93" s="2510"/>
      <c r="AE93" s="2510"/>
      <c r="AF93" s="2510"/>
      <c r="AG93" s="2510"/>
      <c r="AH93" s="2510"/>
      <c r="AI93" s="2510"/>
    </row>
    <row r="94" spans="1:35" s="2508" customFormat="1" ht="36.75" customHeight="1">
      <c r="A94" s="217" t="s">
        <v>2283</v>
      </c>
      <c r="B94" s="198" t="s">
        <v>2284</v>
      </c>
      <c r="C94" s="236">
        <f>ROUND((C87+C90+C91)*D94,0)</f>
        <v>0</v>
      </c>
      <c r="D94" s="226">
        <v>0.2</v>
      </c>
      <c r="E94" s="3106" t="s">
        <v>2285</v>
      </c>
      <c r="F94" s="3107"/>
      <c r="G94" s="3107"/>
      <c r="H94" s="3108"/>
      <c r="I94" s="2513"/>
      <c r="J94" s="2509"/>
      <c r="K94" s="2509"/>
      <c r="L94" s="2509"/>
      <c r="M94" s="2509"/>
      <c r="N94" s="2509"/>
      <c r="O94" s="2509"/>
      <c r="P94" s="2509"/>
      <c r="Q94" s="2509"/>
      <c r="R94" s="2509"/>
      <c r="S94" s="2509"/>
      <c r="T94" s="2509"/>
      <c r="U94" s="2509"/>
      <c r="V94" s="2509"/>
      <c r="W94" s="2509"/>
      <c r="X94" s="2509"/>
      <c r="Y94" s="2509"/>
      <c r="Z94" s="2509"/>
      <c r="AA94" s="2510"/>
      <c r="AB94" s="2510"/>
      <c r="AC94" s="2510"/>
      <c r="AD94" s="2510"/>
      <c r="AE94" s="2510"/>
      <c r="AF94" s="2510"/>
      <c r="AG94" s="2510"/>
      <c r="AH94" s="2510"/>
      <c r="AI94" s="2510"/>
    </row>
    <row r="95" spans="1:35" s="2508" customFormat="1" ht="14.25">
      <c r="A95" s="2516" t="s">
        <v>779</v>
      </c>
      <c r="B95" s="204" t="s">
        <v>2265</v>
      </c>
      <c r="C95" s="207">
        <f ca="1">ROUND(C85-C86,0)</f>
        <v>119167</v>
      </c>
      <c r="D95" s="200" t="s">
        <v>32</v>
      </c>
      <c r="E95" s="1803"/>
      <c r="F95" s="1797"/>
      <c r="G95" s="1797"/>
      <c r="H95" s="234"/>
      <c r="I95" s="2513"/>
      <c r="J95" s="2509"/>
      <c r="K95" s="2509"/>
      <c r="L95" s="2509"/>
      <c r="M95" s="2509"/>
      <c r="N95" s="2509"/>
      <c r="O95" s="2509"/>
      <c r="P95" s="2509"/>
      <c r="Q95" s="2509"/>
      <c r="R95" s="2509"/>
      <c r="S95" s="2509"/>
      <c r="T95" s="2509"/>
      <c r="U95" s="2509"/>
      <c r="V95" s="2509"/>
      <c r="W95" s="2509"/>
      <c r="X95" s="2509"/>
      <c r="Y95" s="2509"/>
      <c r="Z95" s="2509"/>
      <c r="AA95" s="2510"/>
      <c r="AB95" s="2510"/>
      <c r="AC95" s="2510"/>
      <c r="AD95" s="2510"/>
      <c r="AE95" s="2510"/>
      <c r="AF95" s="2510"/>
      <c r="AG95" s="2510"/>
      <c r="AH95" s="2510"/>
      <c r="AI95" s="2510"/>
    </row>
    <row r="96" spans="1:35" s="2508" customFormat="1" ht="24">
      <c r="A96" s="2516" t="s">
        <v>780</v>
      </c>
      <c r="B96" s="204" t="s">
        <v>2266</v>
      </c>
      <c r="C96" s="227">
        <f ca="1">IF(C95&lt;=0,0,C95/C86)</f>
        <v>198.94323873121868</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3"/>
      <c r="J96" s="2509"/>
      <c r="K96" s="2509"/>
      <c r="L96" s="2509"/>
      <c r="M96" s="2509"/>
      <c r="N96" s="2509"/>
      <c r="O96" s="2509"/>
      <c r="P96" s="2509"/>
      <c r="Q96" s="2509"/>
      <c r="R96" s="2509"/>
      <c r="S96" s="2509"/>
      <c r="T96" s="2509"/>
      <c r="U96" s="2509"/>
      <c r="V96" s="2509"/>
      <c r="W96" s="2509"/>
      <c r="X96" s="2509"/>
      <c r="Y96" s="2509"/>
      <c r="Z96" s="2509"/>
      <c r="AA96" s="2510"/>
      <c r="AB96" s="2510"/>
      <c r="AC96" s="2510"/>
      <c r="AD96" s="2510"/>
      <c r="AE96" s="2510"/>
      <c r="AF96" s="2510"/>
      <c r="AG96" s="2510"/>
      <c r="AH96" s="2510"/>
      <c r="AI96" s="2510"/>
    </row>
    <row r="97" spans="1:35" s="2508" customFormat="1" ht="24.75" thickBot="1">
      <c r="A97" s="2517" t="s">
        <v>781</v>
      </c>
      <c r="B97" s="209" t="s">
        <v>2267</v>
      </c>
      <c r="C97" s="228">
        <f ca="1">ROUND(IF(C95&lt;=0,0,IF(C96&gt;=200%,C95*60%-C86*35%,IF(C96&gt;=100%,C95*50%-C86*15%,IF(C96&gt;=50%,C95*40%-C86*5%,IF(C96&lt;50%,C95*30%,0))))),0)</f>
        <v>71291</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3"/>
      <c r="J97" s="2509"/>
      <c r="K97" s="2509"/>
      <c r="L97" s="2509"/>
      <c r="M97" s="2509"/>
      <c r="N97" s="2509"/>
      <c r="O97" s="2509"/>
      <c r="P97" s="2509"/>
      <c r="Q97" s="2509"/>
      <c r="R97" s="2509"/>
      <c r="S97" s="2509"/>
      <c r="T97" s="2509"/>
      <c r="U97" s="2509"/>
      <c r="V97" s="2509"/>
      <c r="W97" s="2509"/>
      <c r="X97" s="2509"/>
      <c r="Y97" s="2509"/>
      <c r="Z97" s="2509"/>
      <c r="AA97" s="2510"/>
      <c r="AB97" s="2510"/>
      <c r="AC97" s="2510"/>
      <c r="AD97" s="2510"/>
      <c r="AE97" s="2510"/>
      <c r="AF97" s="2510"/>
      <c r="AG97" s="2510"/>
      <c r="AH97" s="2510"/>
      <c r="AI97" s="2510"/>
    </row>
    <row r="98" spans="1:35" ht="21.75" customHeight="1">
      <c r="A98" s="2497"/>
      <c r="B98" s="2419"/>
      <c r="C98" s="2419"/>
      <c r="D98" s="2419"/>
      <c r="E98" s="2166"/>
      <c r="F98" s="2166"/>
      <c r="G98" s="2166"/>
      <c r="H98" s="2165"/>
      <c r="I98" s="138"/>
    </row>
    <row r="99" spans="1:35" ht="21.75" customHeight="1" thickBot="1">
      <c r="A99" s="2475" t="s">
        <v>2286</v>
      </c>
      <c r="B99" s="2419"/>
      <c r="C99" s="2419"/>
      <c r="D99" s="2419"/>
      <c r="E99" s="2166"/>
      <c r="F99" s="2166"/>
      <c r="G99" s="2166"/>
      <c r="H99" s="2165"/>
      <c r="I99" s="138"/>
    </row>
    <row r="100" spans="1:35" ht="18.75" customHeight="1">
      <c r="A100" s="3080" t="s">
        <v>2287</v>
      </c>
      <c r="B100" s="3081"/>
      <c r="C100" s="3081"/>
      <c r="D100" s="3097"/>
      <c r="E100" s="3081" t="s">
        <v>2288</v>
      </c>
      <c r="F100" s="3081"/>
      <c r="G100" s="3081"/>
      <c r="H100" s="3097"/>
      <c r="I100" s="138"/>
    </row>
    <row r="101" spans="1:35" ht="18.75" customHeight="1">
      <c r="A101" s="3159" t="s">
        <v>2289</v>
      </c>
      <c r="B101" s="3160"/>
      <c r="C101" s="736" t="str">
        <f>C4</f>
        <v>成本法</v>
      </c>
      <c r="D101" s="737" t="str">
        <f>D4</f>
        <v>收益法（汇总）</v>
      </c>
      <c r="E101" s="3173" t="s">
        <v>2290</v>
      </c>
      <c r="F101" s="3127"/>
      <c r="G101" s="2521" t="s">
        <v>2291</v>
      </c>
      <c r="H101" s="1048">
        <f ca="1">H118</f>
        <v>125754</v>
      </c>
      <c r="I101" s="138"/>
    </row>
    <row r="102" spans="1:35" ht="18.75" customHeight="1">
      <c r="A102" s="3129" t="s">
        <v>2292</v>
      </c>
      <c r="B102" s="2521" t="s">
        <v>2291</v>
      </c>
      <c r="C102" s="736">
        <f ca="1">C19</f>
        <v>120829</v>
      </c>
      <c r="D102" s="737">
        <f ca="1">D19</f>
        <v>130679</v>
      </c>
      <c r="E102" s="3173"/>
      <c r="F102" s="3127"/>
      <c r="G102" s="2521" t="s">
        <v>2293</v>
      </c>
      <c r="H102" s="371">
        <f ca="1">I118</f>
        <v>9350</v>
      </c>
      <c r="I102" s="138"/>
    </row>
    <row r="103" spans="1:35" ht="42.75" customHeight="1">
      <c r="A103" s="3129"/>
      <c r="B103" s="2521" t="s">
        <v>2293</v>
      </c>
      <c r="C103" s="738">
        <f ca="1">C20</f>
        <v>8984</v>
      </c>
      <c r="D103" s="739">
        <f ca="1">D20</f>
        <v>9717</v>
      </c>
      <c r="E103" s="3168" t="s">
        <v>2294</v>
      </c>
      <c r="F103" s="3169"/>
      <c r="G103" s="2522" t="s">
        <v>2295</v>
      </c>
      <c r="H103" s="1048">
        <f>IF(D36="正常操作",H104+H105+H106,H105+H106)</f>
        <v>0</v>
      </c>
      <c r="I103" s="138"/>
    </row>
    <row r="104" spans="1:35" ht="18.75" customHeight="1">
      <c r="A104" s="3129" t="s">
        <v>2296</v>
      </c>
      <c r="B104" s="2523" t="s">
        <v>2291</v>
      </c>
      <c r="C104" s="740">
        <f ca="1">H118</f>
        <v>125754</v>
      </c>
      <c r="D104" s="741"/>
      <c r="E104" s="2267" t="s">
        <v>2297</v>
      </c>
      <c r="F104" s="2258"/>
      <c r="G104" s="2522" t="s">
        <v>2295</v>
      </c>
      <c r="H104" s="1049">
        <f>IF(D36="同一抵押权人同一抵押物续贷",C36&amp;"（未扣减，详见特别提示）",C36)</f>
        <v>0</v>
      </c>
      <c r="I104" s="138"/>
    </row>
    <row r="105" spans="1:35" ht="18.75" customHeight="1" thickBot="1">
      <c r="A105" s="3130"/>
      <c r="B105" s="2524" t="s">
        <v>2293</v>
      </c>
      <c r="C105" s="742">
        <f ca="1">I118</f>
        <v>9350</v>
      </c>
      <c r="D105" s="743"/>
      <c r="E105" s="2267" t="s">
        <v>2298</v>
      </c>
      <c r="F105" s="2258"/>
      <c r="G105" s="2522" t="s">
        <v>2295</v>
      </c>
      <c r="H105" s="1049">
        <f>C37</f>
        <v>0</v>
      </c>
      <c r="I105" s="138"/>
    </row>
    <row r="106" spans="1:35" ht="18.75" customHeight="1">
      <c r="A106" s="2419" t="s">
        <v>2299</v>
      </c>
      <c r="B106" s="2419"/>
      <c r="C106" s="2419"/>
      <c r="D106" s="2419"/>
      <c r="E106" s="2525" t="s">
        <v>2300</v>
      </c>
      <c r="F106" s="2258"/>
      <c r="G106" s="2522" t="s">
        <v>2295</v>
      </c>
      <c r="H106" s="1049">
        <f>C38</f>
        <v>0</v>
      </c>
      <c r="I106" s="138"/>
    </row>
    <row r="107" spans="1:35" ht="18.75" customHeight="1">
      <c r="A107" s="138"/>
      <c r="B107" s="138"/>
      <c r="C107" s="138"/>
      <c r="D107" s="138"/>
      <c r="E107" s="3126" t="str">
        <f>IF(项目基本情况!E8="已注销","——","3.房地产抵押价值")</f>
        <v>3.房地产抵押价值</v>
      </c>
      <c r="F107" s="3127"/>
      <c r="G107" s="2521" t="s">
        <v>2291</v>
      </c>
      <c r="H107" s="1048">
        <f ca="1">IF(E107="——","——",H101-H103)</f>
        <v>125754</v>
      </c>
      <c r="I107" s="138"/>
    </row>
    <row r="108" spans="1:35" ht="18.75" customHeight="1">
      <c r="A108" s="138"/>
      <c r="B108" s="138"/>
      <c r="C108" s="138"/>
      <c r="D108" s="138"/>
      <c r="E108" s="3126"/>
      <c r="F108" s="3127"/>
      <c r="G108" s="2521" t="s">
        <v>2293</v>
      </c>
      <c r="H108" s="371">
        <f ca="1">ROUND(H107*10000/'数据-汇总表'!E3,0)</f>
        <v>9350</v>
      </c>
      <c r="I108" s="138"/>
    </row>
    <row r="109" spans="1:35" ht="18.75" customHeight="1">
      <c r="A109" s="138"/>
      <c r="B109" s="138"/>
      <c r="C109" s="138"/>
      <c r="D109" s="138"/>
      <c r="E109" s="3126" t="str">
        <f>IF(项目基本情况!E8="已注销及未注销","4.抵押担保权已注销时的房地产抵押价值",IF(项目基本情况!E8="已注销","3.抵押担保权已注销时的房地产抵押价值","——"))</f>
        <v>——</v>
      </c>
      <c r="F109" s="3127"/>
      <c r="G109" s="2521" t="s">
        <v>2291</v>
      </c>
      <c r="H109" s="348" t="str">
        <f>IF(E109="——","——",H101-H105-H106)</f>
        <v>——</v>
      </c>
      <c r="I109" s="138"/>
    </row>
    <row r="110" spans="1:35" ht="18.75" customHeight="1">
      <c r="A110" s="138"/>
      <c r="B110" s="138"/>
      <c r="C110" s="138"/>
      <c r="D110" s="138"/>
      <c r="E110" s="3126"/>
      <c r="F110" s="3127"/>
      <c r="G110" s="2521" t="s">
        <v>2293</v>
      </c>
      <c r="H110" s="371" t="str">
        <f>IF(H109="——","——",ROUND(H109*10000/'数据-汇总表'!E3,0))</f>
        <v>——</v>
      </c>
      <c r="I110" s="138"/>
    </row>
    <row r="111" spans="1:35" ht="18.75" customHeight="1">
      <c r="A111" s="138"/>
      <c r="B111" s="138"/>
      <c r="C111" s="138"/>
      <c r="D111" s="138"/>
      <c r="E111" s="3161" t="str">
        <f>IF(项目基本情况!E9="抵押净值",IF(OR(项目基本情况!E8="已注销",项目基本情况!E8="房地产抵押价值"),"4.抵押净值","5.抵押净值"),"——")</f>
        <v>——</v>
      </c>
      <c r="F111" s="3162"/>
      <c r="G111" s="2521" t="s">
        <v>2291</v>
      </c>
      <c r="H111" s="1048" t="str">
        <f>IF(E111="——","——",N59)</f>
        <v>——</v>
      </c>
      <c r="I111" s="138"/>
    </row>
    <row r="112" spans="1:35" ht="18.75" customHeight="1" thickBot="1">
      <c r="A112" s="138"/>
      <c r="B112" s="138"/>
      <c r="C112" s="138"/>
      <c r="D112" s="138"/>
      <c r="E112" s="3163"/>
      <c r="F112" s="3164"/>
      <c r="G112" s="2526" t="s">
        <v>2293</v>
      </c>
      <c r="H112" s="790" t="str">
        <f>IF(E111="——","——",N61)</f>
        <v>——</v>
      </c>
      <c r="I112" s="138"/>
    </row>
    <row r="113" spans="1:11" ht="18.75" customHeight="1">
      <c r="A113" s="138"/>
      <c r="B113" s="138"/>
      <c r="C113" s="138"/>
      <c r="D113" s="138"/>
      <c r="E113" s="3131" t="s">
        <v>2299</v>
      </c>
      <c r="F113" s="3131"/>
      <c r="G113" s="3131"/>
      <c r="H113" s="3131"/>
      <c r="I113" s="138"/>
    </row>
    <row r="114" spans="1:11" ht="3.75" customHeight="1">
      <c r="A114" s="2419"/>
      <c r="B114" s="2419"/>
      <c r="C114" s="2419"/>
      <c r="D114" s="2419"/>
      <c r="E114" s="2497"/>
      <c r="F114" s="2497"/>
      <c r="G114" s="2497"/>
      <c r="H114" s="2497"/>
      <c r="I114" s="2419"/>
    </row>
    <row r="115" spans="1:11" ht="18.75" customHeight="1">
      <c r="A115" s="3144" t="s">
        <v>2301</v>
      </c>
      <c r="B115" s="3145"/>
      <c r="C115" s="3145"/>
      <c r="D115" s="3145"/>
      <c r="E115" s="3145"/>
      <c r="F115" s="3145"/>
      <c r="G115" s="3145"/>
      <c r="H115" s="3145"/>
      <c r="I115" s="3146"/>
    </row>
    <row r="116" spans="1:11" ht="27" customHeight="1">
      <c r="A116" s="3037" t="s">
        <v>2302</v>
      </c>
      <c r="B116" s="3132" t="s">
        <v>3120</v>
      </c>
      <c r="C116" s="3132" t="s">
        <v>3121</v>
      </c>
      <c r="D116" s="3148" t="s">
        <v>2303</v>
      </c>
      <c r="E116" s="3149"/>
      <c r="F116" s="3140" t="s">
        <v>3122</v>
      </c>
      <c r="G116" s="3140"/>
      <c r="H116" s="3037" t="s">
        <v>2304</v>
      </c>
      <c r="I116" s="3037"/>
    </row>
    <row r="117" spans="1:11" ht="18.75" customHeight="1">
      <c r="A117" s="3037"/>
      <c r="B117" s="3133"/>
      <c r="C117" s="3133"/>
      <c r="D117" s="1798" t="s">
        <v>2305</v>
      </c>
      <c r="E117" s="1798" t="s">
        <v>2306</v>
      </c>
      <c r="F117" s="1798" t="s">
        <v>2305</v>
      </c>
      <c r="G117" s="1798" t="s">
        <v>2307</v>
      </c>
      <c r="H117" s="1798" t="s">
        <v>2305</v>
      </c>
      <c r="I117" s="1798" t="s">
        <v>2307</v>
      </c>
    </row>
    <row r="118" spans="1:11" ht="24.75" customHeight="1">
      <c r="A118" s="2527" t="str">
        <f>项目基本情况!S2</f>
        <v>北京市北京经济技术开发区东环中路5号11幢等6幢楼工业用房房地产</v>
      </c>
      <c r="B118" s="1798">
        <f>M18</f>
        <v>134490.28</v>
      </c>
      <c r="C118" s="1798">
        <f>M19</f>
        <v>109852.9</v>
      </c>
      <c r="D118" s="1798">
        <f ca="1">ROUND(IF(D32="总价",C34,E118*B118/10000),0)</f>
        <v>37852</v>
      </c>
      <c r="E118" s="1798">
        <f ca="1">ROUND(IF(C33="自定义",IF(D32="楼面单价",C34,D118*10000/B118),I118-G118),0)</f>
        <v>2814</v>
      </c>
      <c r="F118" s="1798">
        <f ca="1">ROUND(IF(D32="总价",C35,G118*B118/10000),0)</f>
        <v>87902</v>
      </c>
      <c r="G118" s="1798">
        <f ca="1">ROUND(IF(D32="楼面单价",C35,F118*10000/B118),0)</f>
        <v>6536</v>
      </c>
      <c r="H118" s="1798">
        <f ca="1">ROUND(IF(D32="总价",C32,I118*B118/10000),0)</f>
        <v>125754</v>
      </c>
      <c r="I118" s="1798">
        <f ca="1">ROUND(IF(D32="楼面单价",C32,H118*10000/B118),0)</f>
        <v>9350</v>
      </c>
      <c r="J118" s="795">
        <f ca="1">D118/C118*666.67</f>
        <v>229.71439843645456</v>
      </c>
    </row>
    <row r="119" spans="1:11" ht="18.75" customHeight="1">
      <c r="A119" s="3037" t="s">
        <v>2308</v>
      </c>
      <c r="B119" s="3037"/>
      <c r="C119" s="3037"/>
      <c r="D119" s="3137" t="str">
        <f ca="1">NUMBERSTRING(INT(D118*10000),2)&amp;"元整"</f>
        <v>叁亿柒仟捌佰伍拾贰万元整</v>
      </c>
      <c r="E119" s="3139"/>
      <c r="F119" s="3137" t="str">
        <f ca="1">NUMBERSTRING(INT(F118*10000),2)&amp;"元整"</f>
        <v>捌亿柒仟玖佰零贰万元整</v>
      </c>
      <c r="G119" s="3139"/>
      <c r="H119" s="3137" t="str">
        <f ca="1">NUMBERSTRING(INT(H118*10000),2)&amp;"元整"</f>
        <v>壹拾贰亿伍仟柒佰伍拾肆万元整</v>
      </c>
      <c r="I119" s="3139"/>
    </row>
    <row r="120" spans="1:11" ht="18.75" customHeight="1">
      <c r="A120" s="3165" t="str">
        <f>IF(项目基本情况!B9="房地产市场价值","",MID(E103,3,LEN(E103)-2))</f>
        <v>估价师知悉的法定优先受偿款</v>
      </c>
      <c r="B120" s="3166"/>
      <c r="C120" s="3167"/>
      <c r="D120" s="3165">
        <f>H103</f>
        <v>0</v>
      </c>
      <c r="E120" s="3166"/>
      <c r="F120" s="3166"/>
      <c r="G120" s="3166"/>
      <c r="H120" s="3166"/>
      <c r="I120" s="3167"/>
      <c r="K120" s="2424" t="str">
        <f>IF(D120=0,"故，本次评估不存在"&amp;A120,"故，本次评估"&amp;A120&amp;"为人民币"&amp;D120&amp;"万元整。")</f>
        <v>故，本次评估不存在估价师知悉的法定优先受偿款</v>
      </c>
    </row>
    <row r="121" spans="1:11" ht="18.75" customHeight="1">
      <c r="A121" s="3141" t="s">
        <v>2308</v>
      </c>
      <c r="B121" s="3142"/>
      <c r="C121" s="3143"/>
      <c r="D121" s="3137" t="str">
        <f>IF(D120=0,"零元整",NUMBERSTRING(INT(D120*10000),2)&amp;"元整")</f>
        <v>零元整</v>
      </c>
      <c r="E121" s="3138"/>
      <c r="F121" s="3138"/>
      <c r="G121" s="3138"/>
      <c r="H121" s="3138"/>
      <c r="I121" s="3139"/>
    </row>
    <row r="122" spans="1:11" ht="18.75" customHeight="1">
      <c r="A122" s="3128" t="str">
        <f>IF(项目基本情况!B9="房地产市场价值","",MID(E107,3,LEN(E107)-2))</f>
        <v>房地产抵押价值</v>
      </c>
      <c r="B122" s="3128"/>
      <c r="C122" s="3128"/>
      <c r="D122" s="3165">
        <f ca="1">H107</f>
        <v>125754</v>
      </c>
      <c r="E122" s="3166"/>
      <c r="F122" s="3166"/>
      <c r="G122" s="3166"/>
      <c r="H122" s="3166"/>
      <c r="I122" s="3167"/>
    </row>
    <row r="123" spans="1:11" ht="18.75" customHeight="1">
      <c r="A123" s="3037" t="s">
        <v>2308</v>
      </c>
      <c r="B123" s="3037"/>
      <c r="C123" s="3037"/>
      <c r="D123" s="3137" t="str">
        <f ca="1">NUMBERSTRING(INT(D122*10000),2)&amp;"元整"</f>
        <v>壹拾贰亿伍仟柒佰伍拾肆万元整</v>
      </c>
      <c r="E123" s="3138"/>
      <c r="F123" s="3138"/>
      <c r="G123" s="3138"/>
      <c r="H123" s="3138"/>
      <c r="I123" s="3139"/>
    </row>
    <row r="124" spans="1:11" ht="18.75" customHeight="1">
      <c r="A124" s="3128" t="str">
        <f>IF(项目基本情况!B9="房地产市场价值","",MID(E109,3,LEN(E109)-2))</f>
        <v/>
      </c>
      <c r="B124" s="3128"/>
      <c r="C124" s="3128"/>
      <c r="D124" s="3165" t="str">
        <f>H109</f>
        <v>——</v>
      </c>
      <c r="E124" s="3166"/>
      <c r="F124" s="3166"/>
      <c r="G124" s="3166"/>
      <c r="H124" s="3166"/>
      <c r="I124" s="3167"/>
    </row>
    <row r="125" spans="1:11" ht="18.75" customHeight="1">
      <c r="A125" s="3037" t="s">
        <v>2308</v>
      </c>
      <c r="B125" s="3037"/>
      <c r="C125" s="3037"/>
      <c r="D125" s="3137" t="e">
        <f>NUMBERSTRING(INT(D124*10000),2)&amp;"元整"</f>
        <v>#VALUE!</v>
      </c>
      <c r="E125" s="3138"/>
      <c r="F125" s="3138"/>
      <c r="G125" s="3138"/>
      <c r="H125" s="3138"/>
      <c r="I125" s="3139"/>
    </row>
    <row r="126" spans="1:11" ht="18.75" customHeight="1">
      <c r="A126" s="3128" t="str">
        <f>IF(项目基本情况!B9="房地产市场价值","",MID(E111,3,LEN(E111)-2))</f>
        <v/>
      </c>
      <c r="B126" s="3128"/>
      <c r="C126" s="3128"/>
      <c r="D126" s="3165" t="str">
        <f>H111</f>
        <v>——</v>
      </c>
      <c r="E126" s="3166"/>
      <c r="F126" s="3166"/>
      <c r="G126" s="3166"/>
      <c r="H126" s="3166"/>
      <c r="I126" s="3167"/>
    </row>
    <row r="127" spans="1:11" ht="18.75" customHeight="1">
      <c r="A127" s="3037" t="s">
        <v>2308</v>
      </c>
      <c r="B127" s="3037"/>
      <c r="C127" s="3037"/>
      <c r="D127" s="3137" t="e">
        <f>NUMBERSTRING(INT(D126*10000),2)&amp;"元整"</f>
        <v>#VALUE!</v>
      </c>
      <c r="E127" s="3138"/>
      <c r="F127" s="3138"/>
      <c r="G127" s="3138"/>
      <c r="H127" s="3138"/>
      <c r="I127" s="3139"/>
    </row>
    <row r="128" spans="1:11" ht="21.75" customHeight="1">
      <c r="A128" s="3147" t="s">
        <v>2309</v>
      </c>
      <c r="B128" s="3147"/>
      <c r="C128" s="3147"/>
      <c r="D128" s="3147"/>
      <c r="E128" s="3147"/>
      <c r="F128" s="3147"/>
      <c r="G128" s="3147"/>
      <c r="H128" s="3147"/>
      <c r="I128" s="3147"/>
    </row>
    <row r="129" spans="1:35" ht="21.75" customHeight="1">
      <c r="A129" s="2528" t="s">
        <v>2310</v>
      </c>
      <c r="B129" s="2529"/>
      <c r="C129" s="2530" t="s">
        <v>2311</v>
      </c>
      <c r="D129" s="2531"/>
      <c r="E129" s="2531"/>
      <c r="F129" s="2531"/>
      <c r="G129" s="2531"/>
      <c r="H129" s="2532"/>
      <c r="I129" s="2533"/>
    </row>
    <row r="130" spans="1:35" ht="21.75" customHeight="1">
      <c r="A130" s="2534">
        <v>1</v>
      </c>
      <c r="B130" s="2535"/>
      <c r="C130" s="2535"/>
      <c r="D130" s="2536"/>
      <c r="E130" s="2536"/>
      <c r="F130" s="2536"/>
      <c r="G130" s="2536"/>
      <c r="H130" s="2537"/>
      <c r="I130" s="2538"/>
    </row>
    <row r="131" spans="1:35" ht="21.75" customHeight="1">
      <c r="A131" s="2534">
        <v>2</v>
      </c>
      <c r="B131" s="2535"/>
      <c r="C131" s="2535"/>
      <c r="D131" s="2536"/>
      <c r="E131" s="2536"/>
      <c r="F131" s="2536"/>
      <c r="G131" s="2536"/>
      <c r="H131" s="2537"/>
      <c r="I131" s="2538"/>
    </row>
    <row r="132" spans="1:35" ht="21.75" customHeight="1">
      <c r="A132" s="2534">
        <v>3</v>
      </c>
      <c r="B132" s="2535"/>
      <c r="C132" s="2535"/>
      <c r="D132" s="2536"/>
      <c r="E132" s="2536"/>
      <c r="F132" s="2536"/>
      <c r="G132" s="2536"/>
      <c r="H132" s="2537"/>
      <c r="I132" s="2538"/>
    </row>
    <row r="133" spans="1:35" ht="21.75" customHeight="1">
      <c r="A133" s="2539"/>
      <c r="B133" s="2540"/>
      <c r="C133" s="2540"/>
      <c r="D133" s="2541"/>
      <c r="E133" s="2541"/>
      <c r="F133" s="2541"/>
      <c r="G133" s="2541"/>
      <c r="H133" s="2542"/>
      <c r="I133" s="2543"/>
    </row>
    <row r="134" spans="1:35" ht="21.75" customHeight="1">
      <c r="A134" s="2535"/>
      <c r="B134" s="2535"/>
      <c r="C134" s="2535"/>
      <c r="D134" s="2536"/>
      <c r="E134" s="2536"/>
      <c r="F134" s="2536"/>
      <c r="G134" s="2536"/>
      <c r="H134" s="2537"/>
      <c r="I134" s="795"/>
    </row>
    <row r="135" spans="1:35" ht="21.75" customHeight="1">
      <c r="A135" s="795"/>
      <c r="B135" s="795"/>
      <c r="C135" s="795"/>
      <c r="D135" s="795"/>
      <c r="E135" s="795"/>
      <c r="F135" s="2544" t="s">
        <v>2312</v>
      </c>
      <c r="G135" s="2545"/>
      <c r="H135" s="2545"/>
      <c r="I135" s="2546" t="s">
        <v>2313</v>
      </c>
    </row>
    <row r="136" spans="1:35" ht="21.75" customHeight="1">
      <c r="A136" s="795"/>
      <c r="B136" s="2547" t="s">
        <v>2314</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5"/>
      <c r="C138" s="2545"/>
      <c r="D138" s="2545"/>
      <c r="E138" s="2545"/>
      <c r="F138" s="2545"/>
      <c r="G138" s="2545"/>
      <c r="H138" s="2545"/>
      <c r="I138" s="2546" t="s">
        <v>2315</v>
      </c>
    </row>
    <row r="139" spans="1:35" ht="21.75" customHeight="1">
      <c r="A139" s="795"/>
      <c r="B139" s="2547" t="s">
        <v>2316</v>
      </c>
      <c r="C139" s="795"/>
      <c r="D139" s="795"/>
      <c r="E139" s="795"/>
      <c r="F139" s="795"/>
      <c r="G139" s="795"/>
      <c r="H139" s="795"/>
      <c r="I139" s="795"/>
    </row>
    <row r="140" spans="1:35" ht="21.75" customHeight="1">
      <c r="A140" s="795"/>
      <c r="B140" s="2547"/>
      <c r="C140" s="795"/>
      <c r="D140" s="795"/>
      <c r="E140" s="795"/>
      <c r="F140" s="795"/>
      <c r="G140" s="795"/>
      <c r="H140" s="795"/>
      <c r="I140" s="795"/>
    </row>
    <row r="141" spans="1:35" ht="21.75" customHeight="1">
      <c r="A141" s="795"/>
      <c r="B141" s="2545"/>
      <c r="C141" s="2545"/>
      <c r="D141" s="2545"/>
      <c r="E141" s="2545"/>
      <c r="F141" s="2545"/>
      <c r="G141" s="2545"/>
      <c r="H141" s="2545"/>
      <c r="I141" s="2546" t="s">
        <v>2315</v>
      </c>
    </row>
    <row r="142" spans="1:35" ht="21.75" customHeight="1">
      <c r="A142" s="795"/>
      <c r="B142" s="2547"/>
      <c r="C142" s="2548"/>
      <c r="D142" s="2549"/>
      <c r="E142" s="2549"/>
      <c r="F142" s="2341"/>
      <c r="G142" s="795"/>
      <c r="H142" s="795"/>
      <c r="I142" s="795"/>
    </row>
    <row r="143" spans="1:35" s="139" customFormat="1" ht="21.75" customHeight="1">
      <c r="A143" s="795"/>
      <c r="B143" s="2547"/>
      <c r="C143" s="2548"/>
      <c r="D143" s="2549"/>
      <c r="E143" s="2549"/>
      <c r="F143" s="2341"/>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4"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4"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4"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4"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4"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4"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4"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4"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4"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4"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4"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4"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4"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4"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4"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4"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4"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4"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4"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4"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4"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4"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4"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4"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4"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4"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4"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4"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4"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4"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4"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4"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4"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4"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4"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4"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4"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4"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4"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4"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4"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4"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4"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4"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4"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4"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4"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4"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4"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4"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4"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4"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4"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4"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4"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4"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4"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4"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4"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4"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4"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4"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4"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4"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4"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4"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4"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4"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4"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4"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4"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4"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4"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4"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4"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4"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4"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4"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4"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4"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4"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4"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4"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4"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4"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4"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4"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4"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4"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4"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4"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4"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4"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4"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4"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4"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4"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4"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4"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4"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4"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4"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4"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4"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I34" sqref="I34"/>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2317</v>
      </c>
      <c r="B1" s="1940"/>
      <c r="C1" s="242"/>
      <c r="D1" s="242"/>
      <c r="E1" s="242"/>
      <c r="F1" s="242"/>
      <c r="G1" s="1382">
        <f>MATCH(B1,'数据-取费表'!A6:A16,0)+5</f>
        <v>8</v>
      </c>
    </row>
    <row r="2" spans="1:9" s="244" customFormat="1" ht="18" customHeight="1">
      <c r="A2" s="245" t="s">
        <v>2318</v>
      </c>
      <c r="B2" s="246">
        <f ca="1">IF(D2="——",C52,C52-E2)</f>
        <v>120829</v>
      </c>
      <c r="C2" s="243" t="s">
        <v>2319</v>
      </c>
      <c r="D2" s="2550" t="s">
        <v>70</v>
      </c>
      <c r="E2" s="1443" t="e">
        <f ca="1">SUMIF(INDIRECT("'"&amp;G2&amp;"'"&amp;"!A:A"),"承租人权益价值",INDIRECT("'"&amp;G2&amp;"'"&amp;"!c:c"))</f>
        <v>#REF!</v>
      </c>
      <c r="F2" s="2551" t="s">
        <v>2319</v>
      </c>
      <c r="G2" s="2552"/>
    </row>
    <row r="3" spans="1:9" s="244" customFormat="1" ht="18" customHeight="1" thickBot="1">
      <c r="A3" s="247" t="s">
        <v>2320</v>
      </c>
      <c r="B3" s="248">
        <f ca="1">ROUND(B2*10000/(IF(B1="",'数据-汇总表'!E3,INDIRECT("'数据-取费表'!k"&amp;$G$1))),0)</f>
        <v>8984</v>
      </c>
      <c r="C3" s="243" t="s">
        <v>2321</v>
      </c>
      <c r="D3" s="243"/>
      <c r="E3" s="243"/>
      <c r="F3" s="243"/>
      <c r="G3" s="243"/>
    </row>
    <row r="4" spans="1:9" s="252" customFormat="1" ht="15.75">
      <c r="A4" s="249" t="s">
        <v>2322</v>
      </c>
      <c r="B4" s="250"/>
      <c r="C4" s="250"/>
      <c r="D4" s="250"/>
      <c r="E4" s="250"/>
      <c r="F4" s="250"/>
      <c r="G4" s="251"/>
    </row>
    <row r="5" spans="1:9" s="258" customFormat="1" ht="13.5" customHeight="1">
      <c r="A5" s="299" t="s">
        <v>2323</v>
      </c>
      <c r="B5" s="254" t="s">
        <v>2324</v>
      </c>
      <c r="C5" s="255">
        <f ca="1">C6+C7+C8</f>
        <v>25749</v>
      </c>
      <c r="D5" s="255" t="s">
        <v>2325</v>
      </c>
      <c r="E5" s="256" t="s">
        <v>2326</v>
      </c>
      <c r="F5" s="256" t="s">
        <v>2327</v>
      </c>
      <c r="G5" s="257"/>
    </row>
    <row r="6" spans="1:9" s="258" customFormat="1" ht="13.5" customHeight="1">
      <c r="A6" s="952" t="s">
        <v>2328</v>
      </c>
      <c r="B6" s="259" t="s">
        <v>2329</v>
      </c>
      <c r="C6" s="260">
        <f>'土地比较法-工业'!B2</f>
        <v>22377</v>
      </c>
      <c r="D6" s="261"/>
      <c r="E6" s="262"/>
      <c r="F6" s="262"/>
      <c r="G6" s="263"/>
    </row>
    <row r="7" spans="1:9" s="258" customFormat="1" ht="13.5" customHeight="1">
      <c r="A7" s="952" t="s">
        <v>2330</v>
      </c>
      <c r="B7" s="259" t="s">
        <v>2331</v>
      </c>
      <c r="C7" s="264">
        <f>ROUND(C6*F7,0)</f>
        <v>682</v>
      </c>
      <c r="D7" s="264"/>
      <c r="E7" s="262"/>
      <c r="F7" s="265">
        <f>'数据-取费表'!B48+'数据-取费表'!B49</f>
        <v>3.0499999999999999E-2</v>
      </c>
      <c r="G7" s="263"/>
    </row>
    <row r="8" spans="1:9" s="267" customFormat="1">
      <c r="A8" s="952" t="s">
        <v>2332</v>
      </c>
      <c r="B8" s="259" t="s">
        <v>2333</v>
      </c>
      <c r="C8" s="264">
        <f ca="1">IF(G8="已包含在土地购买价格中","0",IF(B1="",'数据-取费表'!B29,IF(G9="全部缴纳",C9+C10,H9)))</f>
        <v>2690</v>
      </c>
      <c r="D8" s="266"/>
      <c r="E8" s="264"/>
      <c r="F8" s="265"/>
      <c r="G8" s="2553" t="s">
        <v>3090</v>
      </c>
    </row>
    <row r="9" spans="1:9" s="258" customFormat="1" ht="13.5" customHeight="1">
      <c r="A9" s="953" t="s">
        <v>800</v>
      </c>
      <c r="B9" s="268" t="s">
        <v>2334</v>
      </c>
      <c r="C9" s="269">
        <f ca="1">ROUND(D9*E9/10000,0)</f>
        <v>0</v>
      </c>
      <c r="D9" s="1035">
        <f ca="1">IF(B1="",'数据-汇总表'!E5,IF(INDIRECT("'数据-取费表'!c"&amp;$G$1)="住宅",INDIRECT("'数据-取费表'!k"&amp;$G$1),0))</f>
        <v>0</v>
      </c>
      <c r="E9" s="269">
        <f>'数据-取费表'!B27</f>
        <v>0</v>
      </c>
      <c r="F9" s="265"/>
      <c r="G9" s="2554" t="s">
        <v>3091</v>
      </c>
      <c r="H9" s="1393">
        <v>2690</v>
      </c>
      <c r="I9" s="2555" t="s">
        <v>2335</v>
      </c>
    </row>
    <row r="10" spans="1:9" s="258" customFormat="1" ht="13.5" customHeight="1">
      <c r="A10" s="953" t="s">
        <v>801</v>
      </c>
      <c r="B10" s="268" t="s">
        <v>2336</v>
      </c>
      <c r="C10" s="269">
        <f ca="1">ROUND(D10*E10/10000,0)</f>
        <v>2690</v>
      </c>
      <c r="D10" s="1035">
        <f ca="1">IF(B1="",'数据-汇总表'!E6,IF(INDIRECT("'数据-取费表'!c"&amp;$G$1)="住宅",INDIRECT("'数据-取费表'!s"&amp;$G$1),INDIRECT("'数据-取费表'!k"&amp;$G$1)+INDIRECT("'数据-取费表'!s"&amp;$G$1)))</f>
        <v>134490.28</v>
      </c>
      <c r="E10" s="269">
        <f>'数据-取费表'!B28</f>
        <v>200</v>
      </c>
      <c r="F10" s="265"/>
      <c r="G10" s="270"/>
    </row>
    <row r="11" spans="1:9" s="258" customFormat="1" ht="13.5" hidden="1" customHeight="1">
      <c r="A11" s="271" t="s">
        <v>7</v>
      </c>
      <c r="B11" s="259" t="s">
        <v>2337</v>
      </c>
      <c r="C11" s="255"/>
      <c r="D11" s="1037"/>
      <c r="E11" s="262"/>
      <c r="F11" s="262"/>
      <c r="G11" s="263"/>
    </row>
    <row r="12" spans="1:9" s="258" customFormat="1" ht="13.5" hidden="1" customHeight="1">
      <c r="A12" s="271" t="s">
        <v>8</v>
      </c>
      <c r="B12" s="259" t="s">
        <v>2338</v>
      </c>
      <c r="C12" s="255">
        <v>0</v>
      </c>
      <c r="D12" s="1037"/>
      <c r="E12" s="272"/>
      <c r="F12" s="265">
        <v>3.0499999999999999E-2</v>
      </c>
      <c r="G12" s="263"/>
    </row>
    <row r="13" spans="1:9" s="258" customFormat="1" ht="13.5" hidden="1" customHeight="1">
      <c r="A13" s="271" t="s">
        <v>9</v>
      </c>
      <c r="B13" s="259" t="s">
        <v>2339</v>
      </c>
      <c r="C13" s="255"/>
      <c r="D13" s="1037"/>
      <c r="E13" s="262"/>
      <c r="F13" s="262"/>
      <c r="G13" s="263"/>
    </row>
    <row r="14" spans="1:9" s="258" customFormat="1" ht="13.5" hidden="1" customHeight="1">
      <c r="A14" s="271" t="s">
        <v>10</v>
      </c>
      <c r="B14" s="259" t="s">
        <v>2340</v>
      </c>
      <c r="C14" s="255"/>
      <c r="D14" s="1037"/>
      <c r="E14" s="262"/>
      <c r="F14" s="262"/>
      <c r="G14" s="263" t="s">
        <v>2341</v>
      </c>
    </row>
    <row r="15" spans="1:9" s="258" customFormat="1" ht="13.5" hidden="1" customHeight="1">
      <c r="A15" s="271" t="s">
        <v>11</v>
      </c>
      <c r="B15" s="259" t="s">
        <v>2342</v>
      </c>
      <c r="C15" s="264"/>
      <c r="D15" s="1037"/>
      <c r="E15" s="262"/>
      <c r="F15" s="262"/>
      <c r="G15" s="263" t="s">
        <v>2343</v>
      </c>
    </row>
    <row r="16" spans="1:9" s="258" customFormat="1" ht="13.5" hidden="1" customHeight="1">
      <c r="A16" s="271" t="s">
        <v>12</v>
      </c>
      <c r="B16" s="259" t="s">
        <v>2340</v>
      </c>
      <c r="C16" s="264"/>
      <c r="D16" s="1037"/>
      <c r="E16" s="262"/>
      <c r="F16" s="262"/>
      <c r="G16" s="263"/>
    </row>
    <row r="17" spans="1:9" s="258" customFormat="1" ht="13.5" hidden="1" customHeight="1">
      <c r="A17" s="271" t="s">
        <v>13</v>
      </c>
      <c r="B17" s="259" t="s">
        <v>2344</v>
      </c>
      <c r="C17" s="273"/>
      <c r="D17" s="1038"/>
      <c r="E17" s="273"/>
      <c r="F17" s="273"/>
      <c r="G17" s="263" t="s">
        <v>2343</v>
      </c>
    </row>
    <row r="18" spans="1:9" s="258" customFormat="1" ht="13.5" hidden="1" customHeight="1">
      <c r="A18" s="271" t="s">
        <v>14</v>
      </c>
      <c r="B18" s="259" t="s">
        <v>2345</v>
      </c>
      <c r="C18" s="264">
        <v>0</v>
      </c>
      <c r="D18" s="1037"/>
      <c r="E18" s="262"/>
      <c r="F18" s="265">
        <v>3.0499999999999999E-2</v>
      </c>
      <c r="G18" s="263" t="s">
        <v>2346</v>
      </c>
    </row>
    <row r="19" spans="1:9" s="267" customFormat="1" ht="13.5" customHeight="1">
      <c r="A19" s="299" t="s">
        <v>2347</v>
      </c>
      <c r="B19" s="254" t="s">
        <v>2348</v>
      </c>
      <c r="C19" s="255" t="str">
        <f>IF(G19="已包含在土地取得成本中","0",ROUND(D19*E19/10000,0))</f>
        <v>0</v>
      </c>
      <c r="D19" s="1039">
        <f ca="1">D9+D10</f>
        <v>134490.28</v>
      </c>
      <c r="E19" s="255">
        <f>'数据-取费表'!B31</f>
        <v>200</v>
      </c>
      <c r="F19" s="275"/>
      <c r="G19" s="2553" t="s">
        <v>3092</v>
      </c>
    </row>
    <row r="20" spans="1:9" s="258" customFormat="1" ht="13.5" customHeight="1">
      <c r="A20" s="299" t="s">
        <v>2349</v>
      </c>
      <c r="B20" s="254" t="s">
        <v>2350</v>
      </c>
      <c r="C20" s="276">
        <f ca="1">ROUND((C5+C19)*F20,0)</f>
        <v>515</v>
      </c>
      <c r="D20" s="276"/>
      <c r="E20" s="276"/>
      <c r="F20" s="277">
        <f>'数据-取费表'!B37</f>
        <v>0.02</v>
      </c>
      <c r="G20" s="278" t="s">
        <v>2351</v>
      </c>
    </row>
    <row r="21" spans="1:9" s="258" customFormat="1" ht="13.5" customHeight="1">
      <c r="A21" s="299" t="s">
        <v>2352</v>
      </c>
      <c r="B21" s="254" t="s">
        <v>2353</v>
      </c>
      <c r="C21" s="279">
        <f>F21</f>
        <v>0.02</v>
      </c>
      <c r="D21" s="280" t="s">
        <v>2354</v>
      </c>
      <c r="E21" s="276"/>
      <c r="F21" s="277">
        <f>'数据-取费表'!B38</f>
        <v>0.02</v>
      </c>
      <c r="G21" s="278" t="s">
        <v>2355</v>
      </c>
    </row>
    <row r="22" spans="1:9" s="258" customFormat="1" ht="13.5" customHeight="1">
      <c r="A22" s="299" t="s">
        <v>2356</v>
      </c>
      <c r="B22" s="254" t="s">
        <v>2357</v>
      </c>
      <c r="C22" s="1357">
        <f ca="1">ROUND(SUM(C23:C25),0)</f>
        <v>2528</v>
      </c>
      <c r="D22" s="279">
        <f ca="1">C26</f>
        <v>1E-3</v>
      </c>
      <c r="E22" s="280" t="s">
        <v>2354</v>
      </c>
      <c r="F22" s="281">
        <f ca="1">'数据-取费表'!B40</f>
        <v>4.7500000000000001E-2</v>
      </c>
      <c r="G22" s="278" t="str">
        <f>IF('数据-取费表'!B22&lt;=1,"单利计息","复利计息")</f>
        <v>复利计息</v>
      </c>
    </row>
    <row r="23" spans="1:9" s="258" customFormat="1" ht="13.5" customHeight="1">
      <c r="A23" s="954" t="s">
        <v>2358</v>
      </c>
      <c r="B23" s="259" t="s">
        <v>2359</v>
      </c>
      <c r="C23" s="1358">
        <f ca="1">ROUND(IF('数据-取费表'!B22&lt;=1,C5*F22*'数据-取费表'!B23,C5*(POWER((1+F22),'数据-取费表'!B23)-1)),0)</f>
        <v>2504</v>
      </c>
      <c r="D23" s="282"/>
      <c r="E23" s="282"/>
      <c r="F23" s="283"/>
      <c r="G23" s="284" t="s">
        <v>2360</v>
      </c>
    </row>
    <row r="24" spans="1:9" s="258" customFormat="1" ht="13.5" customHeight="1">
      <c r="A24" s="954" t="s">
        <v>2361</v>
      </c>
      <c r="B24" s="259" t="s">
        <v>2362</v>
      </c>
      <c r="C24" s="1358">
        <f ca="1">ROUND(IF('数据-取费表'!B22&lt;=1,C19*F22*('数据-取费表'!B19/2+'数据-取费表'!B21),C19*(POWER((1+F22),('数据-取费表'!B19/2+'数据-取费表'!B21))-1)),0)</f>
        <v>0</v>
      </c>
      <c r="D24" s="282"/>
      <c r="E24" s="282"/>
      <c r="F24" s="283"/>
      <c r="G24" s="284" t="s">
        <v>2363</v>
      </c>
    </row>
    <row r="25" spans="1:9" s="258" customFormat="1" ht="24">
      <c r="A25" s="954" t="s">
        <v>2364</v>
      </c>
      <c r="B25" s="259" t="s">
        <v>2365</v>
      </c>
      <c r="C25" s="1358">
        <f ca="1">ROUND(IF('数据-取费表'!B22&lt;=1,C20*F22*'数据-取费表'!B23/2,C20*(POWER((1+F22),'数据-取费表'!B23/2)-1)),0)</f>
        <v>24</v>
      </c>
      <c r="D25" s="282"/>
      <c r="E25" s="285"/>
      <c r="F25" s="283"/>
      <c r="G25" s="286" t="s">
        <v>2366</v>
      </c>
    </row>
    <row r="26" spans="1:9" s="258" customFormat="1">
      <c r="A26" s="954" t="s">
        <v>795</v>
      </c>
      <c r="B26" s="259" t="s">
        <v>2367</v>
      </c>
      <c r="C26" s="282">
        <f ca="1">ROUND(IF('数据-取费表'!B22&lt;=1,F21*F22*'数据-取费表'!B23/2,F21*(POWER((1+F22),'数据-取费表'!B23/2)-1)),4)</f>
        <v>1E-3</v>
      </c>
      <c r="D26" s="282"/>
      <c r="E26" s="285"/>
      <c r="F26" s="283"/>
      <c r="G26" s="287"/>
    </row>
    <row r="27" spans="1:9" s="258" customFormat="1" ht="24.75">
      <c r="A27" s="299" t="s">
        <v>2368</v>
      </c>
      <c r="B27" s="288" t="s">
        <v>2369</v>
      </c>
      <c r="C27" s="289">
        <f ca="1">C28</f>
        <v>4728</v>
      </c>
      <c r="D27" s="279">
        <f ca="1">C29</f>
        <v>3.5999999999999999E-3</v>
      </c>
      <c r="E27" s="280" t="s">
        <v>2370</v>
      </c>
      <c r="F27" s="290">
        <f ca="1">IF(B1="",'数据-取费表'!Q16,INDIRECT("'数据-取费表'!q"&amp;$G$1))</f>
        <v>0.18</v>
      </c>
      <c r="G27" s="291" t="s">
        <v>2371</v>
      </c>
    </row>
    <row r="28" spans="1:9" s="258" customFormat="1" ht="13.5" customHeight="1">
      <c r="A28" s="954" t="s">
        <v>791</v>
      </c>
      <c r="B28" s="292" t="s">
        <v>2372</v>
      </c>
      <c r="C28" s="293">
        <f ca="1">ROUND((C5+C19+C20)*F27*'数据-取费表'!B21/'数据-取费表'!B20,0)</f>
        <v>4728</v>
      </c>
      <c r="D28" s="279"/>
      <c r="E28" s="280"/>
      <c r="F28" s="290"/>
      <c r="G28" s="291"/>
    </row>
    <row r="29" spans="1:9" s="258" customFormat="1" ht="13.5" customHeight="1">
      <c r="A29" s="954" t="s">
        <v>792</v>
      </c>
      <c r="B29" s="292" t="s">
        <v>2373</v>
      </c>
      <c r="C29" s="282">
        <f ca="1">ROUND(C21*F27*'数据-取费表'!B21/'数据-取费表'!B20,4)</f>
        <v>3.5999999999999999E-3</v>
      </c>
      <c r="D29" s="279"/>
      <c r="E29" s="280"/>
      <c r="F29" s="290"/>
      <c r="G29" s="291"/>
    </row>
    <row r="30" spans="1:9" s="258" customFormat="1" ht="13.5" customHeight="1">
      <c r="A30" s="299" t="s">
        <v>2374</v>
      </c>
      <c r="B30" s="254" t="s">
        <v>2375</v>
      </c>
      <c r="C30" s="279">
        <f>ROUND(F30/(1+'数据-取费表'!C42),4)</f>
        <v>5.2400000000000002E-2</v>
      </c>
      <c r="D30" s="280" t="s">
        <v>2370</v>
      </c>
      <c r="E30" s="285"/>
      <c r="F30" s="281">
        <f>'数据-取费表'!B41</f>
        <v>5.5000000000000007E-2</v>
      </c>
      <c r="G30" s="278" t="s">
        <v>2376</v>
      </c>
      <c r="I30" s="258">
        <f ca="1">B2*10000/B3</f>
        <v>134493.54407836153</v>
      </c>
    </row>
    <row r="31" spans="1:9" ht="16.5" customHeight="1">
      <c r="A31" s="253">
        <v>1</v>
      </c>
      <c r="B31" s="254" t="s">
        <v>2377</v>
      </c>
      <c r="C31" s="255">
        <f ca="1">ROUND((C5+C19+C20+C22+C27)/(1-C21-D22-D27-C30),0)</f>
        <v>36316</v>
      </c>
      <c r="D31" s="274"/>
      <c r="E31" s="255"/>
      <c r="F31" s="294"/>
      <c r="G31" s="278" t="s">
        <v>2378</v>
      </c>
      <c r="I31" s="295">
        <f ca="1">B3*'数据-基础表'!B3/10000</f>
        <v>120826.06755199999</v>
      </c>
    </row>
    <row r="32" spans="1:9" s="252" customFormat="1" ht="15.75">
      <c r="A32" s="296" t="s">
        <v>2379</v>
      </c>
      <c r="B32" s="297"/>
      <c r="C32" s="297"/>
      <c r="D32" s="297"/>
      <c r="E32" s="297"/>
      <c r="F32" s="297"/>
      <c r="G32" s="298"/>
    </row>
    <row r="33" spans="1:9" s="258" customFormat="1" ht="13.5" customHeight="1">
      <c r="A33" s="299" t="s">
        <v>782</v>
      </c>
      <c r="B33" s="254" t="s">
        <v>2380</v>
      </c>
      <c r="C33" s="300">
        <f ca="1">SUM(C34:C38)</f>
        <v>73125</v>
      </c>
      <c r="D33" s="276"/>
      <c r="E33" s="256"/>
      <c r="F33" s="285"/>
      <c r="G33" s="278"/>
    </row>
    <row r="34" spans="1:9" s="302" customFormat="1" ht="13.5" customHeight="1">
      <c r="A34" s="954" t="s">
        <v>791</v>
      </c>
      <c r="B34" s="259" t="s">
        <v>2381</v>
      </c>
      <c r="C34" s="264">
        <f ca="1">IF(B1="",IF(F34=100%,'数据-取费表'!M16,'数据-取费表'!O16),IF(F34=100%,INDIRECT("'数据-取费表'!m"&amp;$G$1)+INDIRECT("'数据-取费表'!t"&amp;$G$1),INDIRECT("'数据-取费表'!o"&amp;$G$1)+INDIRECT("'数据-取费表'!aq"&amp;$G$1)))</f>
        <v>66763</v>
      </c>
      <c r="D34" s="261"/>
      <c r="E34" s="264"/>
      <c r="F34" s="301">
        <f ca="1">IF('数据-取费表'!B24=0,1,IF(B1="",'数据-取费表'!N16,INDIRECT("'数据-取费表'!n"&amp;$G$1)))</f>
        <v>1</v>
      </c>
      <c r="G34" s="263" t="s">
        <v>2382</v>
      </c>
      <c r="I34" s="2990">
        <f ca="1">C34*10000/'数据-基础表'!B3</f>
        <v>4964.1505690968897</v>
      </c>
    </row>
    <row r="35" spans="1:9" ht="13.5" customHeight="1">
      <c r="A35" s="954" t="s">
        <v>796</v>
      </c>
      <c r="B35" s="259" t="s">
        <v>2383</v>
      </c>
      <c r="C35" s="264">
        <f ca="1">ROUND(C34*F35,0)</f>
        <v>2671</v>
      </c>
      <c r="D35" s="264"/>
      <c r="E35" s="264"/>
      <c r="F35" s="303">
        <f>'数据-取费表'!B33</f>
        <v>0.04</v>
      </c>
      <c r="G35" s="263" t="s">
        <v>2384</v>
      </c>
    </row>
    <row r="36" spans="1:9" ht="24">
      <c r="A36" s="954" t="s">
        <v>797</v>
      </c>
      <c r="B36" s="259" t="s">
        <v>2385</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2386</v>
      </c>
    </row>
    <row r="37" spans="1:9" s="302" customFormat="1" ht="13.5" customHeight="1">
      <c r="A37" s="954" t="s">
        <v>798</v>
      </c>
      <c r="B37" s="259" t="s">
        <v>2387</v>
      </c>
      <c r="C37" s="293">
        <f ca="1">ROUND(E37*D37*F34/10000,0)</f>
        <v>2690</v>
      </c>
      <c r="D37" s="261">
        <f ca="1">D19</f>
        <v>134490.28</v>
      </c>
      <c r="E37" s="293">
        <f>'数据-取费表'!B35</f>
        <v>200</v>
      </c>
      <c r="F37" s="303"/>
      <c r="G37" s="305" t="s">
        <v>2388</v>
      </c>
    </row>
    <row r="38" spans="1:9" ht="13.5" customHeight="1">
      <c r="A38" s="954" t="s">
        <v>799</v>
      </c>
      <c r="B38" s="259" t="s">
        <v>2389</v>
      </c>
      <c r="C38" s="264">
        <f ca="1">ROUND(C34*F38,0)</f>
        <v>1001</v>
      </c>
      <c r="D38" s="264"/>
      <c r="E38" s="264"/>
      <c r="F38" s="303">
        <f>'数据-取费表'!B36</f>
        <v>1.4999999999999999E-2</v>
      </c>
      <c r="G38" s="263" t="s">
        <v>2384</v>
      </c>
    </row>
    <row r="39" spans="1:9" s="258" customFormat="1" ht="13.5" customHeight="1">
      <c r="A39" s="299" t="s">
        <v>2390</v>
      </c>
      <c r="B39" s="254" t="s">
        <v>2391</v>
      </c>
      <c r="C39" s="276">
        <f ca="1">ROUND(C33*F20,0)</f>
        <v>1463</v>
      </c>
      <c r="D39" s="276"/>
      <c r="E39" s="276"/>
      <c r="F39" s="277"/>
      <c r="G39" s="278" t="s">
        <v>2392</v>
      </c>
    </row>
    <row r="40" spans="1:9" s="258" customFormat="1" ht="13.5" customHeight="1">
      <c r="A40" s="299" t="s">
        <v>2393</v>
      </c>
      <c r="B40" s="254" t="s">
        <v>2394</v>
      </c>
      <c r="C40" s="1731">
        <f>F21</f>
        <v>0.02</v>
      </c>
      <c r="D40" s="280" t="s">
        <v>2395</v>
      </c>
      <c r="E40" s="276"/>
      <c r="F40" s="277"/>
      <c r="G40" s="278" t="s">
        <v>2396</v>
      </c>
    </row>
    <row r="41" spans="1:9" s="258" customFormat="1" ht="13.5" customHeight="1">
      <c r="A41" s="299" t="s">
        <v>2397</v>
      </c>
      <c r="B41" s="254" t="s">
        <v>2398</v>
      </c>
      <c r="C41" s="276">
        <f ca="1">ROUND(SUM(C42:C43),0)</f>
        <v>3542</v>
      </c>
      <c r="D41" s="279">
        <f ca="1">C44</f>
        <v>1E-3</v>
      </c>
      <c r="E41" s="280" t="s">
        <v>2395</v>
      </c>
      <c r="F41" s="281"/>
      <c r="G41" s="278" t="str">
        <f>IF('数据-取费表'!B22&lt;=1,"单利计息","复利计息")</f>
        <v>复利计息</v>
      </c>
    </row>
    <row r="42" spans="1:9" ht="13.5" customHeight="1">
      <c r="A42" s="954" t="s">
        <v>791</v>
      </c>
      <c r="B42" s="259" t="s">
        <v>2399</v>
      </c>
      <c r="C42" s="282">
        <f ca="1">ROUND(IF('数据-取费表'!B22&lt;=1,C33*F22*'数据-取费表'!B21/2,C33*(POWER((1+F22),'数据-取费表'!B21/2)-1)),0)</f>
        <v>3473</v>
      </c>
      <c r="D42" s="282"/>
      <c r="E42" s="282"/>
      <c r="F42" s="283"/>
      <c r="G42" s="3179" t="s">
        <v>2400</v>
      </c>
    </row>
    <row r="43" spans="1:9" ht="13.5" customHeight="1">
      <c r="A43" s="954" t="s">
        <v>792</v>
      </c>
      <c r="B43" s="259" t="s">
        <v>2401</v>
      </c>
      <c r="C43" s="282">
        <f ca="1">ROUND(IF('数据-取费表'!B22&lt;=1,C39*F22*'数据-取费表'!B21/2,C39*(POWER((1+F22),'数据-取费表'!B21/2)-1)),0)</f>
        <v>69</v>
      </c>
      <c r="D43" s="282"/>
      <c r="E43" s="282"/>
      <c r="F43" s="283"/>
      <c r="G43" s="3180"/>
    </row>
    <row r="44" spans="1:9" ht="13.5" customHeight="1">
      <c r="A44" s="954" t="s">
        <v>793</v>
      </c>
      <c r="B44" s="259" t="s">
        <v>2402</v>
      </c>
      <c r="C44" s="282">
        <f ca="1">ROUND(IF('数据-取费表'!B22&lt;=1,C40*F22*'数据-取费表'!B21/2,C40*(POWER((1+F22),'数据-取费表'!B21/2)-1)),4)</f>
        <v>1E-3</v>
      </c>
      <c r="D44" s="282"/>
      <c r="E44" s="282"/>
      <c r="F44" s="283"/>
      <c r="G44" s="3181"/>
    </row>
    <row r="45" spans="1:9" s="258" customFormat="1" ht="13.5" customHeight="1">
      <c r="A45" s="299" t="s">
        <v>2403</v>
      </c>
      <c r="B45" s="288" t="s">
        <v>2369</v>
      </c>
      <c r="C45" s="289">
        <f ca="1">C46</f>
        <v>13426</v>
      </c>
      <c r="D45" s="279">
        <f ca="1">C47</f>
        <v>3.5999999999999999E-3</v>
      </c>
      <c r="E45" s="280" t="s">
        <v>2395</v>
      </c>
      <c r="F45" s="290"/>
      <c r="G45" s="291" t="s">
        <v>2404</v>
      </c>
    </row>
    <row r="46" spans="1:9" s="258" customFormat="1" ht="13.5" customHeight="1">
      <c r="A46" s="954" t="s">
        <v>791</v>
      </c>
      <c r="B46" s="292" t="s">
        <v>2405</v>
      </c>
      <c r="C46" s="293">
        <f ca="1">ROUND((C33+C39)*F27,0)</f>
        <v>13426</v>
      </c>
      <c r="D46" s="307"/>
      <c r="E46" s="280"/>
      <c r="F46" s="290"/>
      <c r="G46" s="291"/>
    </row>
    <row r="47" spans="1:9" s="258" customFormat="1" ht="13.5" customHeight="1">
      <c r="A47" s="954" t="s">
        <v>792</v>
      </c>
      <c r="B47" s="292" t="s">
        <v>2406</v>
      </c>
      <c r="C47" s="282">
        <f ca="1">ROUND(C40*F27,4)</f>
        <v>3.5999999999999999E-3</v>
      </c>
      <c r="D47" s="307"/>
      <c r="E47" s="280"/>
      <c r="F47" s="290"/>
      <c r="G47" s="291"/>
    </row>
    <row r="48" spans="1:9" s="258" customFormat="1" ht="13.5" customHeight="1">
      <c r="A48" s="299" t="s">
        <v>2368</v>
      </c>
      <c r="B48" s="254" t="s">
        <v>2407</v>
      </c>
      <c r="C48" s="1731">
        <f>ROUND(F30/(1+'数据-取费表'!C42),4)</f>
        <v>5.2400000000000002E-2</v>
      </c>
      <c r="D48" s="280" t="s">
        <v>2395</v>
      </c>
      <c r="E48" s="276"/>
      <c r="F48" s="281"/>
      <c r="G48" s="278" t="s">
        <v>2408</v>
      </c>
    </row>
    <row r="49" spans="1:7" ht="16.5" customHeight="1">
      <c r="A49" s="299" t="s">
        <v>2374</v>
      </c>
      <c r="B49" s="254" t="s">
        <v>2409</v>
      </c>
      <c r="C49" s="276">
        <f ca="1">ROUND((C33+C39+C41+C45)/(1-C40-D41-D45-C48),0)</f>
        <v>99194</v>
      </c>
      <c r="D49" s="276"/>
      <c r="E49" s="276"/>
      <c r="F49" s="308"/>
      <c r="G49" s="278" t="s">
        <v>2410</v>
      </c>
    </row>
    <row r="50" spans="1:7" s="302" customFormat="1" ht="24">
      <c r="A50" s="299" t="s">
        <v>2411</v>
      </c>
      <c r="B50" s="254" t="s">
        <v>2412</v>
      </c>
      <c r="C50" s="276"/>
      <c r="D50" s="276"/>
      <c r="E50" s="276"/>
      <c r="F50" s="308">
        <f>IF('数据-取费表'!B24=0,'数据-取费表'!N16,1)</f>
        <v>0.85199999999999998</v>
      </c>
      <c r="G50" s="291" t="s">
        <v>2413</v>
      </c>
    </row>
    <row r="51" spans="1:7" ht="16.5" customHeight="1">
      <c r="A51" s="299" t="s">
        <v>2414</v>
      </c>
      <c r="B51" s="254" t="s">
        <v>2415</v>
      </c>
      <c r="C51" s="276">
        <f ca="1">ROUND(C49*F50,0)</f>
        <v>84513</v>
      </c>
      <c r="D51" s="276"/>
      <c r="E51" s="276"/>
      <c r="F51" s="308"/>
      <c r="G51" s="278" t="s">
        <v>2416</v>
      </c>
    </row>
    <row r="52" spans="1:7" s="252" customFormat="1" ht="16.5" thickBot="1">
      <c r="A52" s="309" t="s">
        <v>2417</v>
      </c>
      <c r="B52" s="310"/>
      <c r="C52" s="311">
        <f ca="1">C31+C51</f>
        <v>120829</v>
      </c>
      <c r="D52" s="310"/>
      <c r="E52" s="310"/>
      <c r="F52" s="310"/>
      <c r="G52" s="312"/>
    </row>
    <row r="55" spans="1:7" ht="15">
      <c r="B55" s="314" t="s">
        <v>2418</v>
      </c>
      <c r="C55" s="315"/>
    </row>
    <row r="56" spans="1:7">
      <c r="B56" s="317" t="s">
        <v>1509</v>
      </c>
      <c r="C56" s="319">
        <f ca="1">1-C57</f>
        <v>0.30100000000000005</v>
      </c>
    </row>
    <row r="57" spans="1:7">
      <c r="B57" s="317" t="s">
        <v>1510</v>
      </c>
      <c r="C57" s="318">
        <f ca="1">ROUND(C51/C52,3)</f>
        <v>0.69899999999999995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7" sqref="B17:B19"/>
    </sheetView>
  </sheetViews>
  <sheetFormatPr defaultColWidth="9"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93" t="str">
        <f>项目基本情况!B1</f>
        <v>北京市北京经济技术开发区东环中路5号11幢等6幢楼工业用房房地产抵押价值预评估</v>
      </c>
      <c r="C37" s="2993"/>
      <c r="D37" s="2993"/>
      <c r="E37" s="2993"/>
      <c r="F37" s="2993"/>
      <c r="G37" s="2993"/>
      <c r="H37" s="2993"/>
      <c r="I37" s="2993"/>
    </row>
    <row r="38" spans="1:9">
      <c r="A38" s="1019"/>
      <c r="B38" s="1019"/>
    </row>
    <row r="39" spans="1:9">
      <c r="A39" s="1017" t="s">
        <v>818</v>
      </c>
      <c r="B39" s="1017" t="s">
        <v>820</v>
      </c>
    </row>
    <row r="40" spans="1:9">
      <c r="A40" s="1017"/>
      <c r="B40" s="1945" t="str">
        <f>项目基本情况!B5</f>
        <v>北京新能源汽车股份有限公司</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崔锴（注册号：1120100036)、郑燚（注册号：1120070131)</v>
      </c>
    </row>
    <row r="47" spans="1:9">
      <c r="A47" s="1017"/>
      <c r="B47" s="1017" t="str">
        <f>项目基本情况!K5</f>
        <v/>
      </c>
    </row>
    <row r="48" spans="1:9">
      <c r="A48" s="1017" t="s">
        <v>818</v>
      </c>
      <c r="B48" s="1017" t="s">
        <v>824</v>
      </c>
    </row>
    <row r="49" spans="2:2">
      <c r="B49" s="1945" t="str">
        <f>"康正预评字"&amp;项目基本情况!B2&amp;"号"</f>
        <v>康正预评字2019-1-0124-P01DYGJ1号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AN6" sqref="AN6"/>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2317</v>
      </c>
      <c r="B1" s="1940"/>
      <c r="C1" s="2556" t="s">
        <v>2419</v>
      </c>
      <c r="D1" s="242"/>
      <c r="E1" s="242"/>
      <c r="F1" s="242"/>
      <c r="G1" s="1382">
        <f>MATCH(B1,'数据-取费表'!A6:A16,0)+5</f>
        <v>8</v>
      </c>
      <c r="H1" s="1285" t="str">
        <f>IF(ISERROR(FIND("住宅",B1)),"非住宅","住宅")</f>
        <v>非住宅</v>
      </c>
    </row>
    <row r="2" spans="1:8" s="244" customFormat="1" ht="18" customHeight="1">
      <c r="A2" s="245" t="s">
        <v>2318</v>
      </c>
      <c r="B2" s="246">
        <f ca="1">ROUND(IF(D2="——",C52/10000,C52/10000-E2),0)</f>
        <v>92101</v>
      </c>
      <c r="C2" s="243" t="s">
        <v>2319</v>
      </c>
      <c r="D2" s="2550" t="s">
        <v>70</v>
      </c>
      <c r="E2" s="1443" t="e">
        <f ca="1">SUMIF(INDIRECT("'"&amp;G2&amp;"'"&amp;"!A:A"),"承租人权益价值",INDIRECT("'"&amp;G2&amp;"'"&amp;"!c:c"))</f>
        <v>#REF!</v>
      </c>
      <c r="F2" s="2551" t="s">
        <v>2319</v>
      </c>
      <c r="G2" s="2552"/>
    </row>
    <row r="3" spans="1:8" s="244" customFormat="1" ht="18" customHeight="1" thickBot="1">
      <c r="A3" s="247" t="s">
        <v>2320</v>
      </c>
      <c r="B3" s="248">
        <f ca="1">ROUND(B2*10000/(IF(B1="",'数据-汇总表'!E3,INDIRECT("'数据-取费表'!k"&amp;$G$1))),0)</f>
        <v>6848</v>
      </c>
      <c r="C3" s="243" t="s">
        <v>2321</v>
      </c>
      <c r="D3" s="243"/>
      <c r="E3" s="243"/>
      <c r="F3" s="243"/>
      <c r="G3" s="243"/>
    </row>
    <row r="4" spans="1:8" s="252" customFormat="1" ht="15.75">
      <c r="A4" s="249" t="s">
        <v>2322</v>
      </c>
      <c r="B4" s="250"/>
      <c r="C4" s="250"/>
      <c r="D4" s="250"/>
      <c r="E4" s="250"/>
      <c r="F4" s="250"/>
      <c r="G4" s="251"/>
    </row>
    <row r="5" spans="1:8" s="258" customFormat="1" ht="13.5" customHeight="1">
      <c r="A5" s="299" t="s">
        <v>2323</v>
      </c>
      <c r="B5" s="254" t="s">
        <v>2324</v>
      </c>
      <c r="C5" s="255">
        <f ca="1">C6+C7+C8</f>
        <v>26898056</v>
      </c>
      <c r="D5" s="255" t="s">
        <v>2325</v>
      </c>
      <c r="E5" s="256" t="s">
        <v>2326</v>
      </c>
      <c r="F5" s="256" t="s">
        <v>2327</v>
      </c>
      <c r="G5" s="257"/>
    </row>
    <row r="6" spans="1:8" s="258" customFormat="1" ht="13.5" customHeight="1">
      <c r="A6" s="952" t="s">
        <v>2328</v>
      </c>
      <c r="B6" s="259" t="s">
        <v>2329</v>
      </c>
      <c r="C6" s="260"/>
      <c r="D6" s="261"/>
      <c r="E6" s="262"/>
      <c r="F6" s="262"/>
      <c r="G6" s="263"/>
    </row>
    <row r="7" spans="1:8" s="258" customFormat="1" ht="13.5" customHeight="1">
      <c r="A7" s="952" t="s">
        <v>2330</v>
      </c>
      <c r="B7" s="259" t="s">
        <v>2331</v>
      </c>
      <c r="C7" s="264">
        <f>ROUND(C6*F7,0)</f>
        <v>0</v>
      </c>
      <c r="D7" s="264"/>
      <c r="E7" s="262"/>
      <c r="F7" s="265">
        <f>'数据-取费表'!B48+'数据-取费表'!B49</f>
        <v>3.0499999999999999E-2</v>
      </c>
      <c r="G7" s="263"/>
    </row>
    <row r="8" spans="1:8" s="267" customFormat="1">
      <c r="A8" s="952" t="s">
        <v>2332</v>
      </c>
      <c r="B8" s="259" t="s">
        <v>2333</v>
      </c>
      <c r="C8" s="264">
        <f ca="1">IF(G8="已包含在土地购买价格中",0,C9+C10)</f>
        <v>26898056</v>
      </c>
      <c r="D8" s="266"/>
      <c r="E8" s="264"/>
      <c r="F8" s="265"/>
      <c r="G8" s="2553"/>
    </row>
    <row r="9" spans="1:8" s="258" customFormat="1" ht="13.5" customHeight="1">
      <c r="A9" s="953" t="s">
        <v>800</v>
      </c>
      <c r="B9" s="268" t="s">
        <v>2334</v>
      </c>
      <c r="C9" s="269">
        <f ca="1">ROUND(D9*E9,0)</f>
        <v>0</v>
      </c>
      <c r="D9" s="1035">
        <f ca="1">IF(B1="",'数据-汇总表'!E5,IF(INDIRECT("'数据-取费表'!c"&amp;$G$1)="住宅",INDIRECT("'数据-取费表'!k"&amp;$G$1),0))</f>
        <v>0</v>
      </c>
      <c r="E9" s="269">
        <f>'数据-取费表'!B27</f>
        <v>0</v>
      </c>
      <c r="F9" s="265"/>
      <c r="G9" s="270"/>
    </row>
    <row r="10" spans="1:8" s="258" customFormat="1" ht="13.5" customHeight="1">
      <c r="A10" s="953" t="s">
        <v>801</v>
      </c>
      <c r="B10" s="268" t="s">
        <v>2336</v>
      </c>
      <c r="C10" s="269">
        <f ca="1">ROUND(D10*E10,0)</f>
        <v>26898056</v>
      </c>
      <c r="D10" s="1035">
        <f ca="1">IF(B1="",'数据-汇总表'!E6,IF(INDIRECT("'数据-取费表'!c"&amp;$G$1)="住宅",INDIRECT("'数据-取费表'!s"&amp;$G$1),INDIRECT("'数据-取费表'!k"&amp;$G$1)+INDIRECT("'数据-取费表'!s"&amp;$G$1)))</f>
        <v>134490.28</v>
      </c>
      <c r="E10" s="269">
        <f>'数据-取费表'!B28</f>
        <v>200</v>
      </c>
      <c r="F10" s="265"/>
      <c r="G10" s="270"/>
    </row>
    <row r="11" spans="1:8" s="258" customFormat="1" ht="13.5" hidden="1" customHeight="1">
      <c r="A11" s="271" t="s">
        <v>7</v>
      </c>
      <c r="B11" s="259" t="s">
        <v>2337</v>
      </c>
      <c r="C11" s="255"/>
      <c r="D11" s="1037"/>
      <c r="E11" s="262"/>
      <c r="F11" s="262"/>
      <c r="G11" s="263"/>
    </row>
    <row r="12" spans="1:8" s="258" customFormat="1" ht="13.5" hidden="1" customHeight="1">
      <c r="A12" s="271" t="s">
        <v>8</v>
      </c>
      <c r="B12" s="259" t="s">
        <v>2420</v>
      </c>
      <c r="C12" s="255">
        <v>0</v>
      </c>
      <c r="D12" s="1037"/>
      <c r="E12" s="272"/>
      <c r="F12" s="265">
        <v>3.0499999999999999E-2</v>
      </c>
      <c r="G12" s="263"/>
    </row>
    <row r="13" spans="1:8" s="258" customFormat="1" ht="13.5" hidden="1" customHeight="1">
      <c r="A13" s="271" t="s">
        <v>9</v>
      </c>
      <c r="B13" s="259" t="s">
        <v>2421</v>
      </c>
      <c r="C13" s="255"/>
      <c r="D13" s="1037"/>
      <c r="E13" s="262"/>
      <c r="F13" s="262"/>
      <c r="G13" s="263"/>
    </row>
    <row r="14" spans="1:8" s="258" customFormat="1" ht="13.5" hidden="1" customHeight="1">
      <c r="A14" s="271" t="s">
        <v>10</v>
      </c>
      <c r="B14" s="259" t="s">
        <v>2333</v>
      </c>
      <c r="C14" s="255"/>
      <c r="D14" s="1037"/>
      <c r="E14" s="262"/>
      <c r="F14" s="262"/>
      <c r="G14" s="263" t="s">
        <v>2422</v>
      </c>
    </row>
    <row r="15" spans="1:8" s="258" customFormat="1" ht="13.5" hidden="1" customHeight="1">
      <c r="A15" s="271" t="s">
        <v>11</v>
      </c>
      <c r="B15" s="259" t="s">
        <v>2423</v>
      </c>
      <c r="C15" s="264"/>
      <c r="D15" s="1037"/>
      <c r="E15" s="262"/>
      <c r="F15" s="262"/>
      <c r="G15" s="263" t="s">
        <v>2424</v>
      </c>
    </row>
    <row r="16" spans="1:8" s="258" customFormat="1" ht="13.5" hidden="1" customHeight="1">
      <c r="A16" s="271" t="s">
        <v>12</v>
      </c>
      <c r="B16" s="259" t="s">
        <v>2333</v>
      </c>
      <c r="C16" s="264"/>
      <c r="D16" s="1037"/>
      <c r="E16" s="262"/>
      <c r="F16" s="262"/>
      <c r="G16" s="263"/>
    </row>
    <row r="17" spans="1:7" s="258" customFormat="1" ht="13.5" hidden="1" customHeight="1">
      <c r="A17" s="271" t="s">
        <v>13</v>
      </c>
      <c r="B17" s="259" t="s">
        <v>2425</v>
      </c>
      <c r="C17" s="273"/>
      <c r="D17" s="1038"/>
      <c r="E17" s="273"/>
      <c r="F17" s="273"/>
      <c r="G17" s="263" t="s">
        <v>2424</v>
      </c>
    </row>
    <row r="18" spans="1:7" s="258" customFormat="1" ht="13.5" hidden="1" customHeight="1">
      <c r="A18" s="271" t="s">
        <v>14</v>
      </c>
      <c r="B18" s="259" t="s">
        <v>2426</v>
      </c>
      <c r="C18" s="264">
        <v>0</v>
      </c>
      <c r="D18" s="1037"/>
      <c r="E18" s="262"/>
      <c r="F18" s="265">
        <v>3.0499999999999999E-2</v>
      </c>
      <c r="G18" s="263" t="s">
        <v>2427</v>
      </c>
    </row>
    <row r="19" spans="1:7" s="267" customFormat="1" ht="13.5" customHeight="1">
      <c r="A19" s="299" t="s">
        <v>2428</v>
      </c>
      <c r="B19" s="254" t="s">
        <v>2429</v>
      </c>
      <c r="C19" s="255">
        <f ca="1">IF(G19="已包含在土地取得成本中","0",ROUND(D19*E19,0))</f>
        <v>26898056</v>
      </c>
      <c r="D19" s="1039">
        <f ca="1">D9+D10</f>
        <v>134490.28</v>
      </c>
      <c r="E19" s="255">
        <f>'数据-取费表'!B31</f>
        <v>200</v>
      </c>
      <c r="F19" s="275"/>
      <c r="G19" s="2553"/>
    </row>
    <row r="20" spans="1:7" s="258" customFormat="1" ht="13.5" customHeight="1">
      <c r="A20" s="299" t="s">
        <v>2430</v>
      </c>
      <c r="B20" s="254" t="s">
        <v>2431</v>
      </c>
      <c r="C20" s="276">
        <f ca="1">ROUND((C5+C19)*F20,0)</f>
        <v>1075922</v>
      </c>
      <c r="D20" s="276"/>
      <c r="E20" s="276"/>
      <c r="F20" s="277">
        <f>'数据-取费表'!B37</f>
        <v>0.02</v>
      </c>
      <c r="G20" s="278" t="s">
        <v>2432</v>
      </c>
    </row>
    <row r="21" spans="1:7" s="258" customFormat="1" ht="13.5" customHeight="1">
      <c r="A21" s="299" t="s">
        <v>2433</v>
      </c>
      <c r="B21" s="254" t="s">
        <v>2434</v>
      </c>
      <c r="C21" s="279">
        <f>F21</f>
        <v>0.02</v>
      </c>
      <c r="D21" s="280" t="s">
        <v>2435</v>
      </c>
      <c r="E21" s="276"/>
      <c r="F21" s="277">
        <f>'数据-取费表'!B38</f>
        <v>0.02</v>
      </c>
      <c r="G21" s="278" t="s">
        <v>2436</v>
      </c>
    </row>
    <row r="22" spans="1:7" s="258" customFormat="1" ht="13.5" customHeight="1">
      <c r="A22" s="299" t="s">
        <v>2437</v>
      </c>
      <c r="B22" s="254" t="s">
        <v>2438</v>
      </c>
      <c r="C22" s="1383">
        <f ca="1">ROUND(SUM(C23:C25),0)</f>
        <v>5283114</v>
      </c>
      <c r="D22" s="279">
        <f ca="1">C26</f>
        <v>1E-3</v>
      </c>
      <c r="E22" s="280" t="s">
        <v>2435</v>
      </c>
      <c r="F22" s="281">
        <f ca="1">'数据-取费表'!B40</f>
        <v>4.7500000000000001E-2</v>
      </c>
      <c r="G22" s="278" t="str">
        <f>IF('数据-取费表'!B22&lt;=1,"单利计息","复利计息")</f>
        <v>复利计息</v>
      </c>
    </row>
    <row r="23" spans="1:7" s="258" customFormat="1" ht="13.5" customHeight="1">
      <c r="A23" s="954" t="s">
        <v>2328</v>
      </c>
      <c r="B23" s="259" t="s">
        <v>2439</v>
      </c>
      <c r="C23" s="1384">
        <f ca="1">ROUND(IF('数据-取费表'!B22&lt;=1,C5*F22*'数据-取费表'!B22,C5*(POWER((1+F22),'数据-取费表'!B22)-1)),0)</f>
        <v>2616004</v>
      </c>
      <c r="D23" s="282"/>
      <c r="E23" s="282"/>
      <c r="F23" s="283"/>
      <c r="G23" s="284" t="s">
        <v>2440</v>
      </c>
    </row>
    <row r="24" spans="1:7" s="258" customFormat="1" ht="13.5" customHeight="1">
      <c r="A24" s="954" t="s">
        <v>2330</v>
      </c>
      <c r="B24" s="259" t="s">
        <v>2441</v>
      </c>
      <c r="C24" s="1384">
        <f ca="1">ROUND(IF('数据-取费表'!B22&lt;=1,C19*F22*('数据-取费表'!B19/2+'数据-取费表'!B20),C19*(POWER((1+F22),('数据-取费表'!B19/2+'数据-取费表'!B20))-1)),0)</f>
        <v>2616004</v>
      </c>
      <c r="D24" s="282"/>
      <c r="E24" s="282"/>
      <c r="F24" s="283"/>
      <c r="G24" s="284" t="s">
        <v>2442</v>
      </c>
    </row>
    <row r="25" spans="1:7" s="258" customFormat="1" ht="24">
      <c r="A25" s="954" t="s">
        <v>2332</v>
      </c>
      <c r="B25" s="259" t="s">
        <v>2443</v>
      </c>
      <c r="C25" s="1384">
        <f ca="1">ROUND(IF('数据-取费表'!B22&lt;=1,C20*F22*'数据-取费表'!B22/2,C20*(POWER((1+F22),'数据-取费表'!B22/2)-1)),0)</f>
        <v>51106</v>
      </c>
      <c r="D25" s="282"/>
      <c r="E25" s="285"/>
      <c r="F25" s="283"/>
      <c r="G25" s="286" t="s">
        <v>2444</v>
      </c>
    </row>
    <row r="26" spans="1:7" s="258" customFormat="1">
      <c r="A26" s="954" t="s">
        <v>795</v>
      </c>
      <c r="B26" s="259" t="s">
        <v>2367</v>
      </c>
      <c r="C26" s="282">
        <f ca="1">ROUND(IF('数据-取费表'!B22&lt;=1,F21*F22*'数据-取费表'!B22/2,F21*(POWER((1+F22),'数据-取费表'!B22/2)-1)),4)</f>
        <v>1E-3</v>
      </c>
      <c r="D26" s="282"/>
      <c r="E26" s="285"/>
      <c r="F26" s="283"/>
      <c r="G26" s="287"/>
    </row>
    <row r="27" spans="1:7" s="258" customFormat="1" ht="24.75">
      <c r="A27" s="299" t="s">
        <v>2368</v>
      </c>
      <c r="B27" s="288" t="s">
        <v>2369</v>
      </c>
      <c r="C27" s="289">
        <f ca="1">C28</f>
        <v>9876966</v>
      </c>
      <c r="D27" s="279">
        <f ca="1">C29</f>
        <v>3.5999999999999999E-3</v>
      </c>
      <c r="E27" s="280" t="s">
        <v>2370</v>
      </c>
      <c r="F27" s="290">
        <f ca="1">IF(B1="",'数据-取费表'!Q16,INDIRECT("'数据-取费表'!q"&amp;$G$1))</f>
        <v>0.18</v>
      </c>
      <c r="G27" s="291" t="s">
        <v>2371</v>
      </c>
    </row>
    <row r="28" spans="1:7" s="258" customFormat="1" ht="13.5" customHeight="1">
      <c r="A28" s="954" t="s">
        <v>791</v>
      </c>
      <c r="B28" s="292" t="s">
        <v>2372</v>
      </c>
      <c r="C28" s="293">
        <f ca="1">ROUND((C5+C19+C20)*F27,0)</f>
        <v>9876966</v>
      </c>
      <c r="D28" s="279"/>
      <c r="E28" s="280"/>
      <c r="F28" s="290"/>
      <c r="G28" s="291"/>
    </row>
    <row r="29" spans="1:7" s="258" customFormat="1" ht="13.5" customHeight="1">
      <c r="A29" s="954" t="s">
        <v>792</v>
      </c>
      <c r="B29" s="292" t="s">
        <v>2373</v>
      </c>
      <c r="C29" s="282">
        <f ca="1">ROUND(C21*F27,4)</f>
        <v>3.5999999999999999E-3</v>
      </c>
      <c r="D29" s="279"/>
      <c r="E29" s="280"/>
      <c r="F29" s="290"/>
      <c r="G29" s="291"/>
    </row>
    <row r="30" spans="1:7" s="258" customFormat="1" ht="13.5" customHeight="1">
      <c r="A30" s="299" t="s">
        <v>2374</v>
      </c>
      <c r="B30" s="254" t="s">
        <v>2375</v>
      </c>
      <c r="C30" s="279">
        <f>ROUND(F30/(1+'数据-取费表'!C42),4)</f>
        <v>5.2400000000000002E-2</v>
      </c>
      <c r="D30" s="280" t="s">
        <v>2370</v>
      </c>
      <c r="E30" s="285"/>
      <c r="F30" s="281">
        <f>'数据-取费表'!B41</f>
        <v>5.5000000000000007E-2</v>
      </c>
      <c r="G30" s="278" t="s">
        <v>2376</v>
      </c>
    </row>
    <row r="31" spans="1:7" ht="16.5" customHeight="1">
      <c r="A31" s="253">
        <v>1</v>
      </c>
      <c r="B31" s="254" t="s">
        <v>2377</v>
      </c>
      <c r="C31" s="255">
        <f ca="1">ROUND((C5+C19+C20+C22+C27)/(1-C21-D22-D27-C30),0)</f>
        <v>75874446</v>
      </c>
      <c r="D31" s="274"/>
      <c r="E31" s="255"/>
      <c r="F31" s="294"/>
      <c r="G31" s="278" t="s">
        <v>2378</v>
      </c>
    </row>
    <row r="32" spans="1:7" s="252" customFormat="1" ht="15.75">
      <c r="A32" s="296" t="s">
        <v>2445</v>
      </c>
      <c r="B32" s="297"/>
      <c r="C32" s="297"/>
      <c r="D32" s="297"/>
      <c r="E32" s="297"/>
      <c r="F32" s="297"/>
      <c r="G32" s="298"/>
    </row>
    <row r="33" spans="1:7" s="258" customFormat="1" ht="13.5" customHeight="1">
      <c r="A33" s="299" t="s">
        <v>782</v>
      </c>
      <c r="B33" s="254" t="s">
        <v>2446</v>
      </c>
      <c r="C33" s="300">
        <f ca="1">SUM(C34:C38)</f>
        <v>731254685</v>
      </c>
      <c r="D33" s="276"/>
      <c r="E33" s="256"/>
      <c r="F33" s="285"/>
      <c r="G33" s="278"/>
    </row>
    <row r="34" spans="1:7" s="302" customFormat="1" ht="13.5" customHeight="1">
      <c r="A34" s="954" t="s">
        <v>791</v>
      </c>
      <c r="B34" s="259" t="s">
        <v>2381</v>
      </c>
      <c r="C34" s="264">
        <f ca="1">ROUND(IF(B1="",SUMPRODUCT('数据-取费表'!K6:K14,'数据-取费表'!L6:L14),INDIRECT("'数据-取费表'!l"&amp;$G$1)*INDIRECT("'数据-取费表'!k"&amp;$G$1)+'数据-取费表'!L14*INDIRECT("'数据-取费表'!S"&amp;$G$1)),0)</f>
        <v>667636615</v>
      </c>
      <c r="D34" s="261"/>
      <c r="E34" s="264"/>
      <c r="F34" s="301"/>
      <c r="G34" s="263"/>
    </row>
    <row r="35" spans="1:7" ht="13.5" customHeight="1">
      <c r="A35" s="954" t="s">
        <v>796</v>
      </c>
      <c r="B35" s="259" t="s">
        <v>2383</v>
      </c>
      <c r="C35" s="264">
        <f ca="1">ROUND(C34*F35,0)</f>
        <v>26705465</v>
      </c>
      <c r="D35" s="264"/>
      <c r="E35" s="264"/>
      <c r="F35" s="303">
        <f>'数据-取费表'!B33</f>
        <v>0.04</v>
      </c>
      <c r="G35" s="263" t="s">
        <v>2384</v>
      </c>
    </row>
    <row r="36" spans="1:7" ht="24">
      <c r="A36" s="954" t="s">
        <v>797</v>
      </c>
      <c r="B36" s="259" t="s">
        <v>2385</v>
      </c>
      <c r="C36" s="264">
        <f ca="1">ROUND(IF(B1="",SUM('数据-取费表'!AP6:AP13)*F36,IF(INDIRECT("'数据-取费表'!c"&amp;$G$1)="住宅",INDIRECT("'数据-取费表'!k"&amp;$G$1)*INDIRECT("'数据-取费表'!l"&amp;$G$1)*F36,0)),0)</f>
        <v>0</v>
      </c>
      <c r="D36" s="264"/>
      <c r="E36" s="264"/>
      <c r="F36" s="303">
        <f>'数据-取费表'!B34</f>
        <v>0</v>
      </c>
      <c r="G36" s="304" t="s">
        <v>2386</v>
      </c>
    </row>
    <row r="37" spans="1:7" s="302" customFormat="1" ht="13.5" customHeight="1">
      <c r="A37" s="954" t="s">
        <v>798</v>
      </c>
      <c r="B37" s="259" t="s">
        <v>2387</v>
      </c>
      <c r="C37" s="293">
        <f ca="1">ROUND(E37*D37,0)</f>
        <v>26898056</v>
      </c>
      <c r="D37" s="261">
        <f ca="1">D19</f>
        <v>134490.28</v>
      </c>
      <c r="E37" s="293">
        <f>'数据-取费表'!B35</f>
        <v>200</v>
      </c>
      <c r="F37" s="303"/>
      <c r="G37" s="305"/>
    </row>
    <row r="38" spans="1:7" ht="13.5" customHeight="1">
      <c r="A38" s="954" t="s">
        <v>799</v>
      </c>
      <c r="B38" s="259" t="s">
        <v>2389</v>
      </c>
      <c r="C38" s="264">
        <f ca="1">ROUND(C34*F38,0)</f>
        <v>10014549</v>
      </c>
      <c r="D38" s="264"/>
      <c r="E38" s="264"/>
      <c r="F38" s="303">
        <f>'数据-取费表'!B36</f>
        <v>1.4999999999999999E-2</v>
      </c>
      <c r="G38" s="263" t="s">
        <v>2384</v>
      </c>
    </row>
    <row r="39" spans="1:7" s="258" customFormat="1" ht="13.5" customHeight="1">
      <c r="A39" s="299" t="s">
        <v>2390</v>
      </c>
      <c r="B39" s="254" t="s">
        <v>2391</v>
      </c>
      <c r="C39" s="276">
        <f ca="1">ROUND(C33*F20,0)</f>
        <v>14625094</v>
      </c>
      <c r="D39" s="276"/>
      <c r="E39" s="276"/>
      <c r="F39" s="277"/>
      <c r="G39" s="278" t="s">
        <v>2392</v>
      </c>
    </row>
    <row r="40" spans="1:7" s="258" customFormat="1" ht="13.5" customHeight="1">
      <c r="A40" s="299" t="s">
        <v>2393</v>
      </c>
      <c r="B40" s="254" t="s">
        <v>2394</v>
      </c>
      <c r="C40" s="1731">
        <f>F21</f>
        <v>0.02</v>
      </c>
      <c r="D40" s="280" t="s">
        <v>2395</v>
      </c>
      <c r="E40" s="276"/>
      <c r="F40" s="277"/>
      <c r="G40" s="278" t="s">
        <v>2396</v>
      </c>
    </row>
    <row r="41" spans="1:7" s="258" customFormat="1" ht="13.5" customHeight="1">
      <c r="A41" s="299" t="s">
        <v>2397</v>
      </c>
      <c r="B41" s="254" t="s">
        <v>2398</v>
      </c>
      <c r="C41" s="276">
        <f ca="1">ROUND(SUM(C42:C43),0)</f>
        <v>35429290</v>
      </c>
      <c r="D41" s="279">
        <f ca="1">C44</f>
        <v>1E-3</v>
      </c>
      <c r="E41" s="280" t="s">
        <v>2395</v>
      </c>
      <c r="F41" s="281"/>
      <c r="G41" s="278" t="str">
        <f>IF('数据-取费表'!B22&lt;=1,"单利计息","复利计息")</f>
        <v>复利计息</v>
      </c>
    </row>
    <row r="42" spans="1:7" ht="13.5" customHeight="1">
      <c r="A42" s="954" t="s">
        <v>791</v>
      </c>
      <c r="B42" s="259" t="s">
        <v>2399</v>
      </c>
      <c r="C42" s="282">
        <f ca="1">ROUND(IF('数据-取费表'!B22&lt;=1,C33*F22*'数据-取费表'!B20/2,C33*(POWER((1+F22),'数据-取费表'!B20/2)-1)),0)</f>
        <v>34734598</v>
      </c>
      <c r="D42" s="282"/>
      <c r="E42" s="282"/>
      <c r="F42" s="283"/>
      <c r="G42" s="3179" t="s">
        <v>2447</v>
      </c>
    </row>
    <row r="43" spans="1:7" ht="13.5" customHeight="1">
      <c r="A43" s="954" t="s">
        <v>792</v>
      </c>
      <c r="B43" s="259" t="s">
        <v>2401</v>
      </c>
      <c r="C43" s="282">
        <f ca="1">ROUND(IF('数据-取费表'!B22&lt;=1,C39*F22*'数据-取费表'!B20/2,C39*(POWER((1+F22),'数据-取费表'!B20/2)-1)),0)</f>
        <v>694692</v>
      </c>
      <c r="D43" s="282"/>
      <c r="E43" s="282"/>
      <c r="F43" s="283"/>
      <c r="G43" s="3180"/>
    </row>
    <row r="44" spans="1:7" ht="13.5" customHeight="1">
      <c r="A44" s="954" t="s">
        <v>793</v>
      </c>
      <c r="B44" s="259" t="s">
        <v>2402</v>
      </c>
      <c r="C44" s="282">
        <f ca="1">ROUND(IF('数据-取费表'!B22&lt;=1,C40*F22*'数据-取费表'!B20/2,C40*(POWER((1+F22),'数据-取费表'!B20/2)-1)),4)</f>
        <v>1E-3</v>
      </c>
      <c r="D44" s="282"/>
      <c r="E44" s="282"/>
      <c r="F44" s="283"/>
      <c r="G44" s="3181"/>
    </row>
    <row r="45" spans="1:7" s="258" customFormat="1" ht="13.5" customHeight="1">
      <c r="A45" s="299" t="s">
        <v>2403</v>
      </c>
      <c r="B45" s="288" t="s">
        <v>2369</v>
      </c>
      <c r="C45" s="289">
        <f ca="1">C46</f>
        <v>134258360</v>
      </c>
      <c r="D45" s="279">
        <f ca="1">C47</f>
        <v>3.5999999999999999E-3</v>
      </c>
      <c r="E45" s="280" t="s">
        <v>2395</v>
      </c>
      <c r="F45" s="290"/>
      <c r="G45" s="291" t="s">
        <v>2404</v>
      </c>
    </row>
    <row r="46" spans="1:7" s="258" customFormat="1" ht="13.5" customHeight="1">
      <c r="A46" s="954" t="s">
        <v>791</v>
      </c>
      <c r="B46" s="292" t="s">
        <v>2405</v>
      </c>
      <c r="C46" s="293">
        <f ca="1">ROUND((C33+C39)*F27,0)</f>
        <v>134258360</v>
      </c>
      <c r="D46" s="307"/>
      <c r="E46" s="280"/>
      <c r="F46" s="290"/>
      <c r="G46" s="291"/>
    </row>
    <row r="47" spans="1:7" s="258" customFormat="1" ht="13.5" customHeight="1">
      <c r="A47" s="954" t="s">
        <v>792</v>
      </c>
      <c r="B47" s="292" t="s">
        <v>2406</v>
      </c>
      <c r="C47" s="282">
        <f ca="1">ROUND(C40*F27,4)</f>
        <v>3.5999999999999999E-3</v>
      </c>
      <c r="D47" s="307"/>
      <c r="E47" s="280"/>
      <c r="F47" s="290"/>
      <c r="G47" s="291"/>
    </row>
    <row r="48" spans="1:7" s="258" customFormat="1" ht="13.5" customHeight="1">
      <c r="A48" s="299" t="s">
        <v>2368</v>
      </c>
      <c r="B48" s="254" t="s">
        <v>2407</v>
      </c>
      <c r="C48" s="306">
        <f>ROUND(F30/(1+'数据-取费表'!C42),4)</f>
        <v>5.2400000000000002E-2</v>
      </c>
      <c r="D48" s="280" t="s">
        <v>2395</v>
      </c>
      <c r="E48" s="276"/>
      <c r="F48" s="281"/>
      <c r="G48" s="278" t="s">
        <v>2408</v>
      </c>
    </row>
    <row r="49" spans="1:7" ht="16.5" customHeight="1">
      <c r="A49" s="299" t="s">
        <v>2374</v>
      </c>
      <c r="B49" s="254" t="s">
        <v>2448</v>
      </c>
      <c r="C49" s="276">
        <f ca="1">ROUND((C33+C39+C41+C45)/(1-C40-D41-D45-C48),0)</f>
        <v>991947377</v>
      </c>
      <c r="D49" s="276"/>
      <c r="E49" s="276"/>
      <c r="F49" s="308"/>
      <c r="G49" s="278" t="s">
        <v>2410</v>
      </c>
    </row>
    <row r="50" spans="1:7" s="302" customFormat="1">
      <c r="A50" s="299" t="s">
        <v>2411</v>
      </c>
      <c r="B50" s="254" t="s">
        <v>2412</v>
      </c>
      <c r="C50" s="276"/>
      <c r="D50" s="276"/>
      <c r="E50" s="276"/>
      <c r="F50" s="308">
        <f>IF('数据-取费表'!B24=0,'数据-取费表'!N16,1)</f>
        <v>0.85199999999999998</v>
      </c>
      <c r="G50" s="291"/>
    </row>
    <row r="51" spans="1:7" ht="16.5" customHeight="1">
      <c r="A51" s="299" t="s">
        <v>2414</v>
      </c>
      <c r="B51" s="254" t="s">
        <v>2449</v>
      </c>
      <c r="C51" s="276">
        <f ca="1">ROUND(C49*F50,0)</f>
        <v>845139165</v>
      </c>
      <c r="D51" s="276"/>
      <c r="E51" s="276"/>
      <c r="F51" s="308"/>
      <c r="G51" s="278" t="s">
        <v>2416</v>
      </c>
    </row>
    <row r="52" spans="1:7" s="252" customFormat="1" ht="16.5" thickBot="1">
      <c r="A52" s="309" t="s">
        <v>2417</v>
      </c>
      <c r="B52" s="310"/>
      <c r="C52" s="311">
        <f ca="1">C31+C51</f>
        <v>921013611</v>
      </c>
      <c r="D52" s="310"/>
      <c r="E52" s="310"/>
      <c r="F52" s="310"/>
      <c r="G52" s="312"/>
    </row>
    <row r="55" spans="1:7" ht="15">
      <c r="B55" s="314" t="s">
        <v>2418</v>
      </c>
      <c r="C55" s="315"/>
    </row>
    <row r="56" spans="1:7">
      <c r="B56" s="317" t="s">
        <v>1509</v>
      </c>
      <c r="C56" s="319">
        <f ca="1">1-C57</f>
        <v>8.1999999999999962E-2</v>
      </c>
    </row>
    <row r="57" spans="1:7">
      <c r="B57" s="317" t="s">
        <v>1510</v>
      </c>
      <c r="C57" s="318">
        <f ca="1">ROUND(C51/C52,3)</f>
        <v>0.91800000000000004</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AN6" sqref="AN6"/>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2450</v>
      </c>
      <c r="B1" s="1584"/>
      <c r="C1" s="1585"/>
      <c r="D1" s="1583"/>
      <c r="E1" s="320"/>
      <c r="F1" s="320"/>
      <c r="G1" s="1584"/>
      <c r="H1" s="320"/>
      <c r="I1" s="320"/>
      <c r="J1" s="320"/>
      <c r="K1" s="320">
        <f>MATCH(C1,'数据-取费表'!A6:A16,0)+5</f>
        <v>8</v>
      </c>
    </row>
    <row r="2" spans="1:33" ht="18" customHeight="1">
      <c r="A2" s="245" t="s">
        <v>2318</v>
      </c>
      <c r="B2" s="248">
        <f ca="1">C32</f>
        <v>0</v>
      </c>
      <c r="C2" s="320" t="s">
        <v>2451</v>
      </c>
      <c r="D2" s="320"/>
      <c r="E2" s="320"/>
      <c r="F2" s="320"/>
      <c r="G2" s="320"/>
      <c r="H2" s="320"/>
      <c r="I2" s="320"/>
      <c r="J2" s="320"/>
      <c r="K2" s="320"/>
    </row>
    <row r="3" spans="1:33" ht="18" customHeight="1" thickBot="1">
      <c r="A3" s="247" t="s">
        <v>2320</v>
      </c>
      <c r="B3" s="248">
        <f ca="1">ROUND(B2*10000/IF(C1="",'数据-汇总表'!E3,INDIRECT("'数据-取费表'!K"&amp;$K$1)),0)</f>
        <v>0</v>
      </c>
      <c r="C3" s="320" t="s">
        <v>2452</v>
      </c>
      <c r="D3" s="320"/>
      <c r="E3" s="320"/>
      <c r="F3" s="320"/>
      <c r="G3" s="320"/>
      <c r="H3" s="320"/>
      <c r="I3" s="320"/>
      <c r="J3" s="320"/>
      <c r="K3" s="320"/>
    </row>
    <row r="4" spans="1:33" s="959" customFormat="1" ht="16.5" customHeight="1">
      <c r="A4" s="956" t="s">
        <v>2453</v>
      </c>
      <c r="B4" s="957"/>
      <c r="C4" s="999">
        <f>SUM(C8:K8)</f>
        <v>0</v>
      </c>
      <c r="D4" s="957"/>
      <c r="E4" s="957"/>
      <c r="F4" s="957"/>
      <c r="G4" s="957"/>
      <c r="H4" s="957"/>
      <c r="I4" s="957"/>
      <c r="J4" s="957"/>
      <c r="K4" s="958"/>
    </row>
    <row r="5" spans="1:33" s="963" customFormat="1" ht="24.75">
      <c r="A5" s="960" t="s">
        <v>2454</v>
      </c>
      <c r="B5" s="961" t="s">
        <v>2455</v>
      </c>
      <c r="C5" s="2557" t="s">
        <v>2456</v>
      </c>
      <c r="D5" s="2557" t="s">
        <v>2457</v>
      </c>
      <c r="E5" s="2557" t="s">
        <v>2458</v>
      </c>
      <c r="F5" s="2557"/>
      <c r="G5" s="2557"/>
      <c r="H5" s="2557"/>
      <c r="I5" s="2557"/>
      <c r="J5" s="2557"/>
      <c r="K5" s="2557"/>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2459</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2460</v>
      </c>
      <c r="B7" s="140" t="s">
        <v>2461</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8" t="s">
        <v>2462</v>
      </c>
      <c r="B8" s="177" t="s">
        <v>2463</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2464</v>
      </c>
      <c r="B9" s="957"/>
      <c r="C9" s="957"/>
      <c r="D9" s="957"/>
      <c r="E9" s="957"/>
      <c r="F9" s="957"/>
      <c r="G9" s="957"/>
      <c r="H9" s="957"/>
      <c r="I9" s="957"/>
      <c r="J9" s="957"/>
      <c r="K9" s="958"/>
    </row>
    <row r="10" spans="1:33" s="973" customFormat="1" ht="13.5" customHeight="1">
      <c r="A10" s="960" t="s">
        <v>2465</v>
      </c>
      <c r="B10" s="8" t="s">
        <v>2466</v>
      </c>
      <c r="C10" s="969" t="s">
        <v>2467</v>
      </c>
      <c r="D10" s="970" t="s">
        <v>2468</v>
      </c>
      <c r="E10" s="970" t="s">
        <v>2469</v>
      </c>
      <c r="F10" s="970" t="s">
        <v>2470</v>
      </c>
      <c r="G10" s="8"/>
      <c r="H10" s="971"/>
      <c r="I10" s="971"/>
      <c r="J10" s="971"/>
      <c r="K10" s="972"/>
    </row>
    <row r="11" spans="1:33" s="978" customFormat="1" ht="13.5" customHeight="1">
      <c r="A11" s="974" t="s">
        <v>1330</v>
      </c>
      <c r="B11" s="975" t="s">
        <v>2471</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1331</v>
      </c>
      <c r="B12" s="975" t="s">
        <v>2472</v>
      </c>
      <c r="C12" s="24">
        <f ca="1">ROUND(C11*F12,0)</f>
        <v>0</v>
      </c>
      <c r="D12" s="976"/>
      <c r="E12" s="375"/>
      <c r="F12" s="979">
        <f>'数据-取费表'!B33</f>
        <v>0.04</v>
      </c>
      <c r="G12" s="8" t="s">
        <v>2473</v>
      </c>
      <c r="H12" s="971"/>
      <c r="I12" s="971"/>
      <c r="J12" s="971"/>
      <c r="K12" s="972"/>
    </row>
    <row r="13" spans="1:33" s="978" customFormat="1" ht="13.5" customHeight="1">
      <c r="A13" s="974" t="s">
        <v>1332</v>
      </c>
      <c r="B13" s="975" t="s">
        <v>2474</v>
      </c>
      <c r="C13" s="24">
        <f ca="1">ROUND(IF(C1="",SUMIF('数据-取费表'!C:C,"住宅",'数据-取费表'!P:P)*F13,IF(INDIRECT("'数据-取费表'!c"&amp;$K$1)="住宅",INDIRECT("'数据-取费表'!P"&amp;$K$1)*F13,0)),0)</f>
        <v>0</v>
      </c>
      <c r="D13" s="1036"/>
      <c r="E13" s="375"/>
      <c r="F13" s="979">
        <f>'数据-取费表'!B34</f>
        <v>0</v>
      </c>
      <c r="G13" s="8" t="s">
        <v>2475</v>
      </c>
      <c r="H13" s="971"/>
      <c r="I13" s="971"/>
      <c r="J13" s="971"/>
      <c r="K13" s="972"/>
    </row>
    <row r="14" spans="1:33" s="980" customFormat="1" ht="13.5" customHeight="1">
      <c r="A14" s="974" t="s">
        <v>1333</v>
      </c>
      <c r="B14" s="975" t="s">
        <v>2476</v>
      </c>
      <c r="C14" s="24">
        <f ca="1">ROUND(D14*E14*F11/10000,0)</f>
        <v>0</v>
      </c>
      <c r="D14" s="1036">
        <f ca="1">IF(C1="",'数据-汇总表'!E3,INDIRECT("'数据-取费表'!K"&amp;$K$1)+INDIRECT("'数据-取费表'!S"&amp;$K$1))</f>
        <v>134490.28</v>
      </c>
      <c r="E14" s="24">
        <f>'数据-取费表'!B35</f>
        <v>200</v>
      </c>
      <c r="F14" s="979"/>
      <c r="G14" s="8" t="s">
        <v>2477</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1334</v>
      </c>
      <c r="B15" s="975" t="s">
        <v>2478</v>
      </c>
      <c r="C15" s="986">
        <f ca="1">ROUND(C11*F15,0)</f>
        <v>0</v>
      </c>
      <c r="D15" s="981"/>
      <c r="E15" s="986"/>
      <c r="F15" s="987">
        <f>'数据-取费表'!B36</f>
        <v>1.4999999999999999E-2</v>
      </c>
      <c r="G15" s="140" t="s">
        <v>2479</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2480</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2481</v>
      </c>
      <c r="C17" s="24">
        <f ca="1">ROUND(D17*E17/10000,0)</f>
        <v>0</v>
      </c>
      <c r="D17" s="1036">
        <f ca="1">D14</f>
        <v>134490.28</v>
      </c>
      <c r="E17" s="24">
        <f>'数据-取费表'!B32</f>
        <v>0</v>
      </c>
      <c r="F17" s="981"/>
      <c r="G17" s="140" t="s">
        <v>2482</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1335</v>
      </c>
      <c r="B18" s="975" t="s">
        <v>2483</v>
      </c>
      <c r="C18" s="24">
        <f ca="1">C19+C20-IF(C1="",'数据-取费表'!B29,IF(G18="已全部缴纳",C19+C20,H18))</f>
        <v>0</v>
      </c>
      <c r="D18" s="1036"/>
      <c r="E18" s="24"/>
      <c r="F18" s="979"/>
      <c r="G18" s="2559"/>
      <c r="H18" s="1580"/>
      <c r="I18" s="2560" t="s">
        <v>2484</v>
      </c>
      <c r="J18" s="982"/>
      <c r="K18" s="983"/>
    </row>
    <row r="19" spans="1:33" s="978" customFormat="1" ht="13.5" customHeight="1">
      <c r="A19" s="974" t="s">
        <v>805</v>
      </c>
      <c r="B19" s="975" t="s">
        <v>2485</v>
      </c>
      <c r="C19" s="24">
        <f ca="1">ROUND(D19*E19/10000,0)</f>
        <v>0</v>
      </c>
      <c r="D19" s="1036">
        <f ca="1">IF(C1="",'数据-汇总表'!E5,IF(INDIRECT("'数据-取费表'!c"&amp;$K$1)="住宅",INDIRECT("'数据-取费表'!k"&amp;$K$1),0))</f>
        <v>0</v>
      </c>
      <c r="E19" s="24">
        <f>'数据-取费表'!B27</f>
        <v>0</v>
      </c>
      <c r="F19" s="979"/>
      <c r="G19" s="15"/>
      <c r="H19" s="1582"/>
      <c r="I19" s="984"/>
      <c r="J19" s="984"/>
      <c r="K19" s="985"/>
    </row>
    <row r="20" spans="1:33" s="978" customFormat="1" ht="13.5" customHeight="1">
      <c r="A20" s="974" t="s">
        <v>806</v>
      </c>
      <c r="B20" s="975" t="s">
        <v>2486</v>
      </c>
      <c r="C20" s="24">
        <f ca="1">ROUND(D20*E20/10000,0)</f>
        <v>2690</v>
      </c>
      <c r="D20" s="1036">
        <f ca="1">IF(C1="",'数据-汇总表'!E6,IF(INDIRECT("'数据-取费表'!c"&amp;$K$1)="住宅",INDIRECT("'数据-取费表'!s"&amp;$K$1),INDIRECT("'数据-取费表'!k"&amp;$K$1)+INDIRECT("'数据-取费表'!s"&amp;$K$1)))</f>
        <v>134490.28</v>
      </c>
      <c r="E20" s="24">
        <f>'数据-取费表'!B28</f>
        <v>200</v>
      </c>
      <c r="F20" s="979"/>
      <c r="G20" s="15"/>
      <c r="H20" s="984"/>
      <c r="I20" s="984"/>
      <c r="J20" s="984"/>
      <c r="K20" s="985"/>
    </row>
    <row r="21" spans="1:33" s="978" customFormat="1" ht="13.5" customHeight="1">
      <c r="A21" s="964" t="s">
        <v>802</v>
      </c>
      <c r="B21" s="988" t="s">
        <v>2487</v>
      </c>
      <c r="C21" s="989">
        <f ca="1">C16+C17+C18</f>
        <v>0</v>
      </c>
      <c r="D21" s="990"/>
      <c r="E21" s="325"/>
      <c r="F21" s="325"/>
      <c r="G21" s="140" t="s">
        <v>2488</v>
      </c>
      <c r="H21" s="982"/>
      <c r="I21" s="982"/>
      <c r="J21" s="982"/>
      <c r="K21" s="983"/>
    </row>
    <row r="22" spans="1:33" s="978" customFormat="1" ht="13.5" customHeight="1">
      <c r="A22" s="964" t="s">
        <v>2460</v>
      </c>
      <c r="B22" s="988" t="s">
        <v>2489</v>
      </c>
      <c r="C22" s="989">
        <f ca="1">ROUND(C21*F22,0)</f>
        <v>0</v>
      </c>
      <c r="D22" s="325"/>
      <c r="E22" s="325"/>
      <c r="F22" s="991">
        <f>'数据-取费表'!B37</f>
        <v>0.02</v>
      </c>
      <c r="G22" s="8" t="s">
        <v>2490</v>
      </c>
      <c r="H22" s="971"/>
      <c r="I22" s="971"/>
      <c r="J22" s="971"/>
      <c r="K22" s="972"/>
    </row>
    <row r="23" spans="1:33" s="978" customFormat="1" ht="13.5" customHeight="1">
      <c r="A23" s="964" t="s">
        <v>2462</v>
      </c>
      <c r="B23" s="988" t="s">
        <v>2491</v>
      </c>
      <c r="C23" s="989">
        <f ca="1">ROUND(C4*F23*F11,0)</f>
        <v>0</v>
      </c>
      <c r="D23" s="325"/>
      <c r="E23" s="325"/>
      <c r="F23" s="991">
        <f>'数据-取费表'!B38</f>
        <v>0.02</v>
      </c>
      <c r="G23" s="8" t="s">
        <v>2492</v>
      </c>
      <c r="H23" s="971"/>
      <c r="I23" s="971"/>
      <c r="J23" s="971"/>
      <c r="K23" s="972"/>
    </row>
    <row r="24" spans="1:33" s="978" customFormat="1" ht="13.5" customHeight="1">
      <c r="A24" s="964" t="s">
        <v>2493</v>
      </c>
      <c r="B24" s="988" t="s">
        <v>2494</v>
      </c>
      <c r="C24" s="324">
        <f>ROUND(F24/(1+'数据-取费表'!C42),4)</f>
        <v>2.9000000000000001E-2</v>
      </c>
      <c r="D24" s="325" t="s">
        <v>15</v>
      </c>
      <c r="E24" s="325"/>
      <c r="F24" s="991">
        <f>'数据-取费表'!B48+'数据-取费表'!B49</f>
        <v>3.0499999999999999E-2</v>
      </c>
      <c r="G24" s="8" t="s">
        <v>2495</v>
      </c>
      <c r="H24" s="993"/>
      <c r="I24" s="993"/>
      <c r="J24" s="993"/>
      <c r="K24" s="994"/>
    </row>
    <row r="25" spans="1:33" s="978" customFormat="1" ht="13.5" customHeight="1">
      <c r="A25" s="964" t="s">
        <v>2496</v>
      </c>
      <c r="B25" s="990" t="s">
        <v>2497</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2498</v>
      </c>
      <c r="C26" s="1360">
        <f ca="1">ROUND(IF('数据-取费表'!B22&lt;=1,(1+C24)*F25*'数据-取费表'!B24,(1+C24)*(POWER((1+F25),'数据-取费表'!B24)-1)),4)</f>
        <v>0</v>
      </c>
      <c r="D26" s="328"/>
      <c r="E26" s="329"/>
      <c r="F26" s="330"/>
      <c r="G26" s="2561"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2499</v>
      </c>
      <c r="C27" s="1361">
        <f ca="1">ROUND(IF('数据-取费表'!B22&lt;=1,(C21+C22+C23)*F25*'数据-取费表'!B24/2,(C21+C22+C23)*(POWER((1+F25),'数据-取费表'!B24/2)-1)),0)</f>
        <v>0</v>
      </c>
      <c r="D27" s="328"/>
      <c r="E27" s="329"/>
      <c r="F27" s="330"/>
      <c r="G27" s="2561" t="str">
        <f>IF('数据-取费表'!B22&lt;=1,"（1）-（3）项×年利率×建设期÷2","（1）-（3）项×((1+年利率)^(建设期÷2)-1)")</f>
        <v>（1）-（3）项×((1+年利率)^(建设期÷2)-1)</v>
      </c>
      <c r="H27" s="982"/>
      <c r="I27" s="982"/>
      <c r="J27" s="982"/>
      <c r="K27" s="983"/>
    </row>
    <row r="28" spans="1:33" s="333" customFormat="1" ht="13.5" customHeight="1">
      <c r="A28" s="964" t="s">
        <v>2500</v>
      </c>
      <c r="B28" s="2562" t="s">
        <v>2501</v>
      </c>
      <c r="C28" s="331">
        <f ca="1">C30</f>
        <v>0</v>
      </c>
      <c r="D28" s="324">
        <f ca="1">C29</f>
        <v>0</v>
      </c>
      <c r="E28" s="326" t="s">
        <v>15</v>
      </c>
      <c r="F28" s="332">
        <f ca="1">IF(C1="",'数据-取费表'!Q16,INDIRECT("'数据-取费表'!q"&amp;$K$1))</f>
        <v>0.18</v>
      </c>
      <c r="G28" s="992"/>
      <c r="H28" s="993"/>
      <c r="I28" s="993"/>
      <c r="J28" s="993"/>
      <c r="K28" s="994"/>
    </row>
    <row r="29" spans="1:33" s="335" customFormat="1" ht="13.5" customHeight="1">
      <c r="A29" s="974" t="s">
        <v>803</v>
      </c>
      <c r="B29" s="997" t="s">
        <v>2502</v>
      </c>
      <c r="C29" s="328">
        <f ca="1">ROUND((1+C24)*F28*'数据-取费表'!B24/'数据-取费表'!B20,4)</f>
        <v>0</v>
      </c>
      <c r="D29" s="328"/>
      <c r="E29" s="329"/>
      <c r="F29" s="334"/>
      <c r="G29" s="140" t="s">
        <v>2503</v>
      </c>
      <c r="H29" s="982"/>
      <c r="I29" s="982"/>
      <c r="J29" s="982"/>
      <c r="K29" s="983"/>
    </row>
    <row r="30" spans="1:33" s="335" customFormat="1" ht="13.5" customHeight="1">
      <c r="A30" s="974" t="s">
        <v>804</v>
      </c>
      <c r="B30" s="997" t="s">
        <v>2504</v>
      </c>
      <c r="C30" s="336">
        <f ca="1">ROUND((C21+C22+C23)*F28,0)</f>
        <v>0</v>
      </c>
      <c r="D30" s="328"/>
      <c r="E30" s="329"/>
      <c r="F30" s="334"/>
      <c r="G30" s="140"/>
      <c r="H30" s="982"/>
      <c r="I30" s="982"/>
      <c r="J30" s="982"/>
      <c r="K30" s="983"/>
    </row>
    <row r="31" spans="1:33" s="978" customFormat="1" ht="13.5" customHeight="1" thickBot="1">
      <c r="A31" s="2563" t="s">
        <v>2505</v>
      </c>
      <c r="B31" s="1008" t="s">
        <v>2506</v>
      </c>
      <c r="C31" s="1009">
        <f>ROUND(C4*F31/(1+'数据-取费表'!C42),0)</f>
        <v>0</v>
      </c>
      <c r="D31" s="1010"/>
      <c r="E31" s="1011"/>
      <c r="F31" s="1012">
        <f>'数据-取费表'!B41</f>
        <v>5.5000000000000007E-2</v>
      </c>
      <c r="G31" s="1013" t="s">
        <v>2507</v>
      </c>
      <c r="H31" s="1014"/>
      <c r="I31" s="1014"/>
      <c r="J31" s="1014"/>
      <c r="K31" s="1015"/>
    </row>
    <row r="32" spans="1:33" s="973" customFormat="1" ht="13.5" customHeight="1" thickBot="1">
      <c r="A32" s="1003" t="s">
        <v>2508</v>
      </c>
      <c r="B32" s="1004"/>
      <c r="C32" s="1005">
        <f ca="1">ROUND((C4-C21-C22-C23-C25-C28-C31)/(1+C24+D25+D28),0)</f>
        <v>0</v>
      </c>
      <c r="D32" s="1004"/>
      <c r="E32" s="1004"/>
      <c r="F32" s="1004"/>
      <c r="G32" s="1006" t="s">
        <v>2509</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1" zoomScaleNormal="81" zoomScaleSheetLayoutView="90" workbookViewId="0">
      <selection activeCell="C40" sqref="C40"/>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1585</v>
      </c>
      <c r="B1" s="782"/>
      <c r="C1" s="1840" t="s">
        <v>27</v>
      </c>
      <c r="D1" s="1823" t="s">
        <v>70</v>
      </c>
      <c r="E1" s="1824" t="s">
        <v>1383</v>
      </c>
      <c r="F1" s="1286">
        <f ca="1">J53</f>
        <v>31.43</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1511</v>
      </c>
      <c r="B2" s="1847">
        <f ca="1">C40+J29+L46</f>
        <v>87390</v>
      </c>
      <c r="C2" s="1848" t="s">
        <v>1512</v>
      </c>
      <c r="D2" s="1848"/>
      <c r="E2" s="1849"/>
      <c r="F2" s="1850"/>
      <c r="G2" s="1851"/>
      <c r="H2" s="1843"/>
      <c r="I2" s="1843"/>
      <c r="J2" s="1843"/>
      <c r="K2" s="1844"/>
      <c r="L2" s="1843"/>
      <c r="M2" s="1843"/>
    </row>
    <row r="3" spans="1:37" ht="18" customHeight="1" thickBot="1">
      <c r="A3" s="1852" t="s">
        <v>1513</v>
      </c>
      <c r="B3" s="1853">
        <f ca="1">IF(ISERROR(B2*10000/F43),0,ROUND(B2*10000/F43,0))</f>
        <v>10849</v>
      </c>
      <c r="C3" s="1848" t="s">
        <v>1514</v>
      </c>
      <c r="D3" s="1848"/>
      <c r="E3" s="1849"/>
      <c r="F3" s="1850"/>
      <c r="G3" s="1851"/>
      <c r="H3" s="744" t="s">
        <v>1584</v>
      </c>
      <c r="I3" s="1843"/>
      <c r="J3" s="1843"/>
      <c r="K3" s="1844"/>
      <c r="L3" s="1843"/>
      <c r="M3" s="1843"/>
    </row>
    <row r="4" spans="1:37" ht="18" customHeight="1">
      <c r="A4" s="340" t="s">
        <v>1392</v>
      </c>
      <c r="B4" s="341" t="s">
        <v>1393</v>
      </c>
      <c r="C4" s="341" t="s">
        <v>1394</v>
      </c>
      <c r="D4" s="341" t="s">
        <v>1395</v>
      </c>
      <c r="E4" s="342" t="s">
        <v>1396</v>
      </c>
      <c r="F4" s="343"/>
      <c r="G4" s="1854"/>
      <c r="H4" s="340" t="s">
        <v>1392</v>
      </c>
      <c r="I4" s="341" t="s">
        <v>1393</v>
      </c>
      <c r="J4" s="341" t="s">
        <v>1394</v>
      </c>
      <c r="K4" s="341" t="s">
        <v>1395</v>
      </c>
      <c r="L4" s="342" t="s">
        <v>1396</v>
      </c>
      <c r="M4" s="343"/>
    </row>
    <row r="5" spans="1:37" ht="18" customHeight="1">
      <c r="A5" s="344">
        <v>1</v>
      </c>
      <c r="B5" s="345" t="s">
        <v>1397</v>
      </c>
      <c r="C5" s="1295">
        <f ca="1">C6+C10+C12</f>
        <v>6204</v>
      </c>
      <c r="D5" s="1825" t="s">
        <v>1398</v>
      </c>
      <c r="E5" s="1296"/>
      <c r="F5" s="1297"/>
      <c r="G5" s="1854"/>
      <c r="H5" s="344">
        <v>1</v>
      </c>
      <c r="I5" s="345" t="s">
        <v>1397</v>
      </c>
      <c r="J5" s="1295">
        <f ca="1">J6+J10+J12</f>
        <v>0</v>
      </c>
      <c r="K5" s="1825" t="s">
        <v>1398</v>
      </c>
      <c r="L5" s="1296"/>
      <c r="M5" s="1297"/>
    </row>
    <row r="6" spans="1:37" ht="18" customHeight="1">
      <c r="A6" s="1294" t="s">
        <v>1032</v>
      </c>
      <c r="B6" s="3182" t="s">
        <v>1399</v>
      </c>
      <c r="C6" s="1299">
        <f ca="1">ROUND(F6*F8*F7*(1-F9)/10000,0)</f>
        <v>6196</v>
      </c>
      <c r="D6" s="164" t="s">
        <v>3023</v>
      </c>
      <c r="E6" s="347" t="s">
        <v>1401</v>
      </c>
      <c r="F6" s="348">
        <f ca="1">INDIRECT("'数据-取费表'!u"&amp;$G$1)</f>
        <v>3</v>
      </c>
      <c r="G6" s="1854"/>
      <c r="H6" s="1294" t="s">
        <v>1032</v>
      </c>
      <c r="I6" s="3182" t="s">
        <v>1399</v>
      </c>
      <c r="J6" s="346">
        <f ca="1">ROUND(M6*M8*M7*(1-M9)/10000,0)</f>
        <v>0</v>
      </c>
      <c r="K6" s="164" t="s">
        <v>3022</v>
      </c>
      <c r="L6" s="347" t="s">
        <v>1401</v>
      </c>
      <c r="M6" s="348">
        <f ca="1">INDIRECT("'数据-取费表'!z"&amp;$G$1)</f>
        <v>0</v>
      </c>
    </row>
    <row r="7" spans="1:37" ht="18" customHeight="1">
      <c r="A7" s="1298"/>
      <c r="B7" s="3183"/>
      <c r="C7" s="1300"/>
      <c r="D7" s="352"/>
      <c r="E7" s="2956" t="s">
        <v>1402</v>
      </c>
      <c r="F7" s="348">
        <f ca="1">IF(INDIRECT("'数据-取费表'!ah"&amp;$G$1)="",INDIRECT("'数据-取费表'!k"&amp;$G$1),INDIRECT("'数据-取费表'!ah"&amp;$G$1))</f>
        <v>62867.700000000012</v>
      </c>
      <c r="G7" s="1854"/>
      <c r="H7" s="349"/>
      <c r="I7" s="3183"/>
      <c r="J7" s="351"/>
      <c r="K7" s="352"/>
      <c r="L7" s="347" t="s">
        <v>1402</v>
      </c>
      <c r="M7" s="348">
        <f ca="1">F7</f>
        <v>62867.700000000012</v>
      </c>
    </row>
    <row r="8" spans="1:37" ht="18" customHeight="1">
      <c r="A8" s="349"/>
      <c r="B8" s="3183"/>
      <c r="C8" s="351"/>
      <c r="D8" s="352"/>
      <c r="E8" s="347" t="s">
        <v>1403</v>
      </c>
      <c r="F8" s="348">
        <f ca="1">INDIRECT("'数据-取费表'!ai"&amp;$G$1)</f>
        <v>365</v>
      </c>
      <c r="G8" s="1854"/>
      <c r="H8" s="349"/>
      <c r="I8" s="3183"/>
      <c r="J8" s="351"/>
      <c r="K8" s="352"/>
      <c r="L8" s="347" t="s">
        <v>1403</v>
      </c>
      <c r="M8" s="348">
        <f ca="1">INDIRECT("'数据-取费表'!ai"&amp;$G$1)</f>
        <v>365</v>
      </c>
    </row>
    <row r="9" spans="1:37" ht="18" customHeight="1">
      <c r="A9" s="349"/>
      <c r="B9" s="3184"/>
      <c r="C9" s="351"/>
      <c r="D9" s="352"/>
      <c r="E9" s="347" t="s">
        <v>1404</v>
      </c>
      <c r="F9" s="357">
        <f ca="1">INDIRECT("'数据-取费表'!w"&amp;$G$1)</f>
        <v>0.1</v>
      </c>
      <c r="G9" s="1854"/>
      <c r="H9" s="349"/>
      <c r="I9" s="3184"/>
      <c r="J9" s="351"/>
      <c r="K9" s="352"/>
      <c r="L9" s="358" t="s">
        <v>1404</v>
      </c>
      <c r="M9" s="359">
        <f ca="1">INDIRECT("'数据-取费表'!ab"&amp;$G$1)</f>
        <v>0</v>
      </c>
    </row>
    <row r="10" spans="1:37" ht="18" customHeight="1">
      <c r="A10" s="1294" t="s">
        <v>1036</v>
      </c>
      <c r="B10" s="1826" t="s">
        <v>1405</v>
      </c>
      <c r="C10" s="361">
        <f ca="1">ROUND(IF(F10="押一",C6/12*F11,IF(F10="押二",C6/12*2*F11,IF(F10="押三",C6/12*3*F11,C11*F11))),0)</f>
        <v>8</v>
      </c>
      <c r="D10" s="1827" t="s">
        <v>3032</v>
      </c>
      <c r="E10" s="358" t="s">
        <v>1406</v>
      </c>
      <c r="F10" s="1369" t="s">
        <v>3086</v>
      </c>
      <c r="G10" s="1854"/>
      <c r="H10" s="1294" t="s">
        <v>1036</v>
      </c>
      <c r="I10" s="1826" t="s">
        <v>1405</v>
      </c>
      <c r="J10" s="346">
        <f ca="1">ROUND(IF(M10="押一",J6/12*M11,IF(M10="押二",J6/12*2*M11,IF(M10="押三",J6/12*3*M11,J11*M11))),0)</f>
        <v>0</v>
      </c>
      <c r="K10" s="1827" t="s">
        <v>3031</v>
      </c>
      <c r="L10" s="358" t="s">
        <v>1406</v>
      </c>
      <c r="M10" s="1369" t="s">
        <v>1407</v>
      </c>
    </row>
    <row r="11" spans="1:37" ht="18" customHeight="1">
      <c r="A11" s="353"/>
      <c r="B11" s="1828" t="s">
        <v>1384</v>
      </c>
      <c r="C11" s="1181"/>
      <c r="D11" s="1829"/>
      <c r="E11" s="358" t="s">
        <v>1408</v>
      </c>
      <c r="F11" s="359">
        <f ca="1">'数据-取费表'!B39</f>
        <v>1.4999999999999999E-2</v>
      </c>
      <c r="G11" s="1854"/>
      <c r="H11" s="1302"/>
      <c r="I11" s="1828" t="s">
        <v>1384</v>
      </c>
      <c r="J11" s="1181"/>
      <c r="K11" s="748"/>
      <c r="L11" s="358" t="s">
        <v>1408</v>
      </c>
      <c r="M11" s="1059">
        <f ca="1">'数据-取费表'!B39</f>
        <v>1.4999999999999999E-2</v>
      </c>
    </row>
    <row r="12" spans="1:37" ht="18" customHeight="1" thickBot="1">
      <c r="A12" s="1336" t="s">
        <v>1072</v>
      </c>
      <c r="B12" s="1830" t="s">
        <v>1409</v>
      </c>
      <c r="C12" s="1337"/>
      <c r="D12" s="1338"/>
      <c r="E12" s="1343"/>
      <c r="F12" s="1339"/>
      <c r="G12" s="1854"/>
      <c r="H12" s="1336" t="s">
        <v>1072</v>
      </c>
      <c r="I12" s="1830" t="s">
        <v>1409</v>
      </c>
      <c r="J12" s="1337"/>
      <c r="K12" s="1351"/>
      <c r="L12" s="1343"/>
      <c r="M12" s="1352"/>
    </row>
    <row r="13" spans="1:37" ht="18" customHeight="1" thickTop="1">
      <c r="A13" s="1332">
        <v>2</v>
      </c>
      <c r="B13" s="1333" t="s">
        <v>1410</v>
      </c>
      <c r="C13" s="355">
        <f ca="1">ROUND(C29*F13,0)</f>
        <v>63324</v>
      </c>
      <c r="D13" s="1334" t="s">
        <v>1411</v>
      </c>
      <c r="E13" s="1334" t="s">
        <v>1412</v>
      </c>
      <c r="F13" s="1335">
        <f ca="1">INDIRECT("'数据-取费表'!y"&amp;$G$1)</f>
        <v>0.86</v>
      </c>
      <c r="G13" s="1854"/>
      <c r="H13" s="1332">
        <v>2</v>
      </c>
      <c r="I13" s="1333" t="s">
        <v>1410</v>
      </c>
      <c r="J13" s="1293">
        <f ca="1">ROUND(J14*J15,0)</f>
        <v>0</v>
      </c>
      <c r="K13" s="1340" t="s">
        <v>1411</v>
      </c>
      <c r="L13" s="1855"/>
      <c r="M13" s="1856"/>
    </row>
    <row r="14" spans="1:37" ht="18" customHeight="1">
      <c r="A14" s="1204" t="s">
        <v>1031</v>
      </c>
      <c r="B14" s="347" t="s">
        <v>1413</v>
      </c>
      <c r="C14" s="363">
        <f ca="1">INDIRECT("'数据-取费表'!m"&amp;$G$1)+INDIRECT("'数据-取费表'!t"&amp;$G$1)</f>
        <v>49025</v>
      </c>
      <c r="D14" s="2949" t="s">
        <v>1414</v>
      </c>
      <c r="E14" s="2947"/>
      <c r="F14" s="364"/>
      <c r="G14" s="1854"/>
      <c r="H14" s="1204" t="s">
        <v>1032</v>
      </c>
      <c r="I14" s="347" t="s">
        <v>1415</v>
      </c>
      <c r="J14" s="24">
        <f ca="1">C29</f>
        <v>73632</v>
      </c>
      <c r="K14" s="2955"/>
      <c r="L14" s="982"/>
      <c r="M14" s="983"/>
    </row>
    <row r="15" spans="1:37" s="1861" customFormat="1" ht="18" customHeight="1" thickBot="1">
      <c r="A15" s="1204" t="s">
        <v>1033</v>
      </c>
      <c r="B15" s="347" t="s">
        <v>1416</v>
      </c>
      <c r="C15" s="24">
        <f ca="1">ROUND(C14*F15,0)</f>
        <v>1961</v>
      </c>
      <c r="D15" s="365" t="s">
        <v>1417</v>
      </c>
      <c r="E15" s="365" t="s">
        <v>1418</v>
      </c>
      <c r="F15" s="366">
        <f>'数据-取费表'!B33</f>
        <v>0.04</v>
      </c>
      <c r="G15" s="1857"/>
      <c r="H15" s="1342" t="s">
        <v>1036</v>
      </c>
      <c r="I15" s="1343" t="s">
        <v>1412</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1385</v>
      </c>
      <c r="B16" s="347" t="s">
        <v>1419</v>
      </c>
      <c r="C16" s="24">
        <f ca="1">ROUND(INDIRECT("'数据-取费表'!m"&amp;$G$1)*F16,0)</f>
        <v>0</v>
      </c>
      <c r="D16" s="347" t="s">
        <v>1417</v>
      </c>
      <c r="E16" s="347" t="s">
        <v>1418</v>
      </c>
      <c r="F16" s="367">
        <f ca="1">IF(INDIRECT("'数据-取费表'!c"&amp;$G$1)="住宅",'数据-取费表'!B34,0)</f>
        <v>0</v>
      </c>
      <c r="G16" s="1854"/>
      <c r="H16" s="1332" t="s">
        <v>1027</v>
      </c>
      <c r="I16" s="1333" t="s">
        <v>1420</v>
      </c>
      <c r="J16" s="355">
        <f ca="1">ROUND(J17+J22+J23+J24,0)</f>
        <v>1743</v>
      </c>
      <c r="K16" s="1340" t="s">
        <v>1421</v>
      </c>
      <c r="L16" s="2950"/>
      <c r="M16" s="1297"/>
    </row>
    <row r="17" spans="1:37" s="1861" customFormat="1" ht="18" customHeight="1">
      <c r="A17" s="1204" t="s">
        <v>1386</v>
      </c>
      <c r="B17" s="347" t="s">
        <v>1422</v>
      </c>
      <c r="C17" s="24">
        <f ca="1">ROUND(F17*(F43+INDIRECT("'数据-取费表'!S"&amp;$G$1))/10000,0)</f>
        <v>1666</v>
      </c>
      <c r="D17" s="347" t="s">
        <v>1423</v>
      </c>
      <c r="E17" s="347" t="s">
        <v>1424</v>
      </c>
      <c r="F17" s="26">
        <f>'数据-取费表'!B35</f>
        <v>200</v>
      </c>
      <c r="G17" s="1857"/>
      <c r="H17" s="1204" t="s">
        <v>1032</v>
      </c>
      <c r="I17" s="347" t="s">
        <v>1425</v>
      </c>
      <c r="J17" s="24">
        <f ca="1">ROUND(IF(项目基本情况!B11="自然人",J5*M17,J18+J19+J20),1)</f>
        <v>638.9</v>
      </c>
      <c r="K17" s="2949" t="s">
        <v>1426</v>
      </c>
      <c r="L17" s="2948" t="s">
        <v>1427</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1387</v>
      </c>
      <c r="B18" s="347" t="s">
        <v>1428</v>
      </c>
      <c r="C18" s="24">
        <f ca="1">ROUND(C14*F18,0)</f>
        <v>735</v>
      </c>
      <c r="D18" s="347" t="s">
        <v>1417</v>
      </c>
      <c r="E18" s="347" t="s">
        <v>1418</v>
      </c>
      <c r="F18" s="367">
        <f>'数据-取费表'!B36</f>
        <v>1.4999999999999999E-2</v>
      </c>
      <c r="G18" s="1857"/>
      <c r="H18" s="1204" t="s">
        <v>1031</v>
      </c>
      <c r="I18" s="347" t="s">
        <v>1429</v>
      </c>
      <c r="J18" s="24">
        <f ca="1">ROUND(J5*M18/(1+'数据-取费表'!C42),2)</f>
        <v>0</v>
      </c>
      <c r="K18" s="2948" t="s">
        <v>1430</v>
      </c>
      <c r="L18" s="347" t="s">
        <v>1418</v>
      </c>
      <c r="M18" s="367">
        <f>'数据-取费表'!B41</f>
        <v>5.5000000000000007E-2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1032</v>
      </c>
      <c r="B19" s="347" t="s">
        <v>1431</v>
      </c>
      <c r="C19" s="24">
        <f ca="1">SUM(C14:C18)</f>
        <v>53387</v>
      </c>
      <c r="D19" s="140" t="s">
        <v>1432</v>
      </c>
      <c r="E19" s="2954"/>
      <c r="F19" s="26"/>
      <c r="G19" s="1854"/>
      <c r="H19" s="1204" t="s">
        <v>1033</v>
      </c>
      <c r="I19" s="347" t="s">
        <v>1433</v>
      </c>
      <c r="J19" s="24">
        <f ca="1">IF(K19="按租金收入计税",ROUND(J5*M19,2),ROUND(C29*M19*0.7,2))</f>
        <v>618.51</v>
      </c>
      <c r="K19" s="1831" t="s">
        <v>1434</v>
      </c>
      <c r="L19" s="347" t="s">
        <v>1418</v>
      </c>
      <c r="M19" s="367">
        <f>IF(K19="按租金收入计税",'数据-取费表'!B51,'数据-取费表'!B50)</f>
        <v>1.2E-2</v>
      </c>
    </row>
    <row r="20" spans="1:37" s="1861" customFormat="1" ht="18" customHeight="1">
      <c r="A20" s="1204" t="s">
        <v>1036</v>
      </c>
      <c r="B20" s="347" t="s">
        <v>1435</v>
      </c>
      <c r="C20" s="24">
        <f ca="1">ROUND(C19*F20,0)</f>
        <v>1068</v>
      </c>
      <c r="D20" s="369" t="s">
        <v>1436</v>
      </c>
      <c r="E20" s="347" t="s">
        <v>1418</v>
      </c>
      <c r="F20" s="367">
        <f>'数据-取费表'!B37</f>
        <v>0.02</v>
      </c>
      <c r="G20" s="1857"/>
      <c r="H20" s="1204" t="s">
        <v>1385</v>
      </c>
      <c r="I20" s="164" t="s">
        <v>1437</v>
      </c>
      <c r="J20" s="25">
        <f ca="1">ROUND(M20*M21/10000,2)</f>
        <v>20.420000000000002</v>
      </c>
      <c r="K20" s="370" t="s">
        <v>1438</v>
      </c>
      <c r="L20" s="347" t="s">
        <v>1439</v>
      </c>
      <c r="M20" s="371">
        <f>'数据-取费表'!B52</f>
        <v>3</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1072</v>
      </c>
      <c r="B21" s="347" t="s">
        <v>1440</v>
      </c>
      <c r="C21" s="24" t="s">
        <v>18</v>
      </c>
      <c r="D21" s="369" t="s">
        <v>1441</v>
      </c>
      <c r="E21" s="347" t="s">
        <v>1442</v>
      </c>
      <c r="F21" s="367">
        <f>'数据-取费表'!B38</f>
        <v>0.02</v>
      </c>
      <c r="G21" s="1857"/>
      <c r="H21" s="372"/>
      <c r="I21" s="356"/>
      <c r="J21" s="29"/>
      <c r="K21" s="373"/>
      <c r="L21" s="347" t="s">
        <v>1443</v>
      </c>
      <c r="M21" s="348">
        <f ca="1">INDIRECT("'数据-取费表'!r"&amp;$G$1)</f>
        <v>68057.59</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1388</v>
      </c>
      <c r="B22" s="347" t="s">
        <v>1444</v>
      </c>
      <c r="C22" s="24"/>
      <c r="D22" s="140" t="str">
        <f>IF(F23&lt;=1,"单利计息。","复利计息。")&amp;"建造成本、管理费用、销售费用产生的利息。"</f>
        <v>复利计息。建造成本、管理费用、销售费用产生的利息。</v>
      </c>
      <c r="E22" s="2954"/>
      <c r="F22" s="26"/>
      <c r="G22" s="1854"/>
      <c r="H22" s="1204" t="s">
        <v>1036</v>
      </c>
      <c r="I22" s="347" t="s">
        <v>1445</v>
      </c>
      <c r="J22" s="24">
        <f ca="1">ROUND(J14*M22,1)</f>
        <v>1104.5</v>
      </c>
      <c r="K22" s="2948" t="s">
        <v>1446</v>
      </c>
      <c r="L22" s="347" t="s">
        <v>1418</v>
      </c>
      <c r="M22" s="374">
        <f ca="1">INDIRECT("'数据-取费表'!Ak"&amp;$G$1)</f>
        <v>1.4999999999999999E-2</v>
      </c>
    </row>
    <row r="23" spans="1:37" s="1861" customFormat="1" ht="18" customHeight="1">
      <c r="A23" s="1204" t="s">
        <v>1031</v>
      </c>
      <c r="B23" s="347" t="s">
        <v>1447</v>
      </c>
      <c r="C23" s="24">
        <f ca="1">IF('数据-取费表'!B22&lt;=1,ROUND(C19*F24*F23/2,0)+ROUND(C20*F24*F23/2,0),ROUND(C19*(POWER((1+F24),F23/2)-1),0)+ROUND(C20*(POWER((1+F24),F23/2)-1),0))</f>
        <v>2587</v>
      </c>
      <c r="D23" s="375" t="str">
        <f>IF(F23&lt;=1,"(建造成本+管理费用)×利率×(建设周期÷2)","(建造成本+管理费用)×((1+利率)^(建设周期÷2)-1)")</f>
        <v>(建造成本+管理费用)×((1+利率)^(建设周期÷2)-1)</v>
      </c>
      <c r="E23" s="347" t="s">
        <v>1448</v>
      </c>
      <c r="F23" s="371">
        <f>'数据-取费表'!B20</f>
        <v>2</v>
      </c>
      <c r="G23" s="1857"/>
      <c r="H23" s="1204" t="s">
        <v>1072</v>
      </c>
      <c r="I23" s="347" t="s">
        <v>1449</v>
      </c>
      <c r="J23" s="24">
        <f ca="1">ROUND(J13*M23,1)</f>
        <v>0</v>
      </c>
      <c r="K23" s="2948" t="s">
        <v>1450</v>
      </c>
      <c r="L23" s="347" t="s">
        <v>1418</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1033</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7"/>
      <c r="H24" s="1342" t="s">
        <v>1388</v>
      </c>
      <c r="I24" s="1343" t="s">
        <v>1435</v>
      </c>
      <c r="J24" s="1344">
        <f ca="1">ROUND(J5*M24,1)</f>
        <v>0</v>
      </c>
      <c r="K24" s="1345" t="s">
        <v>1455</v>
      </c>
      <c r="L24" s="1343" t="s">
        <v>1418</v>
      </c>
      <c r="M24" s="1339">
        <f ca="1">INDIRECT("'数据-取费表'!Am"&amp;$G$1)</f>
        <v>0.01</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1456</v>
      </c>
      <c r="B25" s="347" t="s">
        <v>1457</v>
      </c>
      <c r="C25" s="24"/>
      <c r="D25" s="140" t="s">
        <v>1458</v>
      </c>
      <c r="E25" s="2954"/>
      <c r="F25" s="26"/>
      <c r="G25" s="1854"/>
      <c r="H25" s="1332" t="s">
        <v>1028</v>
      </c>
      <c r="I25" s="1347" t="s">
        <v>1459</v>
      </c>
      <c r="J25" s="355">
        <f ca="1">J5-J16</f>
        <v>-1743</v>
      </c>
      <c r="K25" s="1348" t="s">
        <v>1460</v>
      </c>
      <c r="L25" s="1349"/>
      <c r="M25" s="1350"/>
    </row>
    <row r="26" spans="1:37">
      <c r="A26" s="1204" t="s">
        <v>1031</v>
      </c>
      <c r="B26" s="347" t="s">
        <v>1461</v>
      </c>
      <c r="C26" s="24">
        <f ca="1">ROUND((C19+C20)*F26,0)</f>
        <v>10891</v>
      </c>
      <c r="D26" s="369" t="s">
        <v>1462</v>
      </c>
      <c r="E26" s="358" t="s">
        <v>1463</v>
      </c>
      <c r="F26" s="357">
        <f ca="1">INDIRECT("'数据-取费表'!q"&amp;$G$1)</f>
        <v>0.2</v>
      </c>
      <c r="G26" s="1854"/>
      <c r="H26" s="344" t="s">
        <v>1029</v>
      </c>
      <c r="I26" s="345" t="s">
        <v>1464</v>
      </c>
      <c r="J26" s="346">
        <f ca="1">IF(J5&lt;&gt;0,ROUND(J25*(1-((1+M28)/(1+M26))^M27)/(M26-M28),0),0)</f>
        <v>0</v>
      </c>
      <c r="K26" s="370" t="s">
        <v>1465</v>
      </c>
      <c r="L26" s="347" t="s">
        <v>1466</v>
      </c>
      <c r="M26" s="357">
        <f ca="1">INDIRECT("'数据-取费表'!I"&amp;$G$1)</f>
        <v>0.05</v>
      </c>
    </row>
    <row r="27" spans="1:37" ht="18" customHeight="1">
      <c r="A27" s="1204" t="s">
        <v>1033</v>
      </c>
      <c r="B27" s="347" t="s">
        <v>1467</v>
      </c>
      <c r="C27" s="24">
        <f ca="1">ROUND(F21*F26,4)</f>
        <v>4.0000000000000001E-3</v>
      </c>
      <c r="D27" s="369" t="s">
        <v>1468</v>
      </c>
      <c r="E27" s="365"/>
      <c r="F27" s="366"/>
      <c r="G27" s="1854"/>
      <c r="H27" s="349"/>
      <c r="I27" s="350"/>
      <c r="J27" s="351"/>
      <c r="K27" s="378" t="s">
        <v>1469</v>
      </c>
      <c r="L27" s="347" t="s">
        <v>1470</v>
      </c>
      <c r="M27" s="379">
        <f ca="1">INDIRECT("'数据-取费表'!ag"&amp;$G$1)</f>
        <v>0</v>
      </c>
    </row>
    <row r="28" spans="1:37" s="1861" customFormat="1" ht="18" customHeight="1">
      <c r="A28" s="1204" t="s">
        <v>1034</v>
      </c>
      <c r="B28" s="347" t="s">
        <v>1471</v>
      </c>
      <c r="C28" s="24">
        <f>ROUND(F28/(1+'数据-取费表'!C42),4)</f>
        <v>5.2400000000000002E-2</v>
      </c>
      <c r="D28" s="369" t="s">
        <v>1472</v>
      </c>
      <c r="E28" s="347" t="s">
        <v>1418</v>
      </c>
      <c r="F28" s="367">
        <f>'数据-取费表'!B41</f>
        <v>5.5000000000000007E-2</v>
      </c>
      <c r="G28" s="1857"/>
      <c r="H28" s="353"/>
      <c r="I28" s="354"/>
      <c r="J28" s="355"/>
      <c r="K28" s="373"/>
      <c r="L28" s="347" t="s">
        <v>1473</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1035</v>
      </c>
      <c r="B29" s="1343" t="s">
        <v>1474</v>
      </c>
      <c r="C29" s="1344">
        <f ca="1">ROUND((C19+C20+C23+C26)/(1-F21-C24-C27-C28),0)</f>
        <v>73632</v>
      </c>
      <c r="D29" s="1345"/>
      <c r="E29" s="1343"/>
      <c r="F29" s="1346"/>
      <c r="G29" s="1857"/>
      <c r="H29" s="380" t="s">
        <v>1030</v>
      </c>
      <c r="I29" s="381" t="s">
        <v>1475</v>
      </c>
      <c r="J29" s="382">
        <f ca="1">ROUND(J26/(1+F40)^F41,0)</f>
        <v>0</v>
      </c>
      <c r="K29" s="383" t="s">
        <v>1476</v>
      </c>
      <c r="L29" s="384"/>
      <c r="M29" s="385">
        <f ca="1">INDIRECT("'数据-取费表'!k"&amp;$G$1)</f>
        <v>80554.570000000007</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1027</v>
      </c>
      <c r="B30" s="1333" t="s">
        <v>1420</v>
      </c>
      <c r="C30" s="355">
        <f ca="1">ROUND(C31+C36+C37+C38,0)</f>
        <v>2351</v>
      </c>
      <c r="D30" s="1340" t="s">
        <v>1421</v>
      </c>
      <c r="E30" s="2950"/>
      <c r="F30" s="1297"/>
      <c r="G30" s="1854"/>
      <c r="H30" s="745"/>
      <c r="I30" s="746"/>
      <c r="J30" s="747"/>
      <c r="K30" s="748"/>
      <c r="L30" s="749"/>
      <c r="M30" s="750"/>
    </row>
    <row r="31" spans="1:37" ht="18" customHeight="1">
      <c r="A31" s="1204" t="s">
        <v>1032</v>
      </c>
      <c r="B31" s="347" t="s">
        <v>1425</v>
      </c>
      <c r="C31" s="24">
        <f ca="1">ROUND(IF(项目基本情况!B11="自然人",C5*F31,C32+C33+C34),1)</f>
        <v>1089.9000000000001</v>
      </c>
      <c r="D31" s="2949" t="s">
        <v>1426</v>
      </c>
      <c r="E31" s="2948" t="s">
        <v>1477</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1031</v>
      </c>
      <c r="B32" s="347" t="s">
        <v>1429</v>
      </c>
      <c r="C32" s="24">
        <f ca="1">IF(项目基本情况!B11="自然人","——",ROUND(C5*F32/(1+'数据-取费表'!C42),2))</f>
        <v>324.97000000000003</v>
      </c>
      <c r="D32" s="2948" t="s">
        <v>1430</v>
      </c>
      <c r="E32" s="347" t="s">
        <v>1418</v>
      </c>
      <c r="F32" s="377">
        <f>'数据-取费表'!B41</f>
        <v>5.5000000000000007E-2</v>
      </c>
      <c r="G32" s="1854"/>
      <c r="H32" s="745"/>
      <c r="I32" s="746"/>
      <c r="J32" s="747"/>
      <c r="K32" s="748"/>
      <c r="L32" s="749"/>
      <c r="M32" s="750"/>
    </row>
    <row r="33" spans="1:18" ht="18" customHeight="1">
      <c r="A33" s="1204" t="s">
        <v>1033</v>
      </c>
      <c r="B33" s="347" t="s">
        <v>1433</v>
      </c>
      <c r="C33" s="24">
        <f ca="1">IF(项目基本情况!B11="自然人","——",IF(D33="按租金收入计税",ROUND(C5*F33,2),IF(D33="按房产原值计税",ROUND(C29*F33*0.7,2),INDIRECT("'数据-取费表'!Aj"&amp;$G$1))))</f>
        <v>744.48</v>
      </c>
      <c r="D33" s="1831" t="s">
        <v>3087</v>
      </c>
      <c r="E33" s="347" t="s">
        <v>1418</v>
      </c>
      <c r="F33" s="367">
        <f>IF(D33="按票据","——",IF(D33="按租金收入计税",'数据-取费表'!B51,'数据-取费表'!B50))</f>
        <v>0.12</v>
      </c>
      <c r="G33" s="1854"/>
      <c r="H33" s="1862"/>
      <c r="I33" s="1863"/>
      <c r="J33" s="1864"/>
      <c r="K33" s="1865"/>
      <c r="L33" s="1862"/>
      <c r="M33" s="1862"/>
    </row>
    <row r="34" spans="1:18" ht="18" customHeight="1">
      <c r="A34" s="1294" t="s">
        <v>1385</v>
      </c>
      <c r="B34" s="164" t="s">
        <v>1437</v>
      </c>
      <c r="C34" s="25">
        <f ca="1">IF(项目基本情况!B11="自然人","——",ROUND(F34*F35/10000,2))</f>
        <v>20.420000000000002</v>
      </c>
      <c r="D34" s="370" t="s">
        <v>1438</v>
      </c>
      <c r="E34" s="347" t="s">
        <v>1439</v>
      </c>
      <c r="F34" s="371">
        <f>'数据-取费表'!B52</f>
        <v>3</v>
      </c>
      <c r="G34" s="1854"/>
      <c r="H34" s="745"/>
      <c r="I34" s="1863"/>
      <c r="J34" s="1864"/>
      <c r="K34" s="1866"/>
      <c r="L34" s="1867"/>
      <c r="M34" s="1867"/>
    </row>
    <row r="35" spans="1:18" ht="18" customHeight="1">
      <c r="A35" s="1356"/>
      <c r="B35" s="1354"/>
      <c r="C35" s="29"/>
      <c r="D35" s="373"/>
      <c r="E35" s="347" t="s">
        <v>1443</v>
      </c>
      <c r="F35" s="348">
        <f ca="1">INDIRECT("'数据-取费表'!r"&amp;$G$1)</f>
        <v>68057.59</v>
      </c>
      <c r="G35" s="1854"/>
      <c r="H35" s="745"/>
      <c r="I35" s="1863"/>
      <c r="J35" s="1864"/>
      <c r="K35" s="1865"/>
      <c r="L35" s="1862"/>
      <c r="M35" s="1862"/>
    </row>
    <row r="36" spans="1:18" ht="18" customHeight="1">
      <c r="A36" s="1355" t="s">
        <v>1036</v>
      </c>
      <c r="B36" s="347" t="s">
        <v>1445</v>
      </c>
      <c r="C36" s="24">
        <f ca="1">ROUND(C29*F36,1)</f>
        <v>1104.5</v>
      </c>
      <c r="D36" s="2948" t="s">
        <v>1478</v>
      </c>
      <c r="E36" s="347" t="s">
        <v>1418</v>
      </c>
      <c r="F36" s="374">
        <f ca="1">INDIRECT("'数据-取费表'!Ak"&amp;$G$1)</f>
        <v>1.4999999999999999E-2</v>
      </c>
      <c r="G36" s="1854"/>
      <c r="H36" s="1862"/>
      <c r="I36" s="1863"/>
      <c r="J36" s="1864"/>
      <c r="K36" s="751"/>
      <c r="L36" s="1862"/>
      <c r="M36" s="1862"/>
    </row>
    <row r="37" spans="1:18" ht="18" customHeight="1">
      <c r="A37" s="1204" t="s">
        <v>1072</v>
      </c>
      <c r="B37" s="347" t="s">
        <v>1449</v>
      </c>
      <c r="C37" s="24">
        <f ca="1">ROUND(C13*F37,1)</f>
        <v>95</v>
      </c>
      <c r="D37" s="2948" t="s">
        <v>1450</v>
      </c>
      <c r="E37" s="347" t="s">
        <v>1418</v>
      </c>
      <c r="F37" s="376">
        <f ca="1">INDIRECT("'数据-取费表'!Al"&amp;$G$1)</f>
        <v>1.5E-3</v>
      </c>
      <c r="G37" s="1854"/>
      <c r="H37" s="1862"/>
      <c r="I37" s="1863"/>
      <c r="J37" s="1864"/>
      <c r="K37" s="751"/>
      <c r="L37" s="1862"/>
      <c r="M37" s="1862"/>
    </row>
    <row r="38" spans="1:18" ht="18" customHeight="1" thickBot="1">
      <c r="A38" s="1342" t="s">
        <v>1388</v>
      </c>
      <c r="B38" s="1343" t="s">
        <v>1435</v>
      </c>
      <c r="C38" s="1344">
        <f ca="1">ROUND(C5*F38,1)</f>
        <v>62</v>
      </c>
      <c r="D38" s="1345" t="s">
        <v>1455</v>
      </c>
      <c r="E38" s="1343" t="s">
        <v>1418</v>
      </c>
      <c r="F38" s="1339">
        <f ca="1">INDIRECT("'数据-取费表'!Am"&amp;$G$1)</f>
        <v>0.01</v>
      </c>
      <c r="G38" s="1854"/>
      <c r="H38" s="1862"/>
      <c r="I38" s="1863"/>
      <c r="J38" s="1864"/>
      <c r="K38" s="1868"/>
      <c r="L38" s="1862"/>
      <c r="M38" s="1862"/>
    </row>
    <row r="39" spans="1:18" ht="24.6" customHeight="1" thickTop="1">
      <c r="A39" s="1332" t="s">
        <v>1028</v>
      </c>
      <c r="B39" s="1347" t="s">
        <v>1459</v>
      </c>
      <c r="C39" s="355">
        <f ca="1">C5-C30</f>
        <v>3853</v>
      </c>
      <c r="D39" s="1348" t="s">
        <v>1460</v>
      </c>
      <c r="E39" s="1349"/>
      <c r="F39" s="1350"/>
      <c r="G39" s="1854"/>
      <c r="H39" s="1862"/>
      <c r="I39" s="1863"/>
      <c r="J39" s="1864"/>
      <c r="K39" s="1868"/>
      <c r="L39" s="1862"/>
      <c r="M39" s="1862"/>
    </row>
    <row r="40" spans="1:18" ht="18" customHeight="1">
      <c r="A40" s="344" t="s">
        <v>1029</v>
      </c>
      <c r="B40" s="345" t="s">
        <v>1481</v>
      </c>
      <c r="C40" s="346">
        <f ca="1">ROUND(C39*(1-((1+F42)/(1+F40))^F41)/(F40-F42),0)</f>
        <v>87390</v>
      </c>
      <c r="D40" s="370" t="s">
        <v>1465</v>
      </c>
      <c r="E40" s="347" t="s">
        <v>1466</v>
      </c>
      <c r="F40" s="357">
        <f ca="1">INDIRECT("'数据-取费表'!I"&amp;$G$1)</f>
        <v>0.05</v>
      </c>
      <c r="G40" s="1854"/>
      <c r="H40" s="1842"/>
      <c r="I40" s="1863"/>
      <c r="J40" s="1864"/>
      <c r="K40" s="1868"/>
      <c r="L40" s="1842"/>
      <c r="M40" s="1842"/>
    </row>
    <row r="41" spans="1:18" ht="18" customHeight="1">
      <c r="A41" s="349"/>
      <c r="B41" s="350"/>
      <c r="C41" s="351"/>
      <c r="D41" s="378" t="s">
        <v>1482</v>
      </c>
      <c r="E41" s="347" t="s">
        <v>1470</v>
      </c>
      <c r="F41" s="379">
        <f ca="1">IF(INDIRECT("'数据-取费表'!af"&amp;$G$1)=0,INDIRECT("'数据-取费表'!ae"&amp;$G$1),INDIRECT("'数据-取费表'!af"&amp;$G$1))</f>
        <v>31.43</v>
      </c>
      <c r="G41" s="1854"/>
      <c r="H41" s="732"/>
      <c r="I41" s="1863"/>
      <c r="J41" s="1864"/>
      <c r="K41" s="751"/>
      <c r="L41" s="732"/>
      <c r="M41" s="732"/>
    </row>
    <row r="42" spans="1:18" ht="18" customHeight="1">
      <c r="A42" s="353"/>
      <c r="B42" s="354"/>
      <c r="C42" s="355"/>
      <c r="D42" s="373"/>
      <c r="E42" s="347" t="s">
        <v>1473</v>
      </c>
      <c r="F42" s="357">
        <f ca="1">INDIRECT("'数据-取费表'!v"&amp;$G$1)</f>
        <v>0.03</v>
      </c>
      <c r="G42" s="1854"/>
      <c r="H42" s="732"/>
      <c r="I42" s="1863"/>
      <c r="J42" s="1864"/>
      <c r="K42" s="751"/>
      <c r="L42" s="732"/>
      <c r="M42" s="732"/>
    </row>
    <row r="43" spans="1:18" ht="18" customHeight="1" thickBot="1">
      <c r="A43" s="380" t="s">
        <v>1030</v>
      </c>
      <c r="B43" s="381" t="s">
        <v>1483</v>
      </c>
      <c r="C43" s="382">
        <f ca="1">ROUND(C40*10000/F43,0)</f>
        <v>10849</v>
      </c>
      <c r="D43" s="383" t="s">
        <v>1484</v>
      </c>
      <c r="E43" s="384" t="s">
        <v>1485</v>
      </c>
      <c r="F43" s="385">
        <f ca="1">INDIRECT("'数据-取费表'!k"&amp;$G$1)</f>
        <v>80554.570000000007</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1515</v>
      </c>
      <c r="P45" s="1842"/>
      <c r="Q45" s="1842"/>
      <c r="R45" s="1842"/>
    </row>
    <row r="46" spans="1:18" s="1845" customFormat="1" ht="13.5" thickBot="1">
      <c r="A46" s="1873" t="s">
        <v>1516</v>
      </c>
      <c r="C46" s="1874">
        <f ca="1">C68-C40</f>
        <v>-203532</v>
      </c>
      <c r="D46" s="1875" t="str">
        <f>C2</f>
        <v>万元</v>
      </c>
      <c r="E46" s="1869"/>
      <c r="F46" s="1869"/>
      <c r="I46" s="1876" t="s">
        <v>1517</v>
      </c>
      <c r="J46" s="1877"/>
      <c r="K46" s="1878"/>
      <c r="L46" s="1879" t="str">
        <f ca="1">IF(M47="住宅",0,IF(L48&gt;J51,L60,J60))</f>
        <v>0</v>
      </c>
      <c r="O46" s="1880" t="s">
        <v>1518</v>
      </c>
      <c r="P46" s="1881" t="s">
        <v>1519</v>
      </c>
      <c r="Q46" s="1882" t="s">
        <v>1520</v>
      </c>
      <c r="R46" s="1882" t="s">
        <v>1521</v>
      </c>
    </row>
    <row r="47" spans="1:18" s="1845" customFormat="1" ht="13.5" thickBot="1">
      <c r="A47" s="1168" t="s">
        <v>1392</v>
      </c>
      <c r="B47" s="1200" t="s">
        <v>1393</v>
      </c>
      <c r="C47" s="1370" t="s">
        <v>1394</v>
      </c>
      <c r="D47" s="1200" t="s">
        <v>1395</v>
      </c>
      <c r="E47" s="1282" t="s">
        <v>1396</v>
      </c>
      <c r="F47" s="1283"/>
      <c r="G47" s="792"/>
      <c r="I47" s="1883" t="s">
        <v>1522</v>
      </c>
      <c r="J47" s="1884" t="s">
        <v>3088</v>
      </c>
      <c r="K47" s="1885" t="s">
        <v>1523</v>
      </c>
      <c r="L47" s="1886">
        <f ca="1">INDIRECT("'数据-取费表'!d"&amp;$G$1)</f>
        <v>50</v>
      </c>
      <c r="M47" s="1841" t="str">
        <f>IF(ISNUMBER(FIND("住宅",C1)),"住宅","非住宅")</f>
        <v>非住宅</v>
      </c>
      <c r="O47" s="1887" t="s">
        <v>1037</v>
      </c>
      <c r="P47" s="1888" t="s">
        <v>1524</v>
      </c>
      <c r="Q47" s="1889">
        <f ca="1">C40+J29</f>
        <v>87390</v>
      </c>
      <c r="R47" s="1889" t="s">
        <v>1525</v>
      </c>
    </row>
    <row r="48" spans="1:18" s="1845" customFormat="1" ht="28.5" thickBot="1">
      <c r="A48" s="1363" t="s">
        <v>1132</v>
      </c>
      <c r="B48" s="345" t="s">
        <v>1397</v>
      </c>
      <c r="C48" s="2953">
        <f ca="1">C49+C53+C55</f>
        <v>0</v>
      </c>
      <c r="D48" s="1365"/>
      <c r="E48" s="1366"/>
      <c r="F48" s="1184"/>
      <c r="G48" s="792"/>
      <c r="H48" s="793"/>
      <c r="I48" s="1890" t="s">
        <v>1526</v>
      </c>
      <c r="J48" s="1891" t="s">
        <v>3089</v>
      </c>
      <c r="K48" s="1892" t="s">
        <v>1527</v>
      </c>
      <c r="L48" s="1893">
        <f ca="1">INDIRECT("'数据-取费表'!f"&amp;$G$1)</f>
        <v>31.43</v>
      </c>
      <c r="O48" s="1887" t="s">
        <v>1038</v>
      </c>
      <c r="P48" s="1888" t="s">
        <v>1528</v>
      </c>
      <c r="Q48" s="1889" t="str">
        <f ca="1">J60</f>
        <v>0</v>
      </c>
      <c r="R48" s="1889" t="s">
        <v>1529</v>
      </c>
    </row>
    <row r="49" spans="1:18" s="1845" customFormat="1" ht="13.5" thickBot="1">
      <c r="A49" s="1197" t="s">
        <v>1133</v>
      </c>
      <c r="B49" s="1832" t="s">
        <v>1486</v>
      </c>
      <c r="C49" s="1367">
        <f ca="1">ROUND(F49*F51*F50*(1-F52)/10000,0)</f>
        <v>0</v>
      </c>
      <c r="D49" s="1279" t="s">
        <v>3024</v>
      </c>
      <c r="E49" s="1833" t="s">
        <v>1487</v>
      </c>
      <c r="F49" s="1284"/>
      <c r="G49" s="1894"/>
      <c r="H49" s="793"/>
      <c r="I49" s="1890" t="s">
        <v>1530</v>
      </c>
      <c r="J49" s="1895">
        <v>2009</v>
      </c>
      <c r="K49" s="1892" t="s">
        <v>1531</v>
      </c>
      <c r="L49" s="1896"/>
      <c r="O49" s="1897" t="s">
        <v>1039</v>
      </c>
      <c r="P49" s="1888" t="s">
        <v>1532</v>
      </c>
      <c r="Q49" s="1889">
        <f ca="1">C29</f>
        <v>73632</v>
      </c>
      <c r="R49" s="1889" t="s">
        <v>1525</v>
      </c>
    </row>
    <row r="50" spans="1:18" s="1845" customFormat="1" ht="13.5" thickBot="1">
      <c r="A50" s="1198"/>
      <c r="B50" s="1201"/>
      <c r="C50" s="1371"/>
      <c r="D50" s="1175"/>
      <c r="E50" s="1280" t="s">
        <v>1402</v>
      </c>
      <c r="F50" s="1281">
        <f ca="1">F7</f>
        <v>62867.700000000012</v>
      </c>
      <c r="H50" s="793"/>
      <c r="I50" s="1890" t="s">
        <v>1533</v>
      </c>
      <c r="J50" s="1898">
        <f>SUMPRODUCT((I63:I65=J47)*(J62:L62=J48)*(J63:L65))</f>
        <v>50</v>
      </c>
      <c r="K50" s="1892" t="s">
        <v>1534</v>
      </c>
      <c r="L50" s="1896"/>
      <c r="M50" s="1899"/>
      <c r="O50" s="1897" t="s">
        <v>1040</v>
      </c>
      <c r="P50" s="1888" t="s">
        <v>1535</v>
      </c>
      <c r="Q50" s="1900" t="e">
        <f ca="1">J58</f>
        <v>#VALUE!</v>
      </c>
      <c r="R50" s="1889"/>
    </row>
    <row r="51" spans="1:18" s="1845" customFormat="1" ht="13.5" thickBot="1">
      <c r="A51" s="1199"/>
      <c r="B51" s="1201"/>
      <c r="C51" s="1202"/>
      <c r="D51" s="1175"/>
      <c r="E51" s="1203" t="s">
        <v>1403</v>
      </c>
      <c r="F51" s="348">
        <f ca="1">F8</f>
        <v>365</v>
      </c>
      <c r="I51" s="1901" t="s">
        <v>1536</v>
      </c>
      <c r="J51" s="1902">
        <f>IF(J49="",J50,J49+J50-YEAR('数据-取费表'!B2))</f>
        <v>40</v>
      </c>
      <c r="K51" s="1903" t="s">
        <v>1537</v>
      </c>
      <c r="L51" s="1904">
        <f ca="1">ROUND(-PV(INDIRECT("'数据-取费表'!h"&amp;$G$1),L48,(C39-C13*C76),0),0)</f>
        <v>-25468</v>
      </c>
      <c r="M51" s="1905"/>
      <c r="O51" s="1897" t="s">
        <v>1041</v>
      </c>
      <c r="P51" s="1888" t="s">
        <v>1538</v>
      </c>
      <c r="Q51" s="1900">
        <f>J52</f>
        <v>0.09</v>
      </c>
      <c r="R51" s="1889"/>
    </row>
    <row r="52" spans="1:18" s="1845" customFormat="1" ht="13.5" thickBot="1">
      <c r="A52" s="1199"/>
      <c r="B52" s="1201"/>
      <c r="C52" s="1202"/>
      <c r="D52" s="1175"/>
      <c r="E52" s="1203" t="s">
        <v>1404</v>
      </c>
      <c r="F52" s="1278"/>
      <c r="I52" s="1906" t="s">
        <v>1539</v>
      </c>
      <c r="J52" s="1907">
        <v>0.09</v>
      </c>
      <c r="K52" s="1906" t="s">
        <v>1540</v>
      </c>
      <c r="L52" s="1907"/>
      <c r="O52" s="1897" t="s">
        <v>1042</v>
      </c>
      <c r="P52" s="1888" t="s">
        <v>1541</v>
      </c>
      <c r="Q52" s="1889">
        <f ca="1">J53</f>
        <v>31.43</v>
      </c>
      <c r="R52" s="1889" t="s">
        <v>1542</v>
      </c>
    </row>
    <row r="53" spans="1:18" s="1845" customFormat="1" ht="24.75" thickBot="1">
      <c r="A53" s="1408" t="s">
        <v>1134</v>
      </c>
      <c r="B53" s="1834" t="s">
        <v>1405</v>
      </c>
      <c r="C53" s="361">
        <f ca="1">ROUND(IF(F53="押一",C49/12*F11,IF(F53="押二",C49/12*2*F11,IF(F53="押三",C49/12*3*F11,C54*F11))),0)</f>
        <v>0</v>
      </c>
      <c r="D53" s="1827" t="s">
        <v>3031</v>
      </c>
      <c r="E53" s="358" t="s">
        <v>1406</v>
      </c>
      <c r="F53" s="1369"/>
      <c r="I53" s="1908" t="s">
        <v>1543</v>
      </c>
      <c r="J53" s="1909">
        <f ca="1">IF(M47="住宅",IF(D1="——",MAX(J51,L48),IF(D1="在建（套用方法）",MAX(J51,L48-'数据-取费表'!B24),MAX(J51,L48-'数据-取费表'!B20))),IF(D1="——",MIN(J51,L48),IF(D1="在建（套用方法）",MIN(J51,L48-'数据-取费表'!B24),IF(D1="土地（套用方法）",MIN(J51,L48-'数据-取费表'!B20)))))</f>
        <v>31.43</v>
      </c>
      <c r="K53" s="3185" t="s">
        <v>1544</v>
      </c>
      <c r="L53" s="3186"/>
      <c r="O53" s="1887" t="s">
        <v>1043</v>
      </c>
      <c r="P53" s="1888" t="s">
        <v>1545</v>
      </c>
      <c r="Q53" s="1889">
        <f ca="1">Q47+Q48</f>
        <v>87390</v>
      </c>
      <c r="R53" s="1889" t="s">
        <v>1044</v>
      </c>
    </row>
    <row r="54" spans="1:18" s="1845" customFormat="1" ht="13.5" thickBot="1">
      <c r="A54" s="1409"/>
      <c r="B54" s="1828" t="s">
        <v>1384</v>
      </c>
      <c r="C54" s="1181"/>
      <c r="D54" s="1827"/>
      <c r="E54" s="2952"/>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1546</v>
      </c>
      <c r="P54" s="1842"/>
      <c r="Q54" s="1842"/>
      <c r="R54" s="1842"/>
    </row>
    <row r="55" spans="1:18" s="1845" customFormat="1" ht="13.5" thickBot="1">
      <c r="A55" s="1336" t="s">
        <v>1072</v>
      </c>
      <c r="B55" s="1830" t="s">
        <v>1409</v>
      </c>
      <c r="C55" s="1337"/>
      <c r="D55" s="1827"/>
      <c r="E55" s="2952"/>
      <c r="F55" s="1910"/>
      <c r="I55" s="1913" t="s">
        <v>1547</v>
      </c>
      <c r="J55" s="1914" t="e">
        <f ca="1">ROUND(IF(J47="钢混",J57/J50,1-(1-2%)*(J50-J57)/J50),3)</f>
        <v>#VALUE!</v>
      </c>
      <c r="K55" s="1915" t="s">
        <v>1548</v>
      </c>
      <c r="L55" s="1916" t="s">
        <v>1549</v>
      </c>
      <c r="O55" s="1880" t="s">
        <v>1518</v>
      </c>
      <c r="P55" s="1881" t="s">
        <v>1519</v>
      </c>
      <c r="Q55" s="1882" t="s">
        <v>1520</v>
      </c>
      <c r="R55" s="1882" t="s">
        <v>1521</v>
      </c>
    </row>
    <row r="56" spans="1:18" s="1845" customFormat="1" ht="25.5" thickTop="1" thickBot="1">
      <c r="A56" s="1179">
        <v>2</v>
      </c>
      <c r="B56" s="1180" t="s">
        <v>1410</v>
      </c>
      <c r="C56" s="276">
        <f ca="1">C13</f>
        <v>63324</v>
      </c>
      <c r="D56" s="1917"/>
      <c r="E56" s="1918"/>
      <c r="F56" s="1910"/>
      <c r="I56" s="1919" t="s">
        <v>1550</v>
      </c>
      <c r="J56" s="1920" t="s">
        <v>3058</v>
      </c>
      <c r="K56" s="1890" t="s">
        <v>1551</v>
      </c>
      <c r="L56" s="1893" t="str">
        <f ca="1">IF(L48&lt;J51,"——",L48-J53)</f>
        <v>——</v>
      </c>
      <c r="O56" s="1887" t="s">
        <v>1037</v>
      </c>
      <c r="P56" s="1888" t="s">
        <v>1524</v>
      </c>
      <c r="Q56" s="1889">
        <f ca="1">C40+J29</f>
        <v>87390</v>
      </c>
      <c r="R56" s="1889" t="s">
        <v>1525</v>
      </c>
    </row>
    <row r="57" spans="1:18" s="1845" customFormat="1" ht="24.75" thickBot="1">
      <c r="A57" s="1921"/>
      <c r="B57" s="1172" t="s">
        <v>1474</v>
      </c>
      <c r="C57" s="282">
        <f ca="1">C29</f>
        <v>73632</v>
      </c>
      <c r="D57" s="1922"/>
      <c r="E57" s="1923"/>
      <c r="F57" s="1924"/>
      <c r="I57" s="1925" t="s">
        <v>1552</v>
      </c>
      <c r="J57" s="1926" t="str">
        <f ca="1">IF(OR(M47="住宅",J51&lt;L48,J56="是"),"——",J51-L48)</f>
        <v>——</v>
      </c>
      <c r="K57" s="1890" t="s">
        <v>1553</v>
      </c>
      <c r="L57" s="1893" t="str">
        <f ca="1">IF(L48&lt;J51,"——",IF(L55="比较法",L49,IF(L55="基准地价",L50,L51)))</f>
        <v>——</v>
      </c>
      <c r="O57" s="1887" t="s">
        <v>1038</v>
      </c>
      <c r="P57" s="1888" t="s">
        <v>1554</v>
      </c>
      <c r="Q57" s="1889">
        <f ca="1">L60</f>
        <v>0</v>
      </c>
      <c r="R57" s="1889" t="s">
        <v>1555</v>
      </c>
    </row>
    <row r="58" spans="1:18" s="1845" customFormat="1" ht="24.75" thickBot="1">
      <c r="A58" s="360" t="s">
        <v>1027</v>
      </c>
      <c r="B58" s="1180" t="s">
        <v>1420</v>
      </c>
      <c r="C58" s="361">
        <f ca="1">ROUND(C59+C64+C65+C66,0)</f>
        <v>7405</v>
      </c>
      <c r="D58" s="1182" t="s">
        <v>1421</v>
      </c>
      <c r="E58" s="1183"/>
      <c r="F58" s="1184"/>
      <c r="I58" s="1925" t="s">
        <v>1556</v>
      </c>
      <c r="J58" s="1927" t="e">
        <f ca="1">IF(J55&lt;0.4,0.4,J55)</f>
        <v>#VALUE!</v>
      </c>
      <c r="K58" s="1903" t="s">
        <v>1557</v>
      </c>
      <c r="L58" s="1893" t="e">
        <f ca="1">ROUND(POWER(1+L52,L47-L48)*(POWER(1+L52,L48)-1)/(POWER(1+L52,L47)-1),4)</f>
        <v>#DIV/0!</v>
      </c>
      <c r="O58" s="1897" t="s">
        <v>1039</v>
      </c>
      <c r="P58" s="1888" t="s">
        <v>1558</v>
      </c>
      <c r="Q58" s="1889">
        <f>IF(L55="比较法",L49,IF(L55="基准地价",L50,0))</f>
        <v>0</v>
      </c>
      <c r="R58" s="1889" t="s">
        <v>1525</v>
      </c>
    </row>
    <row r="59" spans="1:18" s="1845" customFormat="1" ht="24.75" thickBot="1">
      <c r="A59" s="1204" t="s">
        <v>1032</v>
      </c>
      <c r="B59" s="1172" t="s">
        <v>1425</v>
      </c>
      <c r="C59" s="24">
        <f ca="1">ROUND(IF(项目基本情况!B11="自然人",C48*F59,C60+C61+C62),1)</f>
        <v>6205.5</v>
      </c>
      <c r="D59" s="1185" t="s">
        <v>1426</v>
      </c>
      <c r="E59" s="1186" t="s">
        <v>1427</v>
      </c>
      <c r="F59" s="368" t="str">
        <f ca="1">IF(项目基本情况!B11="企业","",IF(INDIRECT("'数据-取费表'!c"&amp;$G$1)="住宅",5%,IF(F49*F50*F51/12/(1+'数据-取费表'!C42)&gt;20000,12%,7%)))</f>
        <v/>
      </c>
      <c r="I59" s="1925" t="s">
        <v>1559</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1040</v>
      </c>
      <c r="P59" s="1888" t="s">
        <v>1560</v>
      </c>
      <c r="Q59" s="1900">
        <f>L52</f>
        <v>0</v>
      </c>
      <c r="R59" s="1889"/>
    </row>
    <row r="60" spans="1:18" s="1845" customFormat="1" ht="16.5" thickBot="1">
      <c r="A60" s="1204" t="s">
        <v>1031</v>
      </c>
      <c r="B60" s="1172" t="s">
        <v>1429</v>
      </c>
      <c r="C60" s="24">
        <f ca="1">IF(项目基本情况!B11="自然人","——",ROUND(C48*F60/(1+'数据-取费表'!C42),2))</f>
        <v>0</v>
      </c>
      <c r="D60" s="1186" t="s">
        <v>1430</v>
      </c>
      <c r="E60" s="1172" t="s">
        <v>1418</v>
      </c>
      <c r="F60" s="377">
        <f t="shared" ref="F60:F66" si="0">F32</f>
        <v>5.5000000000000007E-2</v>
      </c>
      <c r="I60" s="1928" t="s">
        <v>1561</v>
      </c>
      <c r="J60" s="1929" t="str">
        <f ca="1">IF(OR(M47="住宅",J51&lt;L48,J56="是"),"0",ROUND(J59/(1+J52)^J53,0))</f>
        <v>0</v>
      </c>
      <c r="K60" s="1930" t="s">
        <v>1562</v>
      </c>
      <c r="L60" s="1929">
        <f ca="1">IF(OR(M47="住宅",L48&lt;J51),0,ROUND(L57*(L58/L59-1),0))</f>
        <v>0</v>
      </c>
      <c r="O60" s="1897" t="s">
        <v>1041</v>
      </c>
      <c r="P60" s="1888" t="s">
        <v>1563</v>
      </c>
      <c r="Q60" s="1889" t="e">
        <f ca="1">L58</f>
        <v>#DIV/0!</v>
      </c>
      <c r="R60" s="1889" t="s">
        <v>1564</v>
      </c>
    </row>
    <row r="61" spans="1:18" s="1845" customFormat="1" ht="13.5" thickBot="1">
      <c r="A61" s="1204" t="s">
        <v>1488</v>
      </c>
      <c r="B61" s="1172" t="s">
        <v>1433</v>
      </c>
      <c r="C61" s="24">
        <f ca="1">IF(项目基本情况!B11="自然人","——",IF(D61="按租金收入计税",ROUND(C48*F61,2),IF(D61="按房产原值计税",ROUND(C57*F61*0.7,2),INDIRECT("'数据-取费表'!Aj"&amp;$G$1))))</f>
        <v>6185.09</v>
      </c>
      <c r="D61" s="1831" t="s">
        <v>1434</v>
      </c>
      <c r="E61" s="1172" t="s">
        <v>1418</v>
      </c>
      <c r="F61" s="367">
        <f t="shared" si="0"/>
        <v>0.12</v>
      </c>
      <c r="I61" s="1931"/>
      <c r="J61" s="1931"/>
      <c r="K61" s="1931"/>
      <c r="L61" s="1931"/>
      <c r="O61" s="1897" t="s">
        <v>1042</v>
      </c>
      <c r="P61" s="1888" t="str">
        <f>K59</f>
        <v>建筑物剩余耐用年限下的土地年期修正系数Kn</v>
      </c>
      <c r="Q61" s="1889" t="e">
        <f ca="1">L59</f>
        <v>#DIV/0!</v>
      </c>
      <c r="R61" s="1889" t="s">
        <v>1565</v>
      </c>
    </row>
    <row r="62" spans="1:18" s="1845" customFormat="1" ht="13.5" thickBot="1">
      <c r="A62" s="1204" t="s">
        <v>1491</v>
      </c>
      <c r="B62" s="1171" t="s">
        <v>1437</v>
      </c>
      <c r="C62" s="25">
        <f ca="1">IF(项目基本情况!B11="自然人","——",ROUND(F62*F63/10000,2))</f>
        <v>20.420000000000002</v>
      </c>
      <c r="D62" s="1187" t="s">
        <v>1438</v>
      </c>
      <c r="E62" s="1172" t="s">
        <v>1439</v>
      </c>
      <c r="F62" s="371">
        <f t="shared" si="0"/>
        <v>3</v>
      </c>
      <c r="I62" s="1932" t="s">
        <v>1566</v>
      </c>
      <c r="J62" s="1933" t="s">
        <v>1567</v>
      </c>
      <c r="K62" s="1933" t="s">
        <v>1568</v>
      </c>
      <c r="L62" s="1933" t="s">
        <v>1569</v>
      </c>
      <c r="M62" s="1934" t="s">
        <v>1570</v>
      </c>
      <c r="O62" s="1887" t="s">
        <v>1043</v>
      </c>
      <c r="P62" s="1888" t="s">
        <v>1545</v>
      </c>
      <c r="Q62" s="1889">
        <f ca="1">Q56+Q57</f>
        <v>87390</v>
      </c>
      <c r="R62" s="1889" t="s">
        <v>1044</v>
      </c>
    </row>
    <row r="63" spans="1:18" s="1845" customFormat="1" ht="13.5" thickBot="1">
      <c r="A63" s="372"/>
      <c r="B63" s="1178"/>
      <c r="C63" s="29"/>
      <c r="D63" s="1188"/>
      <c r="E63" s="1172" t="s">
        <v>1443</v>
      </c>
      <c r="F63" s="348">
        <f t="shared" ca="1" si="0"/>
        <v>68057.59</v>
      </c>
      <c r="I63" s="1932" t="s">
        <v>1572</v>
      </c>
      <c r="J63" s="1933">
        <v>70</v>
      </c>
      <c r="K63" s="1933">
        <v>50</v>
      </c>
      <c r="L63" s="1933">
        <v>80</v>
      </c>
      <c r="M63" s="1935">
        <v>0.02</v>
      </c>
      <c r="O63" s="1872" t="s">
        <v>1573</v>
      </c>
      <c r="P63" s="1842"/>
      <c r="Q63" s="1842"/>
      <c r="R63" s="1842"/>
    </row>
    <row r="64" spans="1:18" s="1845" customFormat="1" ht="13.5" thickBot="1">
      <c r="A64" s="1204" t="s">
        <v>1036</v>
      </c>
      <c r="B64" s="1172" t="s">
        <v>1445</v>
      </c>
      <c r="C64" s="24">
        <f ca="1">ROUND(C57*F64,1)</f>
        <v>1104.5</v>
      </c>
      <c r="D64" s="1186" t="s">
        <v>1478</v>
      </c>
      <c r="E64" s="1172" t="s">
        <v>1418</v>
      </c>
      <c r="F64" s="374">
        <f t="shared" ca="1" si="0"/>
        <v>1.4999999999999999E-2</v>
      </c>
      <c r="I64" s="1932" t="s">
        <v>1574</v>
      </c>
      <c r="J64" s="1933">
        <v>50</v>
      </c>
      <c r="K64" s="1933">
        <v>35</v>
      </c>
      <c r="L64" s="1933">
        <v>60</v>
      </c>
      <c r="M64" s="1934">
        <v>0</v>
      </c>
      <c r="O64" s="1880" t="s">
        <v>1518</v>
      </c>
      <c r="P64" s="1881" t="s">
        <v>1519</v>
      </c>
      <c r="Q64" s="1882" t="s">
        <v>1520</v>
      </c>
      <c r="R64" s="1882" t="s">
        <v>1521</v>
      </c>
    </row>
    <row r="65" spans="1:18" s="1845" customFormat="1" ht="13.5" thickBot="1">
      <c r="A65" s="1204" t="s">
        <v>1499</v>
      </c>
      <c r="B65" s="1172" t="s">
        <v>1449</v>
      </c>
      <c r="C65" s="24">
        <f ca="1">ROUND(C56*F65,1)</f>
        <v>95</v>
      </c>
      <c r="D65" s="1186" t="s">
        <v>1450</v>
      </c>
      <c r="E65" s="1172" t="s">
        <v>1418</v>
      </c>
      <c r="F65" s="376">
        <f t="shared" ca="1" si="0"/>
        <v>1.5E-3</v>
      </c>
      <c r="I65" s="1932" t="s">
        <v>1575</v>
      </c>
      <c r="J65" s="1933">
        <v>40</v>
      </c>
      <c r="K65" s="1933">
        <v>30</v>
      </c>
      <c r="L65" s="1933">
        <v>50</v>
      </c>
      <c r="M65" s="1935">
        <v>0.02</v>
      </c>
      <c r="O65" s="1887" t="s">
        <v>1037</v>
      </c>
      <c r="P65" s="1888" t="s">
        <v>1524</v>
      </c>
      <c r="Q65" s="1889">
        <f ca="1">C40+J29</f>
        <v>87390</v>
      </c>
      <c r="R65" s="1889" t="s">
        <v>1525</v>
      </c>
    </row>
    <row r="66" spans="1:18" s="1845" customFormat="1" ht="16.5" thickBot="1">
      <c r="A66" s="1204" t="s">
        <v>1500</v>
      </c>
      <c r="B66" s="1172" t="s">
        <v>1435</v>
      </c>
      <c r="C66" s="24">
        <f ca="1">ROUND(C48*F66,1)</f>
        <v>0</v>
      </c>
      <c r="D66" s="1186" t="s">
        <v>1455</v>
      </c>
      <c r="E66" s="1172" t="s">
        <v>1418</v>
      </c>
      <c r="F66" s="357">
        <f t="shared" ca="1" si="0"/>
        <v>0.01</v>
      </c>
      <c r="O66" s="1887" t="s">
        <v>1038</v>
      </c>
      <c r="P66" s="1888" t="s">
        <v>1554</v>
      </c>
      <c r="Q66" s="1889">
        <f ca="1">L60</f>
        <v>0</v>
      </c>
      <c r="R66" s="1889" t="s">
        <v>1577</v>
      </c>
    </row>
    <row r="67" spans="1:18" s="1845" customFormat="1" ht="16.5" thickBot="1">
      <c r="A67" s="1179" t="s">
        <v>1028</v>
      </c>
      <c r="B67" s="1189" t="s">
        <v>1459</v>
      </c>
      <c r="C67" s="361">
        <f ca="1">C48-C58</f>
        <v>-7405</v>
      </c>
      <c r="D67" s="1185" t="s">
        <v>1460</v>
      </c>
      <c r="E67" s="1190"/>
      <c r="F67" s="1191"/>
      <c r="O67" s="1897" t="s">
        <v>1039</v>
      </c>
      <c r="P67" s="1888" t="s">
        <v>1558</v>
      </c>
      <c r="Q67" s="1936">
        <f ca="1">L51</f>
        <v>-25468</v>
      </c>
      <c r="R67" s="1889" t="s">
        <v>1578</v>
      </c>
    </row>
    <row r="68" spans="1:18" s="1845" customFormat="1" ht="16.5" thickBot="1">
      <c r="A68" s="1169" t="s">
        <v>1029</v>
      </c>
      <c r="B68" s="1170" t="s">
        <v>1481</v>
      </c>
      <c r="C68" s="346">
        <f ca="1">ROUND(C67*(1-((1+F70)/(1+F68))^F69)/(F68-F70),0)</f>
        <v>-116142</v>
      </c>
      <c r="D68" s="1187" t="s">
        <v>1465</v>
      </c>
      <c r="E68" s="1172" t="s">
        <v>1466</v>
      </c>
      <c r="F68" s="357">
        <f ca="1">F40</f>
        <v>0.05</v>
      </c>
      <c r="O68" s="1897" t="s">
        <v>1040</v>
      </c>
      <c r="P68" s="1937" t="s">
        <v>1579</v>
      </c>
      <c r="Q68" s="1889">
        <f ca="1">ROUND(Q69-Q70*Q71,0)</f>
        <v>-1530</v>
      </c>
      <c r="R68" s="1889" t="s">
        <v>1048</v>
      </c>
    </row>
    <row r="69" spans="1:18" s="1845" customFormat="1" ht="13.5" thickBot="1">
      <c r="A69" s="1173"/>
      <c r="B69" s="1174"/>
      <c r="C69" s="351"/>
      <c r="D69" s="1192" t="s">
        <v>1469</v>
      </c>
      <c r="E69" s="1172" t="s">
        <v>1470</v>
      </c>
      <c r="F69" s="379">
        <f ca="1">F41</f>
        <v>31.43</v>
      </c>
      <c r="O69" s="1897" t="s">
        <v>1045</v>
      </c>
      <c r="P69" s="1937" t="s">
        <v>1580</v>
      </c>
      <c r="Q69" s="1889">
        <f ca="1">C39</f>
        <v>3853</v>
      </c>
      <c r="R69" s="1889" t="s">
        <v>1525</v>
      </c>
    </row>
    <row r="70" spans="1:18" s="1845" customFormat="1" ht="13.5" thickBot="1">
      <c r="A70" s="1176"/>
      <c r="B70" s="1177"/>
      <c r="C70" s="355"/>
      <c r="D70" s="1188"/>
      <c r="E70" s="1172" t="s">
        <v>1473</v>
      </c>
      <c r="F70" s="1278"/>
      <c r="O70" s="1897" t="s">
        <v>1046</v>
      </c>
      <c r="P70" s="1937" t="s">
        <v>1581</v>
      </c>
      <c r="Q70" s="1889">
        <f ca="1">C13</f>
        <v>63324</v>
      </c>
      <c r="R70" s="1889" t="s">
        <v>1525</v>
      </c>
    </row>
    <row r="71" spans="1:18" s="1845" customFormat="1" ht="13.5" thickBot="1">
      <c r="A71" s="1193" t="s">
        <v>1030</v>
      </c>
      <c r="B71" s="1194" t="s">
        <v>1483</v>
      </c>
      <c r="C71" s="382">
        <f ca="1">ROUND(C68*10000/F71,0)</f>
        <v>-14418</v>
      </c>
      <c r="D71" s="1195" t="s">
        <v>1484</v>
      </c>
      <c r="E71" s="1196" t="s">
        <v>1485</v>
      </c>
      <c r="F71" s="385">
        <f ca="1">F43</f>
        <v>80554.570000000007</v>
      </c>
      <c r="O71" s="1897" t="s">
        <v>1047</v>
      </c>
      <c r="P71" s="1937" t="s">
        <v>1582</v>
      </c>
      <c r="Q71" s="1900">
        <f ca="1">C76</f>
        <v>8.5000000000000006E-2</v>
      </c>
      <c r="R71" s="1889"/>
    </row>
    <row r="72" spans="1:18" s="1845" customFormat="1" ht="13.5" thickBot="1">
      <c r="B72" s="796"/>
      <c r="C72" s="796"/>
      <c r="O72" s="1897" t="s">
        <v>1041</v>
      </c>
      <c r="P72" s="1888" t="s">
        <v>1560</v>
      </c>
      <c r="Q72" s="1900">
        <f>L52</f>
        <v>0</v>
      </c>
      <c r="R72" s="1889"/>
    </row>
    <row r="73" spans="1:18" ht="16.5" thickBot="1">
      <c r="A73" s="1845"/>
      <c r="B73" s="796"/>
      <c r="C73" s="796"/>
      <c r="D73" s="1845"/>
      <c r="E73" s="1845"/>
      <c r="F73" s="1845"/>
      <c r="O73" s="1897" t="s">
        <v>1042</v>
      </c>
      <c r="P73" s="1888" t="s">
        <v>1563</v>
      </c>
      <c r="Q73" s="1889" t="e">
        <f ca="1">L58</f>
        <v>#DIV/0!</v>
      </c>
      <c r="R73" s="1889" t="s">
        <v>1564</v>
      </c>
    </row>
    <row r="74" spans="1:18" ht="13.5" thickBot="1">
      <c r="A74" s="1845"/>
      <c r="B74" s="317" t="s">
        <v>1583</v>
      </c>
      <c r="C74" s="1939"/>
      <c r="D74" s="1845"/>
      <c r="E74" s="1845"/>
      <c r="F74" s="1845"/>
      <c r="O74" s="1897" t="s">
        <v>1049</v>
      </c>
      <c r="P74" s="1888" t="str">
        <f>K59</f>
        <v>建筑物剩余耐用年限下的土地年期修正系数Kn</v>
      </c>
      <c r="Q74" s="1889" t="e">
        <f ca="1">L59</f>
        <v>#DIV/0!</v>
      </c>
      <c r="R74" s="1889" t="s">
        <v>1565</v>
      </c>
    </row>
    <row r="75" spans="1:18" ht="13.5" thickBot="1">
      <c r="A75" s="1845"/>
      <c r="B75" s="386" t="s">
        <v>1502</v>
      </c>
      <c r="C75" s="387">
        <f ca="1">ROUND(C13*C76,0)</f>
        <v>5383</v>
      </c>
      <c r="D75" s="1845"/>
      <c r="E75" s="1845"/>
      <c r="F75" s="1845"/>
      <c r="K75" s="1871"/>
      <c r="L75" s="1845"/>
      <c r="O75" s="1887" t="s">
        <v>1043</v>
      </c>
      <c r="P75" s="1888" t="s">
        <v>1545</v>
      </c>
      <c r="Q75" s="1889">
        <f ca="1">Q65+Q66</f>
        <v>87390</v>
      </c>
      <c r="R75" s="1889" t="s">
        <v>1044</v>
      </c>
    </row>
    <row r="76" spans="1:18">
      <c r="B76" s="388" t="s">
        <v>1503</v>
      </c>
      <c r="C76" s="389">
        <f ca="1">INDIRECT("'数据-取费表'!j"&amp;$G$1)</f>
        <v>8.5000000000000006E-2</v>
      </c>
      <c r="I76" s="1845"/>
      <c r="J76" s="1845"/>
      <c r="K76" s="1871"/>
      <c r="L76" s="1845"/>
    </row>
    <row r="77" spans="1:18">
      <c r="B77" s="390" t="s">
        <v>1504</v>
      </c>
      <c r="C77" s="391"/>
      <c r="I77" s="1845"/>
      <c r="J77" s="1845"/>
      <c r="K77" s="1871"/>
      <c r="L77" s="1845"/>
    </row>
    <row r="78" spans="1:18">
      <c r="B78" s="314" t="s">
        <v>1505</v>
      </c>
      <c r="C78" s="392"/>
    </row>
    <row r="79" spans="1:18">
      <c r="B79" s="386" t="s">
        <v>1506</v>
      </c>
      <c r="C79" s="318">
        <f ca="1">1-C80</f>
        <v>-0.39700000000000002</v>
      </c>
    </row>
    <row r="80" spans="1:18">
      <c r="B80" s="386" t="s">
        <v>1507</v>
      </c>
      <c r="C80" s="318">
        <f ca="1">ROUND(C75/C39,3)</f>
        <v>1.397</v>
      </c>
    </row>
    <row r="81" spans="2:3">
      <c r="B81" s="314" t="s">
        <v>1508</v>
      </c>
      <c r="C81" s="282"/>
    </row>
    <row r="82" spans="2:3">
      <c r="B82" s="317" t="s">
        <v>1509</v>
      </c>
      <c r="C82" s="319">
        <f ca="1">1-C83</f>
        <v>0.27500000000000002</v>
      </c>
    </row>
    <row r="83" spans="2:3">
      <c r="B83" s="317" t="s">
        <v>1510</v>
      </c>
      <c r="C83" s="318">
        <f ca="1">ROUND(C13/C40,3)</f>
        <v>0.72499999999999998</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3" zoomScale="81" zoomScaleNormal="81" zoomScaleSheetLayoutView="90" workbookViewId="0">
      <selection activeCell="F38" sqref="F38"/>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1585</v>
      </c>
      <c r="B1" s="782"/>
      <c r="C1" s="1840" t="s">
        <v>6</v>
      </c>
      <c r="D1" s="1823" t="s">
        <v>70</v>
      </c>
      <c r="E1" s="1824" t="s">
        <v>1383</v>
      </c>
      <c r="F1" s="1286">
        <f ca="1">J53</f>
        <v>31.43</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1511</v>
      </c>
      <c r="B2" s="1847">
        <f ca="1">C40+J29+L46</f>
        <v>43289</v>
      </c>
      <c r="C2" s="1848" t="s">
        <v>1512</v>
      </c>
      <c r="D2" s="1848"/>
      <c r="E2" s="1849"/>
      <c r="F2" s="1850"/>
      <c r="G2" s="1851"/>
      <c r="H2" s="1843"/>
      <c r="I2" s="1843"/>
      <c r="J2" s="1843"/>
      <c r="K2" s="1844"/>
      <c r="L2" s="1843"/>
      <c r="M2" s="1843"/>
    </row>
    <row r="3" spans="1:37" ht="18" customHeight="1" thickBot="1">
      <c r="A3" s="1852" t="s">
        <v>1513</v>
      </c>
      <c r="B3" s="1853">
        <f ca="1">IF(ISERROR(B2*10000/F43),0,ROUND(B2*10000/F43,0))</f>
        <v>8751</v>
      </c>
      <c r="C3" s="1848" t="s">
        <v>1514</v>
      </c>
      <c r="D3" s="1848"/>
      <c r="E3" s="1849"/>
      <c r="F3" s="1850"/>
      <c r="G3" s="1851"/>
      <c r="H3" s="744" t="s">
        <v>1584</v>
      </c>
      <c r="I3" s="1843"/>
      <c r="J3" s="1843"/>
      <c r="K3" s="1844"/>
      <c r="L3" s="1843"/>
      <c r="M3" s="1843"/>
    </row>
    <row r="4" spans="1:37" ht="18" customHeight="1">
      <c r="A4" s="340" t="s">
        <v>1392</v>
      </c>
      <c r="B4" s="341" t="s">
        <v>1393</v>
      </c>
      <c r="C4" s="341" t="s">
        <v>1394</v>
      </c>
      <c r="D4" s="341" t="s">
        <v>1395</v>
      </c>
      <c r="E4" s="342" t="s">
        <v>1396</v>
      </c>
      <c r="F4" s="343"/>
      <c r="G4" s="1854"/>
      <c r="H4" s="340" t="s">
        <v>1392</v>
      </c>
      <c r="I4" s="341" t="s">
        <v>1393</v>
      </c>
      <c r="J4" s="341" t="s">
        <v>1394</v>
      </c>
      <c r="K4" s="341" t="s">
        <v>1395</v>
      </c>
      <c r="L4" s="342" t="s">
        <v>1396</v>
      </c>
      <c r="M4" s="343"/>
    </row>
    <row r="5" spans="1:37" ht="18" customHeight="1">
      <c r="A5" s="344">
        <v>1</v>
      </c>
      <c r="B5" s="345" t="s">
        <v>1397</v>
      </c>
      <c r="C5" s="1295">
        <f ca="1">C6+C10+C12</f>
        <v>3191</v>
      </c>
      <c r="D5" s="1825" t="s">
        <v>1398</v>
      </c>
      <c r="E5" s="1296"/>
      <c r="F5" s="1297"/>
      <c r="G5" s="1854"/>
      <c r="H5" s="344">
        <v>1</v>
      </c>
      <c r="I5" s="345" t="s">
        <v>1397</v>
      </c>
      <c r="J5" s="1295">
        <f ca="1">J6+J10+J12</f>
        <v>0</v>
      </c>
      <c r="K5" s="1825" t="s">
        <v>1398</v>
      </c>
      <c r="L5" s="1296"/>
      <c r="M5" s="1297"/>
    </row>
    <row r="6" spans="1:37" ht="18" customHeight="1">
      <c r="A6" s="1294" t="s">
        <v>1032</v>
      </c>
      <c r="B6" s="3182" t="s">
        <v>1399</v>
      </c>
      <c r="C6" s="1299">
        <f ca="1">ROUND(F6*F8*F7*(1-F9)/10000,0)</f>
        <v>3187</v>
      </c>
      <c r="D6" s="164" t="s">
        <v>3023</v>
      </c>
      <c r="E6" s="347" t="s">
        <v>1401</v>
      </c>
      <c r="F6" s="348">
        <f ca="1">INDIRECT("'数据-取费表'!u"&amp;$G$1)</f>
        <v>2</v>
      </c>
      <c r="G6" s="1854"/>
      <c r="H6" s="1294" t="s">
        <v>1032</v>
      </c>
      <c r="I6" s="3182" t="s">
        <v>1399</v>
      </c>
      <c r="J6" s="346">
        <f ca="1">ROUND(M6*M8*M7*(1-M9)/10000,0)</f>
        <v>0</v>
      </c>
      <c r="K6" s="164" t="s">
        <v>3022</v>
      </c>
      <c r="L6" s="347" t="s">
        <v>1401</v>
      </c>
      <c r="M6" s="348">
        <f ca="1">INDIRECT("'数据-取费表'!z"&amp;$G$1)</f>
        <v>0</v>
      </c>
    </row>
    <row r="7" spans="1:37" ht="18" customHeight="1">
      <c r="A7" s="1298"/>
      <c r="B7" s="3183"/>
      <c r="C7" s="1300"/>
      <c r="D7" s="352"/>
      <c r="E7" s="1301" t="s">
        <v>1402</v>
      </c>
      <c r="F7" s="348">
        <f ca="1">IF(INDIRECT("'数据-取费表'!ah"&amp;$G$1)="",INDIRECT("'数据-取费表'!k"&amp;$G$1),INDIRECT("'数据-取费表'!ah"&amp;$G$1))</f>
        <v>48501.7</v>
      </c>
      <c r="G7" s="1854"/>
      <c r="H7" s="349"/>
      <c r="I7" s="3183"/>
      <c r="J7" s="351"/>
      <c r="K7" s="352"/>
      <c r="L7" s="347" t="s">
        <v>1402</v>
      </c>
      <c r="M7" s="348">
        <f ca="1">F7</f>
        <v>48501.7</v>
      </c>
    </row>
    <row r="8" spans="1:37" ht="18" customHeight="1">
      <c r="A8" s="349"/>
      <c r="B8" s="3183"/>
      <c r="C8" s="351"/>
      <c r="D8" s="352"/>
      <c r="E8" s="347" t="s">
        <v>1403</v>
      </c>
      <c r="F8" s="348">
        <f ca="1">INDIRECT("'数据-取费表'!ai"&amp;$G$1)</f>
        <v>365</v>
      </c>
      <c r="G8" s="1854"/>
      <c r="H8" s="349"/>
      <c r="I8" s="3183"/>
      <c r="J8" s="351"/>
      <c r="K8" s="352"/>
      <c r="L8" s="347" t="s">
        <v>1403</v>
      </c>
      <c r="M8" s="348">
        <f ca="1">INDIRECT("'数据-取费表'!ai"&amp;$G$1)</f>
        <v>365</v>
      </c>
    </row>
    <row r="9" spans="1:37" ht="18" customHeight="1">
      <c r="A9" s="349"/>
      <c r="B9" s="3184"/>
      <c r="C9" s="351"/>
      <c r="D9" s="352"/>
      <c r="E9" s="347" t="s">
        <v>1404</v>
      </c>
      <c r="F9" s="357">
        <f ca="1">INDIRECT("'数据-取费表'!w"&amp;$G$1)</f>
        <v>0.1</v>
      </c>
      <c r="G9" s="1854"/>
      <c r="H9" s="349"/>
      <c r="I9" s="3184"/>
      <c r="J9" s="351"/>
      <c r="K9" s="352"/>
      <c r="L9" s="358" t="s">
        <v>1404</v>
      </c>
      <c r="M9" s="359">
        <f ca="1">INDIRECT("'数据-取费表'!ab"&amp;$G$1)</f>
        <v>0</v>
      </c>
    </row>
    <row r="10" spans="1:37" ht="18" customHeight="1">
      <c r="A10" s="1294" t="s">
        <v>1036</v>
      </c>
      <c r="B10" s="1826" t="s">
        <v>1405</v>
      </c>
      <c r="C10" s="361">
        <f ca="1">ROUND(IF(F10="押一",C6/12*F11,IF(F10="押二",C6/12*2*F11,IF(F10="押三",C6/12*3*F11,C11*F11))),0)</f>
        <v>4</v>
      </c>
      <c r="D10" s="1827" t="s">
        <v>3032</v>
      </c>
      <c r="E10" s="358" t="s">
        <v>1406</v>
      </c>
      <c r="F10" s="1369" t="s">
        <v>3086</v>
      </c>
      <c r="G10" s="1854"/>
      <c r="H10" s="1294" t="s">
        <v>1036</v>
      </c>
      <c r="I10" s="1826" t="s">
        <v>1405</v>
      </c>
      <c r="J10" s="346">
        <f ca="1">ROUND(IF(M10="押一",J6/12*M11,IF(M10="押二",J6/12*2*M11,IF(M10="押三",J6/12*3*M11,J11*M11))),0)</f>
        <v>0</v>
      </c>
      <c r="K10" s="1827" t="s">
        <v>3031</v>
      </c>
      <c r="L10" s="358" t="s">
        <v>1406</v>
      </c>
      <c r="M10" s="1369" t="s">
        <v>1407</v>
      </c>
    </row>
    <row r="11" spans="1:37" ht="18" customHeight="1">
      <c r="A11" s="353"/>
      <c r="B11" s="1828" t="s">
        <v>1384</v>
      </c>
      <c r="C11" s="1181"/>
      <c r="D11" s="1829"/>
      <c r="E11" s="358" t="s">
        <v>1408</v>
      </c>
      <c r="F11" s="359">
        <f ca="1">'数据-取费表'!B39</f>
        <v>1.4999999999999999E-2</v>
      </c>
      <c r="G11" s="1854"/>
      <c r="H11" s="1302"/>
      <c r="I11" s="1828" t="s">
        <v>1384</v>
      </c>
      <c r="J11" s="1181"/>
      <c r="K11" s="748"/>
      <c r="L11" s="358" t="s">
        <v>1408</v>
      </c>
      <c r="M11" s="1059">
        <f ca="1">'数据-取费表'!B39</f>
        <v>1.4999999999999999E-2</v>
      </c>
    </row>
    <row r="12" spans="1:37" ht="18" customHeight="1" thickBot="1">
      <c r="A12" s="1336" t="s">
        <v>1072</v>
      </c>
      <c r="B12" s="1830" t="s">
        <v>1409</v>
      </c>
      <c r="C12" s="1337"/>
      <c r="D12" s="1338"/>
      <c r="E12" s="1343"/>
      <c r="F12" s="1339"/>
      <c r="G12" s="1854"/>
      <c r="H12" s="1336" t="s">
        <v>1072</v>
      </c>
      <c r="I12" s="1830" t="s">
        <v>1409</v>
      </c>
      <c r="J12" s="1337"/>
      <c r="K12" s="1351"/>
      <c r="L12" s="1343"/>
      <c r="M12" s="1352"/>
    </row>
    <row r="13" spans="1:37" ht="18" customHeight="1" thickTop="1">
      <c r="A13" s="1332">
        <v>2</v>
      </c>
      <c r="B13" s="1333" t="s">
        <v>1410</v>
      </c>
      <c r="C13" s="355">
        <f ca="1">ROUND(C29*F13,0)</f>
        <v>21666</v>
      </c>
      <c r="D13" s="1334" t="s">
        <v>1411</v>
      </c>
      <c r="E13" s="1334" t="s">
        <v>1412</v>
      </c>
      <c r="F13" s="1335">
        <f ca="1">INDIRECT("'数据-取费表'!y"&amp;$G$1)</f>
        <v>0.83</v>
      </c>
      <c r="G13" s="1854"/>
      <c r="H13" s="1332">
        <v>2</v>
      </c>
      <c r="I13" s="1333" t="s">
        <v>1410</v>
      </c>
      <c r="J13" s="1293">
        <f ca="1">ROUND(J14*J15,0)</f>
        <v>0</v>
      </c>
      <c r="K13" s="1340" t="s">
        <v>1411</v>
      </c>
      <c r="L13" s="1855"/>
      <c r="M13" s="1856"/>
    </row>
    <row r="14" spans="1:37" ht="18" customHeight="1">
      <c r="A14" s="1204" t="s">
        <v>1031</v>
      </c>
      <c r="B14" s="347" t="s">
        <v>1413</v>
      </c>
      <c r="C14" s="363">
        <f ca="1">INDIRECT("'数据-取费表'!m"&amp;$G$1)+INDIRECT("'数据-取费表'!t"&amp;$G$1)</f>
        <v>17739</v>
      </c>
      <c r="D14" s="1803" t="s">
        <v>1414</v>
      </c>
      <c r="E14" s="1797"/>
      <c r="F14" s="364"/>
      <c r="G14" s="1854"/>
      <c r="H14" s="1204" t="s">
        <v>1032</v>
      </c>
      <c r="I14" s="347" t="s">
        <v>1415</v>
      </c>
      <c r="J14" s="24">
        <f ca="1">C29</f>
        <v>26104</v>
      </c>
      <c r="K14" s="15"/>
      <c r="L14" s="982"/>
      <c r="M14" s="983"/>
    </row>
    <row r="15" spans="1:37" s="1861" customFormat="1" ht="18" customHeight="1" thickBot="1">
      <c r="A15" s="1204" t="s">
        <v>1033</v>
      </c>
      <c r="B15" s="347" t="s">
        <v>1416</v>
      </c>
      <c r="C15" s="24">
        <f ca="1">ROUND(C14*F15,0)</f>
        <v>710</v>
      </c>
      <c r="D15" s="365" t="s">
        <v>1417</v>
      </c>
      <c r="E15" s="365" t="s">
        <v>1418</v>
      </c>
      <c r="F15" s="366">
        <f>'数据-取费表'!B33</f>
        <v>0.04</v>
      </c>
      <c r="G15" s="1857"/>
      <c r="H15" s="1342" t="s">
        <v>1036</v>
      </c>
      <c r="I15" s="1343" t="s">
        <v>1412</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1385</v>
      </c>
      <c r="B16" s="347" t="s">
        <v>1419</v>
      </c>
      <c r="C16" s="24">
        <f ca="1">ROUND(INDIRECT("'数据-取费表'!m"&amp;$G$1)*F16,0)</f>
        <v>0</v>
      </c>
      <c r="D16" s="347" t="s">
        <v>1417</v>
      </c>
      <c r="E16" s="347" t="s">
        <v>1418</v>
      </c>
      <c r="F16" s="367">
        <f ca="1">IF(INDIRECT("'数据-取费表'!c"&amp;$G$1)="住宅",'数据-取费表'!B34,0)</f>
        <v>0</v>
      </c>
      <c r="G16" s="1854"/>
      <c r="H16" s="1332" t="s">
        <v>1027</v>
      </c>
      <c r="I16" s="1333" t="s">
        <v>1420</v>
      </c>
      <c r="J16" s="355">
        <f ca="1">ROUND(J17+J22+J23+J24,0)</f>
        <v>623</v>
      </c>
      <c r="K16" s="1340" t="s">
        <v>1421</v>
      </c>
      <c r="L16" s="1341"/>
      <c r="M16" s="1297"/>
    </row>
    <row r="17" spans="1:37" s="1861" customFormat="1" ht="18" customHeight="1">
      <c r="A17" s="1204" t="s">
        <v>1386</v>
      </c>
      <c r="B17" s="347" t="s">
        <v>1422</v>
      </c>
      <c r="C17" s="24">
        <f ca="1">ROUND(F17*(F43+INDIRECT("'数据-取费表'!S"&amp;$G$1))/10000,0)</f>
        <v>1023</v>
      </c>
      <c r="D17" s="347" t="s">
        <v>1423</v>
      </c>
      <c r="E17" s="347" t="s">
        <v>1424</v>
      </c>
      <c r="F17" s="26">
        <f>'数据-取费表'!B35</f>
        <v>200</v>
      </c>
      <c r="G17" s="1857"/>
      <c r="H17" s="1204" t="s">
        <v>1032</v>
      </c>
      <c r="I17" s="347" t="s">
        <v>1425</v>
      </c>
      <c r="J17" s="24">
        <f ca="1">ROUND(IF(项目基本情况!B11="自然人",J5*M17,J18+J19+J20),1)</f>
        <v>231.8</v>
      </c>
      <c r="K17" s="1803" t="s">
        <v>1426</v>
      </c>
      <c r="L17" s="1801" t="s">
        <v>1427</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1387</v>
      </c>
      <c r="B18" s="347" t="s">
        <v>1428</v>
      </c>
      <c r="C18" s="24">
        <f ca="1">ROUND(C14*F18,0)</f>
        <v>266</v>
      </c>
      <c r="D18" s="347" t="s">
        <v>1417</v>
      </c>
      <c r="E18" s="347" t="s">
        <v>1418</v>
      </c>
      <c r="F18" s="367">
        <f>'数据-取费表'!B36</f>
        <v>1.4999999999999999E-2</v>
      </c>
      <c r="G18" s="1857"/>
      <c r="H18" s="1204" t="s">
        <v>1031</v>
      </c>
      <c r="I18" s="347" t="s">
        <v>1429</v>
      </c>
      <c r="J18" s="24">
        <f ca="1">ROUND(J5*M18/(1+'数据-取费表'!C42),2)</f>
        <v>0</v>
      </c>
      <c r="K18" s="1801" t="s">
        <v>1430</v>
      </c>
      <c r="L18" s="347" t="s">
        <v>1418</v>
      </c>
      <c r="M18" s="367">
        <f>'数据-取费表'!B41</f>
        <v>5.5000000000000007E-2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1032</v>
      </c>
      <c r="B19" s="347" t="s">
        <v>1431</v>
      </c>
      <c r="C19" s="24">
        <f ca="1">SUM(C14:C18)</f>
        <v>19738</v>
      </c>
      <c r="D19" s="140" t="s">
        <v>1432</v>
      </c>
      <c r="E19" s="1821"/>
      <c r="F19" s="26"/>
      <c r="G19" s="1854"/>
      <c r="H19" s="1204" t="s">
        <v>1033</v>
      </c>
      <c r="I19" s="347" t="s">
        <v>1433</v>
      </c>
      <c r="J19" s="24">
        <f ca="1">IF(K19="按租金收入计税",ROUND(J5*M19,2),ROUND(C29*M19*0.7,2))</f>
        <v>219.27</v>
      </c>
      <c r="K19" s="1831" t="s">
        <v>1434</v>
      </c>
      <c r="L19" s="347" t="s">
        <v>1418</v>
      </c>
      <c r="M19" s="367">
        <f>IF(K19="按租金收入计税",'数据-取费表'!B51,'数据-取费表'!B50)</f>
        <v>1.2E-2</v>
      </c>
    </row>
    <row r="20" spans="1:37" s="1861" customFormat="1" ht="18" customHeight="1">
      <c r="A20" s="1204" t="s">
        <v>1036</v>
      </c>
      <c r="B20" s="347" t="s">
        <v>1435</v>
      </c>
      <c r="C20" s="24">
        <f ca="1">ROUND(C19*F20,0)</f>
        <v>395</v>
      </c>
      <c r="D20" s="369" t="s">
        <v>1436</v>
      </c>
      <c r="E20" s="347" t="s">
        <v>1418</v>
      </c>
      <c r="F20" s="367">
        <f>'数据-取费表'!B37</f>
        <v>0.02</v>
      </c>
      <c r="G20" s="1857"/>
      <c r="H20" s="1204" t="s">
        <v>1385</v>
      </c>
      <c r="I20" s="164" t="s">
        <v>1437</v>
      </c>
      <c r="J20" s="25">
        <f ca="1">ROUND(M20*M21/10000,2)</f>
        <v>12.54</v>
      </c>
      <c r="K20" s="370" t="s">
        <v>1438</v>
      </c>
      <c r="L20" s="347" t="s">
        <v>1439</v>
      </c>
      <c r="M20" s="371">
        <f>'数据-取费表'!B52</f>
        <v>3</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1072</v>
      </c>
      <c r="B21" s="347" t="s">
        <v>1440</v>
      </c>
      <c r="C21" s="24" t="s">
        <v>18</v>
      </c>
      <c r="D21" s="369" t="s">
        <v>1441</v>
      </c>
      <c r="E21" s="347" t="s">
        <v>1442</v>
      </c>
      <c r="F21" s="367">
        <f>'数据-取费表'!B38</f>
        <v>0.02</v>
      </c>
      <c r="G21" s="1857"/>
      <c r="H21" s="372"/>
      <c r="I21" s="356"/>
      <c r="J21" s="29"/>
      <c r="K21" s="373"/>
      <c r="L21" s="347" t="s">
        <v>1443</v>
      </c>
      <c r="M21" s="348">
        <f ca="1">INDIRECT("'数据-取费表'!r"&amp;$G$1)</f>
        <v>41795.31</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1388</v>
      </c>
      <c r="B22" s="347" t="s">
        <v>1444</v>
      </c>
      <c r="C22" s="24"/>
      <c r="D22" s="140" t="str">
        <f>IF(F23&lt;=1,"单利计息。","复利计息。")&amp;"建造成本、管理费用、销售费用产生的利息。"</f>
        <v>复利计息。建造成本、管理费用、销售费用产生的利息。</v>
      </c>
      <c r="E22" s="1821"/>
      <c r="F22" s="26"/>
      <c r="G22" s="1854"/>
      <c r="H22" s="1204" t="s">
        <v>1036</v>
      </c>
      <c r="I22" s="347" t="s">
        <v>1445</v>
      </c>
      <c r="J22" s="24">
        <f ca="1">ROUND(J14*M22,1)</f>
        <v>391.6</v>
      </c>
      <c r="K22" s="1801" t="s">
        <v>1446</v>
      </c>
      <c r="L22" s="347" t="s">
        <v>1418</v>
      </c>
      <c r="M22" s="374">
        <f ca="1">INDIRECT("'数据-取费表'!Ak"&amp;$G$1)</f>
        <v>1.4999999999999999E-2</v>
      </c>
    </row>
    <row r="23" spans="1:37" s="1861" customFormat="1" ht="18" customHeight="1">
      <c r="A23" s="1204" t="s">
        <v>1031</v>
      </c>
      <c r="B23" s="347" t="s">
        <v>1447</v>
      </c>
      <c r="C23" s="24">
        <f ca="1">IF('数据-取费表'!B22&lt;=1,ROUND(C19*F24*F23/2,0)+ROUND(C20*F24*F23/2,0),ROUND(C19*(POWER((1+F24),F23/2)-1),0)+ROUND(C20*(POWER((1+F24),F23/2)-1),0))</f>
        <v>957</v>
      </c>
      <c r="D23" s="375" t="str">
        <f>IF(F23&lt;=1,"(建造成本+管理费用)×利率×(建设周期÷2)","(建造成本+管理费用)×((1+利率)^(建设周期÷2)-1)")</f>
        <v>(建造成本+管理费用)×((1+利率)^(建设周期÷2)-1)</v>
      </c>
      <c r="E23" s="347" t="s">
        <v>1448</v>
      </c>
      <c r="F23" s="371">
        <f>'数据-取费表'!B20</f>
        <v>2</v>
      </c>
      <c r="G23" s="1857"/>
      <c r="H23" s="1204" t="s">
        <v>1072</v>
      </c>
      <c r="I23" s="347" t="s">
        <v>1449</v>
      </c>
      <c r="J23" s="24">
        <f ca="1">ROUND(J13*M23,1)</f>
        <v>0</v>
      </c>
      <c r="K23" s="1801" t="s">
        <v>1450</v>
      </c>
      <c r="L23" s="347" t="s">
        <v>1451</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7"/>
      <c r="H24" s="1342" t="s">
        <v>1389</v>
      </c>
      <c r="I24" s="1343" t="s">
        <v>1435</v>
      </c>
      <c r="J24" s="1344">
        <f ca="1">ROUND(J5*M24,1)</f>
        <v>0</v>
      </c>
      <c r="K24" s="1345" t="s">
        <v>1455</v>
      </c>
      <c r="L24" s="1343" t="s">
        <v>1451</v>
      </c>
      <c r="M24" s="1339">
        <f ca="1">INDIRECT("'数据-取费表'!Am"&amp;$G$1)</f>
        <v>0.01</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1456</v>
      </c>
      <c r="B25" s="347" t="s">
        <v>1457</v>
      </c>
      <c r="C25" s="24"/>
      <c r="D25" s="140" t="s">
        <v>1458</v>
      </c>
      <c r="E25" s="1821"/>
      <c r="F25" s="26"/>
      <c r="G25" s="1854"/>
      <c r="H25" s="1332" t="s">
        <v>1028</v>
      </c>
      <c r="I25" s="1347" t="s">
        <v>1459</v>
      </c>
      <c r="J25" s="355">
        <f ca="1">J5-J16</f>
        <v>-623</v>
      </c>
      <c r="K25" s="1348" t="s">
        <v>1460</v>
      </c>
      <c r="L25" s="1349"/>
      <c r="M25" s="1350"/>
    </row>
    <row r="26" spans="1:37">
      <c r="A26" s="1204" t="s">
        <v>1031</v>
      </c>
      <c r="B26" s="347" t="s">
        <v>1461</v>
      </c>
      <c r="C26" s="24">
        <f ca="1">ROUND((C19+C20)*F26,0)</f>
        <v>3020</v>
      </c>
      <c r="D26" s="369" t="s">
        <v>1462</v>
      </c>
      <c r="E26" s="358" t="s">
        <v>1463</v>
      </c>
      <c r="F26" s="357">
        <f ca="1">INDIRECT("'数据-取费表'!q"&amp;$G$1)</f>
        <v>0.15</v>
      </c>
      <c r="G26" s="1854"/>
      <c r="H26" s="344" t="s">
        <v>1029</v>
      </c>
      <c r="I26" s="345" t="s">
        <v>1464</v>
      </c>
      <c r="J26" s="346">
        <f ca="1">IF(J5&lt;&gt;0,ROUND(J25*(1-((1+M28)/(1+M26))^M27)/(M26-M28),0),0)</f>
        <v>0</v>
      </c>
      <c r="K26" s="370" t="s">
        <v>1465</v>
      </c>
      <c r="L26" s="347" t="s">
        <v>1466</v>
      </c>
      <c r="M26" s="357">
        <f ca="1">INDIRECT("'数据-取费表'!I"&amp;$G$1)</f>
        <v>0.05</v>
      </c>
    </row>
    <row r="27" spans="1:37" ht="18" customHeight="1">
      <c r="A27" s="1204" t="s">
        <v>1033</v>
      </c>
      <c r="B27" s="347" t="s">
        <v>1467</v>
      </c>
      <c r="C27" s="24">
        <f ca="1">ROUND(F21*F26,4)</f>
        <v>3.0000000000000001E-3</v>
      </c>
      <c r="D27" s="369" t="s">
        <v>1468</v>
      </c>
      <c r="E27" s="365"/>
      <c r="F27" s="366"/>
      <c r="G27" s="1854"/>
      <c r="H27" s="349"/>
      <c r="I27" s="350"/>
      <c r="J27" s="351"/>
      <c r="K27" s="378" t="s">
        <v>1469</v>
      </c>
      <c r="L27" s="347" t="s">
        <v>1470</v>
      </c>
      <c r="M27" s="379">
        <f ca="1">INDIRECT("'数据-取费表'!ag"&amp;$G$1)</f>
        <v>0</v>
      </c>
    </row>
    <row r="28" spans="1:37" s="1861" customFormat="1" ht="18" customHeight="1">
      <c r="A28" s="1204" t="s">
        <v>1034</v>
      </c>
      <c r="B28" s="347" t="s">
        <v>1471</v>
      </c>
      <c r="C28" s="24">
        <f>ROUND(F28/(1+'数据-取费表'!C42),4)</f>
        <v>5.2400000000000002E-2</v>
      </c>
      <c r="D28" s="369" t="s">
        <v>1472</v>
      </c>
      <c r="E28" s="347" t="s">
        <v>1418</v>
      </c>
      <c r="F28" s="367">
        <f>'数据-取费表'!B41</f>
        <v>5.5000000000000007E-2</v>
      </c>
      <c r="G28" s="1857"/>
      <c r="H28" s="353"/>
      <c r="I28" s="354"/>
      <c r="J28" s="355"/>
      <c r="K28" s="373"/>
      <c r="L28" s="347" t="s">
        <v>1473</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1035</v>
      </c>
      <c r="B29" s="1343" t="s">
        <v>1474</v>
      </c>
      <c r="C29" s="1344">
        <f ca="1">ROUND((C19+C20+C23+C26)/(1-F21-C24-C27-C28),0)</f>
        <v>26104</v>
      </c>
      <c r="D29" s="1345"/>
      <c r="E29" s="1343"/>
      <c r="F29" s="1346"/>
      <c r="G29" s="1857"/>
      <c r="H29" s="380" t="s">
        <v>1030</v>
      </c>
      <c r="I29" s="381" t="s">
        <v>1475</v>
      </c>
      <c r="J29" s="382">
        <f ca="1">ROUND(J26/(1+F40)^F41,0)</f>
        <v>0</v>
      </c>
      <c r="K29" s="383" t="s">
        <v>1476</v>
      </c>
      <c r="L29" s="384"/>
      <c r="M29" s="385">
        <f ca="1">INDIRECT("'数据-取费表'!k"&amp;$G$1)</f>
        <v>49469.919999999998</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1027</v>
      </c>
      <c r="B30" s="1333" t="s">
        <v>1420</v>
      </c>
      <c r="C30" s="355">
        <f ca="1">ROUND(C31+C36+C37+C38,0)</f>
        <v>1019</v>
      </c>
      <c r="D30" s="1340" t="s">
        <v>1421</v>
      </c>
      <c r="E30" s="1341"/>
      <c r="F30" s="1297"/>
      <c r="G30" s="1854"/>
      <c r="H30" s="745"/>
      <c r="I30" s="746"/>
      <c r="J30" s="747"/>
      <c r="K30" s="748"/>
      <c r="L30" s="749"/>
      <c r="M30" s="750"/>
    </row>
    <row r="31" spans="1:37" ht="18" customHeight="1">
      <c r="A31" s="1204" t="s">
        <v>1032</v>
      </c>
      <c r="B31" s="347" t="s">
        <v>1425</v>
      </c>
      <c r="C31" s="24">
        <f ca="1">ROUND(IF(项目基本情况!B11="自然人",C5*F31,C32+C33+C34),1)</f>
        <v>562.6</v>
      </c>
      <c r="D31" s="1803" t="s">
        <v>1426</v>
      </c>
      <c r="E31" s="1801" t="s">
        <v>1477</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1031</v>
      </c>
      <c r="B32" s="347" t="s">
        <v>1429</v>
      </c>
      <c r="C32" s="24">
        <f ca="1">IF(项目基本情况!B11="自然人","——",ROUND(C5*F32/(1+'数据-取费表'!C42),2))</f>
        <v>167.15</v>
      </c>
      <c r="D32" s="1801" t="s">
        <v>1430</v>
      </c>
      <c r="E32" s="347" t="s">
        <v>1418</v>
      </c>
      <c r="F32" s="377">
        <f>'数据-取费表'!B41</f>
        <v>5.5000000000000007E-2</v>
      </c>
      <c r="G32" s="1854"/>
      <c r="H32" s="745"/>
      <c r="I32" s="746"/>
      <c r="J32" s="747"/>
      <c r="K32" s="748"/>
      <c r="L32" s="749"/>
      <c r="M32" s="750"/>
    </row>
    <row r="33" spans="1:18" ht="18" customHeight="1">
      <c r="A33" s="1204" t="s">
        <v>1033</v>
      </c>
      <c r="B33" s="347" t="s">
        <v>1433</v>
      </c>
      <c r="C33" s="24">
        <f ca="1">IF(项目基本情况!B11="自然人","——",IF(D33="按租金收入计税",ROUND(C5*F33,2),IF(D33="按房产原值计税",ROUND(C29*F33*0.7,2),INDIRECT("'数据-取费表'!Aj"&amp;$G$1))))</f>
        <v>382.92</v>
      </c>
      <c r="D33" s="1831" t="s">
        <v>3087</v>
      </c>
      <c r="E33" s="347" t="s">
        <v>1418</v>
      </c>
      <c r="F33" s="367">
        <f>IF(D33="按票据","——",IF(D33="按租金收入计税",'数据-取费表'!B51,'数据-取费表'!B50))</f>
        <v>0.12</v>
      </c>
      <c r="G33" s="1854"/>
      <c r="H33" s="1862"/>
      <c r="I33" s="1863"/>
      <c r="J33" s="1864"/>
      <c r="K33" s="1865"/>
      <c r="L33" s="1862"/>
      <c r="M33" s="1862"/>
    </row>
    <row r="34" spans="1:18" ht="18" customHeight="1">
      <c r="A34" s="1294" t="s">
        <v>1385</v>
      </c>
      <c r="B34" s="164" t="s">
        <v>1437</v>
      </c>
      <c r="C34" s="25">
        <f ca="1">IF(项目基本情况!B11="自然人","——",ROUND(F34*F35/10000,2))</f>
        <v>12.54</v>
      </c>
      <c r="D34" s="370" t="s">
        <v>1438</v>
      </c>
      <c r="E34" s="347" t="s">
        <v>1439</v>
      </c>
      <c r="F34" s="371">
        <f>'数据-取费表'!B52</f>
        <v>3</v>
      </c>
      <c r="G34" s="1854"/>
      <c r="H34" s="745"/>
      <c r="I34" s="1863"/>
      <c r="J34" s="1864"/>
      <c r="K34" s="1866"/>
      <c r="L34" s="1867"/>
      <c r="M34" s="1867"/>
    </row>
    <row r="35" spans="1:18" ht="18" customHeight="1">
      <c r="A35" s="1356"/>
      <c r="B35" s="1354"/>
      <c r="C35" s="29"/>
      <c r="D35" s="373"/>
      <c r="E35" s="347" t="s">
        <v>1443</v>
      </c>
      <c r="F35" s="348">
        <f ca="1">INDIRECT("'数据-取费表'!r"&amp;$G$1)</f>
        <v>41795.31</v>
      </c>
      <c r="G35" s="1854"/>
      <c r="H35" s="745"/>
      <c r="I35" s="1863"/>
      <c r="J35" s="1864"/>
      <c r="K35" s="1865"/>
      <c r="L35" s="1862"/>
      <c r="M35" s="1862"/>
    </row>
    <row r="36" spans="1:18" ht="18" customHeight="1">
      <c r="A36" s="1355" t="s">
        <v>1036</v>
      </c>
      <c r="B36" s="347" t="s">
        <v>1445</v>
      </c>
      <c r="C36" s="24">
        <f ca="1">ROUND(C29*F36,1)</f>
        <v>391.6</v>
      </c>
      <c r="D36" s="1801" t="s">
        <v>1478</v>
      </c>
      <c r="E36" s="347" t="s">
        <v>1418</v>
      </c>
      <c r="F36" s="374">
        <f ca="1">INDIRECT("'数据-取费表'!Ak"&amp;$G$1)</f>
        <v>1.4999999999999999E-2</v>
      </c>
      <c r="G36" s="1854"/>
      <c r="H36" s="1862"/>
      <c r="I36" s="1863"/>
      <c r="J36" s="1864"/>
      <c r="K36" s="751"/>
      <c r="L36" s="1862"/>
      <c r="M36" s="1862"/>
    </row>
    <row r="37" spans="1:18" ht="18" customHeight="1">
      <c r="A37" s="1204" t="s">
        <v>1072</v>
      </c>
      <c r="B37" s="347" t="s">
        <v>1449</v>
      </c>
      <c r="C37" s="24">
        <f ca="1">ROUND(C13*F37,1)</f>
        <v>32.5</v>
      </c>
      <c r="D37" s="1801" t="s">
        <v>1450</v>
      </c>
      <c r="E37" s="347" t="s">
        <v>1451</v>
      </c>
      <c r="F37" s="376">
        <f ca="1">INDIRECT("'数据-取费表'!Al"&amp;$G$1)</f>
        <v>1.5E-3</v>
      </c>
      <c r="G37" s="1854"/>
      <c r="H37" s="1862"/>
      <c r="I37" s="1863"/>
      <c r="J37" s="1864"/>
      <c r="K37" s="751"/>
      <c r="L37" s="1862"/>
      <c r="M37" s="1862"/>
    </row>
    <row r="38" spans="1:18" ht="18" customHeight="1" thickBot="1">
      <c r="A38" s="1342" t="s">
        <v>1389</v>
      </c>
      <c r="B38" s="1343" t="s">
        <v>1435</v>
      </c>
      <c r="C38" s="1344">
        <f ca="1">ROUND(C5*F38,1)</f>
        <v>31.9</v>
      </c>
      <c r="D38" s="1345" t="s">
        <v>1455</v>
      </c>
      <c r="E38" s="1343" t="s">
        <v>1451</v>
      </c>
      <c r="F38" s="1339">
        <f ca="1">INDIRECT("'数据-取费表'!Am"&amp;$G$1)</f>
        <v>0.01</v>
      </c>
      <c r="G38" s="1854"/>
      <c r="H38" s="1862"/>
      <c r="I38" s="1863"/>
      <c r="J38" s="1864"/>
      <c r="K38" s="1868"/>
      <c r="L38" s="1862"/>
      <c r="M38" s="1862"/>
    </row>
    <row r="39" spans="1:18" ht="24.6" customHeight="1" thickTop="1">
      <c r="A39" s="1332" t="s">
        <v>1028</v>
      </c>
      <c r="B39" s="1347" t="s">
        <v>1479</v>
      </c>
      <c r="C39" s="355">
        <f ca="1">C5-C30</f>
        <v>2172</v>
      </c>
      <c r="D39" s="1348" t="s">
        <v>1480</v>
      </c>
      <c r="E39" s="1349"/>
      <c r="F39" s="1350"/>
      <c r="G39" s="1854"/>
      <c r="H39" s="1862"/>
      <c r="I39" s="1863"/>
      <c r="J39" s="1864"/>
      <c r="K39" s="1868"/>
      <c r="L39" s="1862"/>
      <c r="M39" s="1862"/>
    </row>
    <row r="40" spans="1:18" ht="18" customHeight="1">
      <c r="A40" s="344" t="s">
        <v>1029</v>
      </c>
      <c r="B40" s="345" t="s">
        <v>1481</v>
      </c>
      <c r="C40" s="346">
        <f ca="1">ROUND(C39*(1-((1+F42)/(1+F40))^F41)/(F40-F42),0)</f>
        <v>43289</v>
      </c>
      <c r="D40" s="370" t="s">
        <v>1465</v>
      </c>
      <c r="E40" s="347" t="s">
        <v>1466</v>
      </c>
      <c r="F40" s="357">
        <f ca="1">INDIRECT("'数据-取费表'!I"&amp;$G$1)</f>
        <v>0.05</v>
      </c>
      <c r="G40" s="1854"/>
      <c r="H40" s="1842"/>
      <c r="I40" s="1863"/>
      <c r="J40" s="1864"/>
      <c r="K40" s="1868"/>
      <c r="L40" s="1842"/>
      <c r="M40" s="1842"/>
    </row>
    <row r="41" spans="1:18" ht="18" customHeight="1">
      <c r="A41" s="349"/>
      <c r="B41" s="350"/>
      <c r="C41" s="351"/>
      <c r="D41" s="378" t="s">
        <v>1482</v>
      </c>
      <c r="E41" s="347" t="s">
        <v>1470</v>
      </c>
      <c r="F41" s="379">
        <f ca="1">IF(INDIRECT("'数据-取费表'!af"&amp;$G$1)=0,INDIRECT("'数据-取费表'!ae"&amp;$G$1),INDIRECT("'数据-取费表'!af"&amp;$G$1))</f>
        <v>31.43</v>
      </c>
      <c r="G41" s="1854"/>
      <c r="H41" s="732"/>
      <c r="I41" s="1863"/>
      <c r="J41" s="1864"/>
      <c r="K41" s="751"/>
      <c r="L41" s="732"/>
      <c r="M41" s="732"/>
    </row>
    <row r="42" spans="1:18" ht="18" customHeight="1">
      <c r="A42" s="353"/>
      <c r="B42" s="354"/>
      <c r="C42" s="355"/>
      <c r="D42" s="373"/>
      <c r="E42" s="347" t="s">
        <v>1473</v>
      </c>
      <c r="F42" s="357">
        <f ca="1">INDIRECT("'数据-取费表'!v"&amp;$G$1)</f>
        <v>0.02</v>
      </c>
      <c r="G42" s="1854"/>
      <c r="H42" s="732"/>
      <c r="I42" s="1863"/>
      <c r="J42" s="1864"/>
      <c r="K42" s="751"/>
      <c r="L42" s="732"/>
      <c r="M42" s="732"/>
    </row>
    <row r="43" spans="1:18" ht="18" customHeight="1" thickBot="1">
      <c r="A43" s="380" t="s">
        <v>1030</v>
      </c>
      <c r="B43" s="381" t="s">
        <v>1483</v>
      </c>
      <c r="C43" s="382">
        <f ca="1">ROUND(C40*10000/F43,0)</f>
        <v>8751</v>
      </c>
      <c r="D43" s="383" t="s">
        <v>1484</v>
      </c>
      <c r="E43" s="384" t="s">
        <v>1485</v>
      </c>
      <c r="F43" s="385">
        <f ca="1">INDIRECT("'数据-取费表'!k"&amp;$G$1)</f>
        <v>49469.919999999998</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1515</v>
      </c>
      <c r="P45" s="1842"/>
      <c r="Q45" s="1842"/>
      <c r="R45" s="1842"/>
    </row>
    <row r="46" spans="1:18" s="1845" customFormat="1" ht="13.5" thickBot="1">
      <c r="A46" s="1873" t="s">
        <v>1516</v>
      </c>
      <c r="C46" s="1874">
        <f ca="1">C68-C40</f>
        <v>-84523</v>
      </c>
      <c r="D46" s="1875" t="str">
        <f>C2</f>
        <v>万元</v>
      </c>
      <c r="E46" s="1869"/>
      <c r="F46" s="1869"/>
      <c r="I46" s="1876" t="s">
        <v>1517</v>
      </c>
      <c r="J46" s="1877"/>
      <c r="K46" s="1878"/>
      <c r="L46" s="1879" t="str">
        <f ca="1">IF(M47="住宅",0,IF(L48&gt;J51,L60,J60))</f>
        <v>0</v>
      </c>
      <c r="O46" s="1880" t="s">
        <v>1518</v>
      </c>
      <c r="P46" s="1881" t="s">
        <v>1519</v>
      </c>
      <c r="Q46" s="1882" t="s">
        <v>1520</v>
      </c>
      <c r="R46" s="1882" t="s">
        <v>1521</v>
      </c>
    </row>
    <row r="47" spans="1:18" s="1845" customFormat="1" ht="13.5" thickBot="1">
      <c r="A47" s="1168" t="s">
        <v>1392</v>
      </c>
      <c r="B47" s="1200" t="s">
        <v>1393</v>
      </c>
      <c r="C47" s="1370" t="s">
        <v>1394</v>
      </c>
      <c r="D47" s="1200" t="s">
        <v>1395</v>
      </c>
      <c r="E47" s="1282" t="s">
        <v>1396</v>
      </c>
      <c r="F47" s="1283"/>
      <c r="G47" s="792"/>
      <c r="I47" s="1883" t="s">
        <v>1522</v>
      </c>
      <c r="J47" s="1884" t="s">
        <v>3088</v>
      </c>
      <c r="K47" s="1885" t="s">
        <v>1523</v>
      </c>
      <c r="L47" s="1886">
        <f ca="1">INDIRECT("'数据-取费表'!d"&amp;$G$1)</f>
        <v>50</v>
      </c>
      <c r="M47" s="1841" t="str">
        <f>IF(ISNUMBER(FIND("住宅",C1)),"住宅","非住宅")</f>
        <v>非住宅</v>
      </c>
      <c r="O47" s="1887" t="s">
        <v>1037</v>
      </c>
      <c r="P47" s="1888" t="s">
        <v>1524</v>
      </c>
      <c r="Q47" s="1889">
        <f ca="1">C40+J29</f>
        <v>43289</v>
      </c>
      <c r="R47" s="1889" t="s">
        <v>1525</v>
      </c>
    </row>
    <row r="48" spans="1:18" s="1845" customFormat="1" ht="28.5" thickBot="1">
      <c r="A48" s="1363" t="s">
        <v>1132</v>
      </c>
      <c r="B48" s="345" t="s">
        <v>1397</v>
      </c>
      <c r="C48" s="1820">
        <f ca="1">C49+C53+C55</f>
        <v>0</v>
      </c>
      <c r="D48" s="1365"/>
      <c r="E48" s="1366"/>
      <c r="F48" s="1184"/>
      <c r="G48" s="792"/>
      <c r="H48" s="793"/>
      <c r="I48" s="1890" t="s">
        <v>1526</v>
      </c>
      <c r="J48" s="1891" t="s">
        <v>3089</v>
      </c>
      <c r="K48" s="1892" t="s">
        <v>1527</v>
      </c>
      <c r="L48" s="1893">
        <f ca="1">INDIRECT("'数据-取费表'!f"&amp;$G$1)</f>
        <v>31.43</v>
      </c>
      <c r="O48" s="1887" t="s">
        <v>1038</v>
      </c>
      <c r="P48" s="1888" t="s">
        <v>1528</v>
      </c>
      <c r="Q48" s="1889" t="str">
        <f ca="1">J60</f>
        <v>0</v>
      </c>
      <c r="R48" s="1889" t="s">
        <v>1529</v>
      </c>
    </row>
    <row r="49" spans="1:18" s="1845" customFormat="1" ht="13.5" thickBot="1">
      <c r="A49" s="1197" t="s">
        <v>1133</v>
      </c>
      <c r="B49" s="1832" t="s">
        <v>1486</v>
      </c>
      <c r="C49" s="1367">
        <f ca="1">ROUND(F49*F51*F50*(1-F52)/10000,0)</f>
        <v>0</v>
      </c>
      <c r="D49" s="1279" t="s">
        <v>3024</v>
      </c>
      <c r="E49" s="1833" t="s">
        <v>1487</v>
      </c>
      <c r="F49" s="1284"/>
      <c r="G49" s="1894"/>
      <c r="H49" s="793"/>
      <c r="I49" s="1890" t="s">
        <v>1530</v>
      </c>
      <c r="J49" s="1895">
        <v>2009</v>
      </c>
      <c r="K49" s="1892" t="s">
        <v>1531</v>
      </c>
      <c r="L49" s="1896"/>
      <c r="O49" s="1897" t="s">
        <v>1039</v>
      </c>
      <c r="P49" s="1888" t="s">
        <v>1532</v>
      </c>
      <c r="Q49" s="1889">
        <f ca="1">C29</f>
        <v>26104</v>
      </c>
      <c r="R49" s="1889" t="s">
        <v>1525</v>
      </c>
    </row>
    <row r="50" spans="1:18" s="1845" customFormat="1" ht="13.5" thickBot="1">
      <c r="A50" s="1198"/>
      <c r="B50" s="1201"/>
      <c r="C50" s="1371"/>
      <c r="D50" s="1175"/>
      <c r="E50" s="1280" t="s">
        <v>1402</v>
      </c>
      <c r="F50" s="1281">
        <f ca="1">F7</f>
        <v>48501.7</v>
      </c>
      <c r="H50" s="793"/>
      <c r="I50" s="1890" t="s">
        <v>1533</v>
      </c>
      <c r="J50" s="1898">
        <f>SUMPRODUCT((I63:I65=J47)*(J62:L62=J48)*(J63:L65))</f>
        <v>50</v>
      </c>
      <c r="K50" s="1892" t="s">
        <v>1534</v>
      </c>
      <c r="L50" s="1896"/>
      <c r="M50" s="1899"/>
      <c r="O50" s="1897" t="s">
        <v>1040</v>
      </c>
      <c r="P50" s="1888" t="s">
        <v>1535</v>
      </c>
      <c r="Q50" s="1900" t="e">
        <f ca="1">J58</f>
        <v>#VALUE!</v>
      </c>
      <c r="R50" s="1889"/>
    </row>
    <row r="51" spans="1:18" s="1845" customFormat="1" ht="13.5" thickBot="1">
      <c r="A51" s="1199"/>
      <c r="B51" s="1201"/>
      <c r="C51" s="1202"/>
      <c r="D51" s="1175"/>
      <c r="E51" s="1203" t="s">
        <v>1403</v>
      </c>
      <c r="F51" s="348">
        <f ca="1">F8</f>
        <v>365</v>
      </c>
      <c r="I51" s="1901" t="s">
        <v>1536</v>
      </c>
      <c r="J51" s="1902">
        <f>IF(J49="",J50,J49+J50-YEAR('数据-取费表'!B2))</f>
        <v>40</v>
      </c>
      <c r="K51" s="1903" t="s">
        <v>1537</v>
      </c>
      <c r="L51" s="1904">
        <f ca="1">ROUND(-PV(INDIRECT("'数据-取费表'!h"&amp;$G$1),L48,(C39-C13*C76),0),0)</f>
        <v>5852</v>
      </c>
      <c r="M51" s="1905"/>
      <c r="O51" s="1897" t="s">
        <v>1041</v>
      </c>
      <c r="P51" s="1888" t="s">
        <v>1538</v>
      </c>
      <c r="Q51" s="1900">
        <f>J52</f>
        <v>0.09</v>
      </c>
      <c r="R51" s="1889"/>
    </row>
    <row r="52" spans="1:18" s="1845" customFormat="1" ht="13.5" thickBot="1">
      <c r="A52" s="1199"/>
      <c r="B52" s="1201"/>
      <c r="C52" s="1202"/>
      <c r="D52" s="1175"/>
      <c r="E52" s="1203" t="s">
        <v>1404</v>
      </c>
      <c r="F52" s="1278"/>
      <c r="I52" s="1906" t="s">
        <v>1539</v>
      </c>
      <c r="J52" s="1907">
        <v>0.09</v>
      </c>
      <c r="K52" s="1906" t="s">
        <v>1540</v>
      </c>
      <c r="L52" s="1907"/>
      <c r="O52" s="1897" t="s">
        <v>1042</v>
      </c>
      <c r="P52" s="1888" t="s">
        <v>1541</v>
      </c>
      <c r="Q52" s="1889">
        <f ca="1">J53</f>
        <v>31.43</v>
      </c>
      <c r="R52" s="1889" t="s">
        <v>1542</v>
      </c>
    </row>
    <row r="53" spans="1:18" s="1845" customFormat="1" ht="24.75" thickBot="1">
      <c r="A53" s="1408" t="s">
        <v>1134</v>
      </c>
      <c r="B53" s="1834" t="s">
        <v>1405</v>
      </c>
      <c r="C53" s="361">
        <f ca="1">ROUND(IF(F53="押一",C49/12*F11,IF(F53="押二",C49/12*2*F11,IF(F53="押三",C49/12*3*F11,C54*F11))),0)</f>
        <v>0</v>
      </c>
      <c r="D53" s="1827" t="s">
        <v>3031</v>
      </c>
      <c r="E53" s="358" t="s">
        <v>1406</v>
      </c>
      <c r="F53" s="1369"/>
      <c r="I53" s="1908" t="s">
        <v>1543</v>
      </c>
      <c r="J53" s="1909">
        <f ca="1">IF(M47="住宅",IF(D1="——",MAX(J51,L48),IF(D1="在建（套用方法）",MAX(J51,L48-'数据-取费表'!B24),MAX(J51,L48-'数据-取费表'!B20))),IF(D1="——",MIN(J51,L48),IF(D1="在建（套用方法）",MIN(J51,L48-'数据-取费表'!B24),IF(D1="土地（套用方法）",MIN(J51,L48-'数据-取费表'!B20)))))</f>
        <v>31.43</v>
      </c>
      <c r="K53" s="3185" t="s">
        <v>1544</v>
      </c>
      <c r="L53" s="3186"/>
      <c r="O53" s="1887" t="s">
        <v>1043</v>
      </c>
      <c r="P53" s="1888" t="s">
        <v>1545</v>
      </c>
      <c r="Q53" s="1889">
        <f ca="1">Q47+Q48</f>
        <v>43289</v>
      </c>
      <c r="R53" s="1889" t="s">
        <v>1044</v>
      </c>
    </row>
    <row r="54" spans="1:18" s="1845" customFormat="1" ht="13.5" thickBot="1">
      <c r="A54" s="1409"/>
      <c r="B54" s="1828" t="s">
        <v>1384</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1546</v>
      </c>
      <c r="P54" s="1842"/>
      <c r="Q54" s="1842"/>
      <c r="R54" s="1842"/>
    </row>
    <row r="55" spans="1:18" s="1845" customFormat="1" ht="13.5" thickBot="1">
      <c r="A55" s="1336" t="s">
        <v>1072</v>
      </c>
      <c r="B55" s="1830" t="s">
        <v>1409</v>
      </c>
      <c r="C55" s="1337"/>
      <c r="D55" s="1827"/>
      <c r="E55" s="1835"/>
      <c r="F55" s="1910"/>
      <c r="I55" s="1913" t="s">
        <v>1547</v>
      </c>
      <c r="J55" s="1914" t="e">
        <f ca="1">ROUND(IF(J47="钢混",J57/J50,1-(1-2%)*(J50-J57)/J50),3)</f>
        <v>#VALUE!</v>
      </c>
      <c r="K55" s="1915" t="s">
        <v>1548</v>
      </c>
      <c r="L55" s="1916" t="s">
        <v>1549</v>
      </c>
      <c r="O55" s="1880" t="s">
        <v>1518</v>
      </c>
      <c r="P55" s="1881" t="s">
        <v>1519</v>
      </c>
      <c r="Q55" s="1882" t="s">
        <v>1520</v>
      </c>
      <c r="R55" s="1882" t="s">
        <v>1521</v>
      </c>
    </row>
    <row r="56" spans="1:18" s="1845" customFormat="1" ht="25.5" thickTop="1" thickBot="1">
      <c r="A56" s="1179">
        <v>2</v>
      </c>
      <c r="B56" s="1180" t="s">
        <v>1410</v>
      </c>
      <c r="C56" s="276">
        <f ca="1">C13</f>
        <v>21666</v>
      </c>
      <c r="D56" s="1917"/>
      <c r="E56" s="1918"/>
      <c r="F56" s="1910"/>
      <c r="I56" s="1919" t="s">
        <v>1550</v>
      </c>
      <c r="J56" s="1920" t="s">
        <v>3058</v>
      </c>
      <c r="K56" s="1890" t="s">
        <v>1551</v>
      </c>
      <c r="L56" s="1893" t="str">
        <f ca="1">IF(L48&lt;J51,"——",L48-J53)</f>
        <v>——</v>
      </c>
      <c r="O56" s="1887" t="s">
        <v>1037</v>
      </c>
      <c r="P56" s="1888" t="s">
        <v>1524</v>
      </c>
      <c r="Q56" s="1889">
        <f ca="1">C40+J29</f>
        <v>43289</v>
      </c>
      <c r="R56" s="1889" t="s">
        <v>1525</v>
      </c>
    </row>
    <row r="57" spans="1:18" s="1845" customFormat="1" ht="24.75" thickBot="1">
      <c r="A57" s="1921"/>
      <c r="B57" s="1172" t="s">
        <v>1474</v>
      </c>
      <c r="C57" s="282">
        <f ca="1">C29</f>
        <v>26104</v>
      </c>
      <c r="D57" s="1922"/>
      <c r="E57" s="1923"/>
      <c r="F57" s="1924"/>
      <c r="I57" s="1925" t="s">
        <v>1552</v>
      </c>
      <c r="J57" s="1926" t="str">
        <f ca="1">IF(OR(M47="住宅",J51&lt;L48,J56="是"),"——",J51-L48)</f>
        <v>——</v>
      </c>
      <c r="K57" s="1890" t="s">
        <v>1553</v>
      </c>
      <c r="L57" s="1893" t="str">
        <f ca="1">IF(L48&lt;J51,"——",IF(L55="比较法",L49,IF(L55="基准地价",L50,L51)))</f>
        <v>——</v>
      </c>
      <c r="O57" s="1887" t="s">
        <v>1038</v>
      </c>
      <c r="P57" s="1888" t="s">
        <v>1554</v>
      </c>
      <c r="Q57" s="1889">
        <f ca="1">L60</f>
        <v>0</v>
      </c>
      <c r="R57" s="1889" t="s">
        <v>1555</v>
      </c>
    </row>
    <row r="58" spans="1:18" s="1845" customFormat="1" ht="24.75" thickBot="1">
      <c r="A58" s="360" t="s">
        <v>1027</v>
      </c>
      <c r="B58" s="1180" t="s">
        <v>1420</v>
      </c>
      <c r="C58" s="361">
        <f ca="1">ROUND(C59+C64+C65+C66,0)</f>
        <v>2629</v>
      </c>
      <c r="D58" s="1182" t="s">
        <v>1421</v>
      </c>
      <c r="E58" s="1183"/>
      <c r="F58" s="1184"/>
      <c r="I58" s="1925" t="s">
        <v>1556</v>
      </c>
      <c r="J58" s="1927" t="e">
        <f ca="1">IF(J55&lt;0.4,0.4,J55)</f>
        <v>#VALUE!</v>
      </c>
      <c r="K58" s="1903" t="s">
        <v>1557</v>
      </c>
      <c r="L58" s="1893" t="e">
        <f ca="1">ROUND(POWER(1+L52,L47-L48)*(POWER(1+L52,L48)-1)/(POWER(1+L52,L47)-1),4)</f>
        <v>#DIV/0!</v>
      </c>
      <c r="O58" s="1897" t="s">
        <v>1039</v>
      </c>
      <c r="P58" s="1888" t="s">
        <v>1558</v>
      </c>
      <c r="Q58" s="1889">
        <f>IF(L55="比较法",L49,IF(L55="基准地价",L50,0))</f>
        <v>0</v>
      </c>
      <c r="R58" s="1889" t="s">
        <v>1525</v>
      </c>
    </row>
    <row r="59" spans="1:18" s="1845" customFormat="1" ht="24.75" thickBot="1">
      <c r="A59" s="1204" t="s">
        <v>1032</v>
      </c>
      <c r="B59" s="1172" t="s">
        <v>1425</v>
      </c>
      <c r="C59" s="24">
        <f ca="1">ROUND(IF(项目基本情况!B11="自然人",C48*F59,C60+C61+C62),1)</f>
        <v>2205.3000000000002</v>
      </c>
      <c r="D59" s="1185" t="s">
        <v>1426</v>
      </c>
      <c r="E59" s="1186" t="s">
        <v>1427</v>
      </c>
      <c r="F59" s="368" t="str">
        <f ca="1">IF(项目基本情况!B11="企业","",IF(INDIRECT("'数据-取费表'!c"&amp;$G$1)="住宅",5%,IF(F49*F50*F51/12/(1+'数据-取费表'!C42)&gt;20000,12%,7%)))</f>
        <v/>
      </c>
      <c r="I59" s="1925" t="s">
        <v>1559</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1040</v>
      </c>
      <c r="P59" s="1888" t="s">
        <v>1560</v>
      </c>
      <c r="Q59" s="1900">
        <f>L52</f>
        <v>0</v>
      </c>
      <c r="R59" s="1889"/>
    </row>
    <row r="60" spans="1:18" s="1845" customFormat="1" ht="16.5" thickBot="1">
      <c r="A60" s="1204" t="s">
        <v>1031</v>
      </c>
      <c r="B60" s="1172" t="s">
        <v>1429</v>
      </c>
      <c r="C60" s="24">
        <f ca="1">IF(项目基本情况!B11="自然人","——",ROUND(C48*F60/(1+'数据-取费表'!C42),2))</f>
        <v>0</v>
      </c>
      <c r="D60" s="1186" t="s">
        <v>1430</v>
      </c>
      <c r="E60" s="1172" t="s">
        <v>1418</v>
      </c>
      <c r="F60" s="377">
        <f t="shared" ref="F60:F66" si="0">F32</f>
        <v>5.5000000000000007E-2</v>
      </c>
      <c r="I60" s="1928" t="s">
        <v>1561</v>
      </c>
      <c r="J60" s="1929" t="str">
        <f ca="1">IF(OR(M47="住宅",J51&lt;L48,J56="是"),"0",ROUND(J59/(1+J52)^J53,0))</f>
        <v>0</v>
      </c>
      <c r="K60" s="1930" t="s">
        <v>1562</v>
      </c>
      <c r="L60" s="1929">
        <f ca="1">IF(OR(M47="住宅",L48&lt;J51),0,ROUND(L57*(L58/L59-1),0))</f>
        <v>0</v>
      </c>
      <c r="O60" s="1897" t="s">
        <v>1041</v>
      </c>
      <c r="P60" s="1888" t="s">
        <v>1563</v>
      </c>
      <c r="Q60" s="1889" t="e">
        <f ca="1">L58</f>
        <v>#DIV/0!</v>
      </c>
      <c r="R60" s="1889" t="s">
        <v>1564</v>
      </c>
    </row>
    <row r="61" spans="1:18" s="1845" customFormat="1" ht="13.5" thickBot="1">
      <c r="A61" s="1204" t="s">
        <v>1488</v>
      </c>
      <c r="B61" s="1172" t="s">
        <v>1489</v>
      </c>
      <c r="C61" s="24">
        <f ca="1">IF(项目基本情况!B11="自然人","——",IF(D61="按租金收入计税",ROUND(C48*F61,2),IF(D61="按房产原值计税",ROUND(C57*F61*0.7,2),INDIRECT("'数据-取费表'!Aj"&amp;$G$1))))</f>
        <v>2192.7399999999998</v>
      </c>
      <c r="D61" s="1831" t="s">
        <v>1434</v>
      </c>
      <c r="E61" s="1172" t="s">
        <v>1490</v>
      </c>
      <c r="F61" s="367">
        <f t="shared" si="0"/>
        <v>0.12</v>
      </c>
      <c r="I61" s="1931"/>
      <c r="J61" s="1931"/>
      <c r="K61" s="1931"/>
      <c r="L61" s="1931"/>
      <c r="O61" s="1897" t="s">
        <v>1042</v>
      </c>
      <c r="P61" s="1888" t="str">
        <f>K59</f>
        <v>建筑物剩余耐用年限下的土地年期修正系数Kn</v>
      </c>
      <c r="Q61" s="1889" t="e">
        <f ca="1">L59</f>
        <v>#DIV/0!</v>
      </c>
      <c r="R61" s="1889" t="s">
        <v>1565</v>
      </c>
    </row>
    <row r="62" spans="1:18" s="1845" customFormat="1" ht="13.5" thickBot="1">
      <c r="A62" s="1204" t="s">
        <v>1491</v>
      </c>
      <c r="B62" s="1171" t="s">
        <v>1492</v>
      </c>
      <c r="C62" s="25">
        <f ca="1">IF(项目基本情况!B11="自然人","——",ROUND(F62*F63/10000,2))</f>
        <v>12.54</v>
      </c>
      <c r="D62" s="1187" t="s">
        <v>1493</v>
      </c>
      <c r="E62" s="1172" t="s">
        <v>1494</v>
      </c>
      <c r="F62" s="371">
        <f t="shared" si="0"/>
        <v>3</v>
      </c>
      <c r="I62" s="1932" t="s">
        <v>1566</v>
      </c>
      <c r="J62" s="1933" t="s">
        <v>1567</v>
      </c>
      <c r="K62" s="1933" t="s">
        <v>1568</v>
      </c>
      <c r="L62" s="1933" t="s">
        <v>1569</v>
      </c>
      <c r="M62" s="1934" t="s">
        <v>1570</v>
      </c>
      <c r="O62" s="1887" t="s">
        <v>1043</v>
      </c>
      <c r="P62" s="1888" t="s">
        <v>1571</v>
      </c>
      <c r="Q62" s="1889">
        <f ca="1">Q56+Q57</f>
        <v>43289</v>
      </c>
      <c r="R62" s="1889" t="s">
        <v>1044</v>
      </c>
    </row>
    <row r="63" spans="1:18" s="1845" customFormat="1" ht="13.5" thickBot="1">
      <c r="A63" s="372"/>
      <c r="B63" s="1178"/>
      <c r="C63" s="29"/>
      <c r="D63" s="1188"/>
      <c r="E63" s="1172" t="s">
        <v>1495</v>
      </c>
      <c r="F63" s="348">
        <f t="shared" ca="1" si="0"/>
        <v>41795.31</v>
      </c>
      <c r="I63" s="1932" t="s">
        <v>1572</v>
      </c>
      <c r="J63" s="1933">
        <v>70</v>
      </c>
      <c r="K63" s="1933">
        <v>50</v>
      </c>
      <c r="L63" s="1933">
        <v>80</v>
      </c>
      <c r="M63" s="1935">
        <v>0.02</v>
      </c>
      <c r="O63" s="1872" t="s">
        <v>1573</v>
      </c>
      <c r="P63" s="1842"/>
      <c r="Q63" s="1842"/>
      <c r="R63" s="1842"/>
    </row>
    <row r="64" spans="1:18" s="1845" customFormat="1" ht="13.5" thickBot="1">
      <c r="A64" s="1204" t="s">
        <v>1496</v>
      </c>
      <c r="B64" s="1172" t="s">
        <v>1497</v>
      </c>
      <c r="C64" s="24">
        <f ca="1">ROUND(C57*F64,1)</f>
        <v>391.6</v>
      </c>
      <c r="D64" s="1186" t="s">
        <v>1498</v>
      </c>
      <c r="E64" s="1172" t="s">
        <v>1490</v>
      </c>
      <c r="F64" s="374">
        <f t="shared" ca="1" si="0"/>
        <v>1.4999999999999999E-2</v>
      </c>
      <c r="I64" s="1932" t="s">
        <v>1574</v>
      </c>
      <c r="J64" s="1933">
        <v>50</v>
      </c>
      <c r="K64" s="1933">
        <v>35</v>
      </c>
      <c r="L64" s="1933">
        <v>60</v>
      </c>
      <c r="M64" s="1934">
        <v>0</v>
      </c>
      <c r="O64" s="1880" t="s">
        <v>1518</v>
      </c>
      <c r="P64" s="1881" t="s">
        <v>1519</v>
      </c>
      <c r="Q64" s="1882" t="s">
        <v>1520</v>
      </c>
      <c r="R64" s="1882" t="s">
        <v>1521</v>
      </c>
    </row>
    <row r="65" spans="1:18" s="1845" customFormat="1" ht="13.5" thickBot="1">
      <c r="A65" s="1204" t="s">
        <v>1499</v>
      </c>
      <c r="B65" s="1172" t="s">
        <v>1449</v>
      </c>
      <c r="C65" s="24">
        <f ca="1">ROUND(C56*F65,1)</f>
        <v>32.5</v>
      </c>
      <c r="D65" s="1186" t="s">
        <v>1450</v>
      </c>
      <c r="E65" s="1172" t="s">
        <v>1451</v>
      </c>
      <c r="F65" s="376">
        <f t="shared" ca="1" si="0"/>
        <v>1.5E-3</v>
      </c>
      <c r="I65" s="1932" t="s">
        <v>1575</v>
      </c>
      <c r="J65" s="1933">
        <v>40</v>
      </c>
      <c r="K65" s="1933">
        <v>30</v>
      </c>
      <c r="L65" s="1933">
        <v>50</v>
      </c>
      <c r="M65" s="1935">
        <v>0.02</v>
      </c>
      <c r="O65" s="1887" t="s">
        <v>1037</v>
      </c>
      <c r="P65" s="1888" t="s">
        <v>1576</v>
      </c>
      <c r="Q65" s="1889">
        <f ca="1">C40+J29</f>
        <v>43289</v>
      </c>
      <c r="R65" s="1889" t="s">
        <v>1525</v>
      </c>
    </row>
    <row r="66" spans="1:18" s="1845" customFormat="1" ht="16.5" thickBot="1">
      <c r="A66" s="1204" t="s">
        <v>1500</v>
      </c>
      <c r="B66" s="1172" t="s">
        <v>1435</v>
      </c>
      <c r="C66" s="24">
        <f ca="1">ROUND(C48*F66,1)</f>
        <v>0</v>
      </c>
      <c r="D66" s="1186" t="s">
        <v>1501</v>
      </c>
      <c r="E66" s="1172" t="s">
        <v>1418</v>
      </c>
      <c r="F66" s="357">
        <f t="shared" ca="1" si="0"/>
        <v>0.01</v>
      </c>
      <c r="O66" s="1887" t="s">
        <v>1038</v>
      </c>
      <c r="P66" s="1888" t="s">
        <v>1554</v>
      </c>
      <c r="Q66" s="1889">
        <f ca="1">L60</f>
        <v>0</v>
      </c>
      <c r="R66" s="1889" t="s">
        <v>1577</v>
      </c>
    </row>
    <row r="67" spans="1:18" s="1845" customFormat="1" ht="16.5" thickBot="1">
      <c r="A67" s="1179" t="s">
        <v>1028</v>
      </c>
      <c r="B67" s="1189" t="s">
        <v>1459</v>
      </c>
      <c r="C67" s="361">
        <f ca="1">C48-C58</f>
        <v>-2629</v>
      </c>
      <c r="D67" s="1185" t="s">
        <v>1460</v>
      </c>
      <c r="E67" s="1190"/>
      <c r="F67" s="1191"/>
      <c r="O67" s="1897" t="s">
        <v>1039</v>
      </c>
      <c r="P67" s="1888" t="s">
        <v>1558</v>
      </c>
      <c r="Q67" s="1936">
        <f ca="1">L51</f>
        <v>5852</v>
      </c>
      <c r="R67" s="1889" t="s">
        <v>1578</v>
      </c>
    </row>
    <row r="68" spans="1:18" s="1845" customFormat="1" ht="16.5" thickBot="1">
      <c r="A68" s="1169" t="s">
        <v>1029</v>
      </c>
      <c r="B68" s="1170" t="s">
        <v>1481</v>
      </c>
      <c r="C68" s="346">
        <f ca="1">ROUND(C67*(1-((1+F70)/(1+F68))^F69)/(F68-F70),0)</f>
        <v>-41234</v>
      </c>
      <c r="D68" s="1187" t="s">
        <v>1465</v>
      </c>
      <c r="E68" s="1172" t="s">
        <v>1466</v>
      </c>
      <c r="F68" s="357">
        <f ca="1">F40</f>
        <v>0.05</v>
      </c>
      <c r="O68" s="1897" t="s">
        <v>1040</v>
      </c>
      <c r="P68" s="1937" t="s">
        <v>1579</v>
      </c>
      <c r="Q68" s="1889">
        <f ca="1">ROUND(Q69-Q70*Q71,0)</f>
        <v>330</v>
      </c>
      <c r="R68" s="1889" t="s">
        <v>1048</v>
      </c>
    </row>
    <row r="69" spans="1:18" s="1845" customFormat="1" ht="13.5" thickBot="1">
      <c r="A69" s="1173"/>
      <c r="B69" s="1174"/>
      <c r="C69" s="351"/>
      <c r="D69" s="1192" t="s">
        <v>1469</v>
      </c>
      <c r="E69" s="1172" t="s">
        <v>1470</v>
      </c>
      <c r="F69" s="379">
        <f ca="1">F41</f>
        <v>31.43</v>
      </c>
      <c r="O69" s="1897" t="s">
        <v>1045</v>
      </c>
      <c r="P69" s="1937" t="s">
        <v>1580</v>
      </c>
      <c r="Q69" s="1889">
        <f ca="1">C39</f>
        <v>2172</v>
      </c>
      <c r="R69" s="1889" t="s">
        <v>1525</v>
      </c>
    </row>
    <row r="70" spans="1:18" s="1845" customFormat="1" ht="13.5" thickBot="1">
      <c r="A70" s="1176"/>
      <c r="B70" s="1177"/>
      <c r="C70" s="355"/>
      <c r="D70" s="1188"/>
      <c r="E70" s="1172" t="s">
        <v>1473</v>
      </c>
      <c r="F70" s="1278"/>
      <c r="O70" s="1897" t="s">
        <v>1046</v>
      </c>
      <c r="P70" s="1937" t="s">
        <v>1581</v>
      </c>
      <c r="Q70" s="1889">
        <f ca="1">C13</f>
        <v>21666</v>
      </c>
      <c r="R70" s="1889" t="s">
        <v>1525</v>
      </c>
    </row>
    <row r="71" spans="1:18" s="1845" customFormat="1" ht="13.5" thickBot="1">
      <c r="A71" s="1193" t="s">
        <v>1030</v>
      </c>
      <c r="B71" s="1194" t="s">
        <v>1483</v>
      </c>
      <c r="C71" s="382">
        <f ca="1">ROUND(C68*10000/F71,0)</f>
        <v>-8335</v>
      </c>
      <c r="D71" s="1195" t="s">
        <v>1484</v>
      </c>
      <c r="E71" s="1196" t="s">
        <v>1485</v>
      </c>
      <c r="F71" s="385">
        <f ca="1">F43</f>
        <v>49469.919999999998</v>
      </c>
      <c r="O71" s="1897" t="s">
        <v>1047</v>
      </c>
      <c r="P71" s="1937" t="s">
        <v>1582</v>
      </c>
      <c r="Q71" s="1900">
        <f ca="1">C76</f>
        <v>8.5000000000000006E-2</v>
      </c>
      <c r="R71" s="1889"/>
    </row>
    <row r="72" spans="1:18" s="1845" customFormat="1" ht="13.5" thickBot="1">
      <c r="B72" s="796"/>
      <c r="C72" s="796"/>
      <c r="O72" s="1897" t="s">
        <v>1041</v>
      </c>
      <c r="P72" s="1888" t="s">
        <v>1560</v>
      </c>
      <c r="Q72" s="1900">
        <f>L52</f>
        <v>0</v>
      </c>
      <c r="R72" s="1889"/>
    </row>
    <row r="73" spans="1:18" ht="16.5" thickBot="1">
      <c r="A73" s="1845"/>
      <c r="B73" s="796"/>
      <c r="C73" s="796"/>
      <c r="D73" s="1845"/>
      <c r="E73" s="1845"/>
      <c r="F73" s="1845"/>
      <c r="O73" s="1897" t="s">
        <v>1042</v>
      </c>
      <c r="P73" s="1888" t="s">
        <v>1563</v>
      </c>
      <c r="Q73" s="1889" t="e">
        <f ca="1">L58</f>
        <v>#DIV/0!</v>
      </c>
      <c r="R73" s="1889" t="s">
        <v>1564</v>
      </c>
    </row>
    <row r="74" spans="1:18" ht="13.5" thickBot="1">
      <c r="A74" s="1845"/>
      <c r="B74" s="317" t="s">
        <v>1583</v>
      </c>
      <c r="C74" s="1939"/>
      <c r="D74" s="1845"/>
      <c r="E74" s="1845"/>
      <c r="F74" s="1845"/>
      <c r="O74" s="1897" t="s">
        <v>1049</v>
      </c>
      <c r="P74" s="1888" t="str">
        <f>K59</f>
        <v>建筑物剩余耐用年限下的土地年期修正系数Kn</v>
      </c>
      <c r="Q74" s="1889" t="e">
        <f ca="1">L59</f>
        <v>#DIV/0!</v>
      </c>
      <c r="R74" s="1889" t="s">
        <v>1565</v>
      </c>
    </row>
    <row r="75" spans="1:18" ht="13.5" thickBot="1">
      <c r="A75" s="1845"/>
      <c r="B75" s="386" t="s">
        <v>1502</v>
      </c>
      <c r="C75" s="387">
        <f ca="1">ROUND(C13*C76,0)</f>
        <v>1842</v>
      </c>
      <c r="D75" s="1845"/>
      <c r="E75" s="1845"/>
      <c r="F75" s="1845"/>
      <c r="K75" s="1871"/>
      <c r="L75" s="1845"/>
      <c r="O75" s="1887" t="s">
        <v>1043</v>
      </c>
      <c r="P75" s="1888" t="s">
        <v>1545</v>
      </c>
      <c r="Q75" s="1889">
        <f ca="1">Q65+Q66</f>
        <v>43289</v>
      </c>
      <c r="R75" s="1889" t="s">
        <v>1044</v>
      </c>
    </row>
    <row r="76" spans="1:18">
      <c r="B76" s="388" t="s">
        <v>1503</v>
      </c>
      <c r="C76" s="389">
        <f ca="1">INDIRECT("'数据-取费表'!j"&amp;$G$1)</f>
        <v>8.5000000000000006E-2</v>
      </c>
      <c r="I76" s="1845"/>
      <c r="J76" s="1845"/>
      <c r="K76" s="1871"/>
      <c r="L76" s="1845"/>
    </row>
    <row r="77" spans="1:18">
      <c r="B77" s="390" t="s">
        <v>1504</v>
      </c>
      <c r="C77" s="391"/>
      <c r="I77" s="1845"/>
      <c r="J77" s="1845"/>
      <c r="K77" s="1871"/>
      <c r="L77" s="1845"/>
    </row>
    <row r="78" spans="1:18">
      <c r="B78" s="314" t="s">
        <v>1505</v>
      </c>
      <c r="C78" s="392"/>
    </row>
    <row r="79" spans="1:18">
      <c r="B79" s="386" t="s">
        <v>1506</v>
      </c>
      <c r="C79" s="318">
        <f ca="1">1-C80</f>
        <v>0.15200000000000002</v>
      </c>
    </row>
    <row r="80" spans="1:18">
      <c r="B80" s="386" t="s">
        <v>1507</v>
      </c>
      <c r="C80" s="318">
        <f ca="1">ROUND(C75/C39,3)</f>
        <v>0.84799999999999998</v>
      </c>
    </row>
    <row r="81" spans="2:3">
      <c r="B81" s="314" t="s">
        <v>1508</v>
      </c>
      <c r="C81" s="282"/>
    </row>
    <row r="82" spans="2:3">
      <c r="B82" s="317" t="s">
        <v>1509</v>
      </c>
      <c r="C82" s="319">
        <f ca="1">1-C83</f>
        <v>0.5</v>
      </c>
    </row>
    <row r="83" spans="2:3">
      <c r="B83" s="317" t="s">
        <v>1510</v>
      </c>
      <c r="C83" s="318">
        <f ca="1">ROUND(C13/C40,3)</f>
        <v>0.5</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AN6" sqref="AN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1585</v>
      </c>
      <c r="B1" s="782"/>
      <c r="C1" s="1840"/>
      <c r="D1" s="1823"/>
      <c r="E1" s="1824" t="s">
        <v>1383</v>
      </c>
      <c r="F1" s="1286" t="b">
        <f>J53</f>
        <v>0</v>
      </c>
      <c r="G1" s="1839">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1586</v>
      </c>
      <c r="B2" s="1847" t="e">
        <f ca="1">ROUND(D2/10000,0)</f>
        <v>#DIV/0!</v>
      </c>
      <c r="C2" s="1848" t="s">
        <v>1587</v>
      </c>
      <c r="D2" s="1941" t="e">
        <f ca="1">C40+J29+L46</f>
        <v>#DIV/0!</v>
      </c>
      <c r="E2" s="1849" t="s">
        <v>1588</v>
      </c>
      <c r="F2" s="1850"/>
      <c r="G2" s="1851"/>
      <c r="H2" s="1843"/>
      <c r="I2" s="1843"/>
      <c r="J2" s="1843"/>
      <c r="K2" s="1844"/>
      <c r="L2" s="1843"/>
      <c r="M2" s="1843"/>
    </row>
    <row r="3" spans="1:37" ht="18" customHeight="1" thickBot="1">
      <c r="A3" s="1852" t="s">
        <v>1589</v>
      </c>
      <c r="B3" s="1853">
        <f ca="1">IF(ISERROR(D2/F43),0,ROUND(D2/F43,0))</f>
        <v>0</v>
      </c>
      <c r="C3" s="1848" t="s">
        <v>1590</v>
      </c>
      <c r="D3" s="1848"/>
      <c r="E3" s="1849"/>
      <c r="F3" s="1850"/>
      <c r="G3" s="1851"/>
      <c r="H3" s="744" t="s">
        <v>1584</v>
      </c>
      <c r="I3" s="1843"/>
      <c r="J3" s="1843"/>
      <c r="K3" s="1844"/>
      <c r="L3" s="1843"/>
      <c r="M3" s="1843"/>
    </row>
    <row r="4" spans="1:37" ht="18" customHeight="1">
      <c r="A4" s="340" t="s">
        <v>1591</v>
      </c>
      <c r="B4" s="341" t="s">
        <v>1592</v>
      </c>
      <c r="C4" s="341" t="s">
        <v>1593</v>
      </c>
      <c r="D4" s="341" t="s">
        <v>1594</v>
      </c>
      <c r="E4" s="342" t="s">
        <v>1595</v>
      </c>
      <c r="F4" s="343"/>
      <c r="G4" s="1854"/>
      <c r="H4" s="340" t="s">
        <v>1591</v>
      </c>
      <c r="I4" s="341" t="s">
        <v>1592</v>
      </c>
      <c r="J4" s="341" t="s">
        <v>1593</v>
      </c>
      <c r="K4" s="341" t="s">
        <v>1594</v>
      </c>
      <c r="L4" s="342" t="s">
        <v>1595</v>
      </c>
      <c r="M4" s="343"/>
    </row>
    <row r="5" spans="1:37" ht="18" customHeight="1">
      <c r="A5" s="344">
        <v>1</v>
      </c>
      <c r="B5" s="345" t="s">
        <v>1596</v>
      </c>
      <c r="C5" s="1295">
        <f ca="1">C6+C10+C12</f>
        <v>0</v>
      </c>
      <c r="D5" s="1825" t="s">
        <v>1597</v>
      </c>
      <c r="E5" s="1296"/>
      <c r="F5" s="1297"/>
      <c r="G5" s="1854"/>
      <c r="H5" s="344">
        <v>1</v>
      </c>
      <c r="I5" s="345" t="s">
        <v>1596</v>
      </c>
      <c r="J5" s="1295">
        <f ca="1">J6+J10+J12</f>
        <v>0</v>
      </c>
      <c r="K5" s="1825" t="s">
        <v>1597</v>
      </c>
      <c r="L5" s="1296"/>
      <c r="M5" s="1297"/>
    </row>
    <row r="6" spans="1:37" ht="18" customHeight="1">
      <c r="A6" s="1294" t="s">
        <v>1032</v>
      </c>
      <c r="B6" s="3182" t="s">
        <v>1399</v>
      </c>
      <c r="C6" s="1299">
        <f ca="1">ROUND(F6*F8*F7*(1-F9),0)</f>
        <v>0</v>
      </c>
      <c r="D6" s="164" t="s">
        <v>3020</v>
      </c>
      <c r="E6" s="347" t="s">
        <v>1401</v>
      </c>
      <c r="F6" s="348">
        <f ca="1">INDIRECT("'数据-取费表'!u"&amp;$G$1)</f>
        <v>0</v>
      </c>
      <c r="G6" s="1854"/>
      <c r="H6" s="1294" t="s">
        <v>1032</v>
      </c>
      <c r="I6" s="3182" t="s">
        <v>1399</v>
      </c>
      <c r="J6" s="346">
        <f ca="1">ROUND(M6*M8*M7*(1-M9),0)</f>
        <v>0</v>
      </c>
      <c r="K6" s="1837" t="s">
        <v>3021</v>
      </c>
      <c r="L6" s="347" t="s">
        <v>1401</v>
      </c>
      <c r="M6" s="348">
        <f ca="1">INDIRECT("'数据-取费表'!z"&amp;$G$1)</f>
        <v>0</v>
      </c>
    </row>
    <row r="7" spans="1:37" ht="18" customHeight="1">
      <c r="A7" s="1298"/>
      <c r="B7" s="3183"/>
      <c r="C7" s="1300"/>
      <c r="D7" s="352"/>
      <c r="E7" s="1301" t="s">
        <v>1402</v>
      </c>
      <c r="F7" s="348">
        <f ca="1">IF(INDIRECT("'数据-取费表'!ah"&amp;$G$1)="",INDIRECT("'数据-取费表'!k"&amp;$G$1),INDIRECT("'数据-取费表'!ah"&amp;$G$1))</f>
        <v>0</v>
      </c>
      <c r="G7" s="1854"/>
      <c r="H7" s="349"/>
      <c r="I7" s="3183"/>
      <c r="J7" s="351"/>
      <c r="K7" s="352"/>
      <c r="L7" s="347" t="s">
        <v>1402</v>
      </c>
      <c r="M7" s="348">
        <f ca="1">F7</f>
        <v>0</v>
      </c>
    </row>
    <row r="8" spans="1:37" ht="18" customHeight="1">
      <c r="A8" s="349"/>
      <c r="B8" s="3183"/>
      <c r="C8" s="351"/>
      <c r="D8" s="352"/>
      <c r="E8" s="347" t="s">
        <v>1403</v>
      </c>
      <c r="F8" s="348">
        <f ca="1">INDIRECT("'数据-取费表'!ai"&amp;$G$1)</f>
        <v>0</v>
      </c>
      <c r="G8" s="1854"/>
      <c r="H8" s="349"/>
      <c r="I8" s="3183"/>
      <c r="J8" s="351"/>
      <c r="K8" s="352"/>
      <c r="L8" s="347" t="s">
        <v>1403</v>
      </c>
      <c r="M8" s="348">
        <f ca="1">INDIRECT("'数据-取费表'!ai"&amp;$G$1)</f>
        <v>0</v>
      </c>
    </row>
    <row r="9" spans="1:37" ht="18" customHeight="1">
      <c r="A9" s="349"/>
      <c r="B9" s="3184"/>
      <c r="C9" s="351"/>
      <c r="D9" s="352"/>
      <c r="E9" s="347" t="s">
        <v>1404</v>
      </c>
      <c r="F9" s="357">
        <f ca="1">INDIRECT("'数据-取费表'!w"&amp;$G$1)</f>
        <v>0</v>
      </c>
      <c r="G9" s="1854"/>
      <c r="H9" s="349"/>
      <c r="I9" s="3184"/>
      <c r="J9" s="351"/>
      <c r="K9" s="352"/>
      <c r="L9" s="358" t="s">
        <v>1404</v>
      </c>
      <c r="M9" s="359">
        <f ca="1">INDIRECT("'数据-取费表'!ab"&amp;$G$1)</f>
        <v>0</v>
      </c>
    </row>
    <row r="10" spans="1:37" ht="18" customHeight="1">
      <c r="A10" s="1294" t="s">
        <v>1036</v>
      </c>
      <c r="B10" s="1826" t="s">
        <v>1405</v>
      </c>
      <c r="C10" s="361">
        <f ca="1">ROUND(IF(F10="押一",C6/12*F11,IF(F10="押二",C6/12*2*F11,IF(F10="押三",C6/12*3*F11,C11*F11))),0)</f>
        <v>0</v>
      </c>
      <c r="D10" s="1827" t="s">
        <v>3031</v>
      </c>
      <c r="E10" s="358" t="s">
        <v>1406</v>
      </c>
      <c r="F10" s="1369"/>
      <c r="G10" s="1854"/>
      <c r="H10" s="1294" t="s">
        <v>1036</v>
      </c>
      <c r="I10" s="1826" t="s">
        <v>1405</v>
      </c>
      <c r="J10" s="346">
        <f ca="1">ROUND(IF(M10="押一",J6/12*M11,IF(M10="押二",J6/12*2*M11,IF(M10="押三",J6/12*3*M11,J11*M11))),0)</f>
        <v>0</v>
      </c>
      <c r="K10" s="1838" t="s">
        <v>3033</v>
      </c>
      <c r="L10" s="358" t="s">
        <v>1406</v>
      </c>
      <c r="M10" s="1369"/>
    </row>
    <row r="11" spans="1:37" ht="18" customHeight="1">
      <c r="A11" s="353"/>
      <c r="B11" s="1828" t="s">
        <v>1598</v>
      </c>
      <c r="C11" s="1181"/>
      <c r="D11" s="352"/>
      <c r="E11" s="358" t="s">
        <v>1408</v>
      </c>
      <c r="F11" s="359">
        <f ca="1">'数据-取费表'!B39</f>
        <v>1.4999999999999999E-2</v>
      </c>
      <c r="G11" s="1854"/>
      <c r="H11" s="1302"/>
      <c r="I11" s="1828" t="s">
        <v>1599</v>
      </c>
      <c r="J11" s="1181"/>
      <c r="K11" s="748"/>
      <c r="L11" s="358" t="s">
        <v>1408</v>
      </c>
      <c r="M11" s="1059">
        <f ca="1">'数据-取费表'!B39</f>
        <v>1.4999999999999999E-2</v>
      </c>
    </row>
    <row r="12" spans="1:37" ht="18" customHeight="1" thickBot="1">
      <c r="A12" s="1336" t="s">
        <v>1072</v>
      </c>
      <c r="B12" s="1830" t="s">
        <v>1409</v>
      </c>
      <c r="C12" s="1337"/>
      <c r="D12" s="1338"/>
      <c r="E12" s="1343"/>
      <c r="F12" s="1339"/>
      <c r="G12" s="1854"/>
      <c r="H12" s="1336" t="s">
        <v>1072</v>
      </c>
      <c r="I12" s="1830" t="s">
        <v>1409</v>
      </c>
      <c r="J12" s="1337"/>
      <c r="K12" s="1351"/>
      <c r="L12" s="1343"/>
      <c r="M12" s="1352"/>
    </row>
    <row r="13" spans="1:37" ht="18" customHeight="1" thickTop="1">
      <c r="A13" s="1332">
        <v>2</v>
      </c>
      <c r="B13" s="1333" t="s">
        <v>1410</v>
      </c>
      <c r="C13" s="355">
        <f ca="1">ROUND(C29*F13,0)</f>
        <v>0</v>
      </c>
      <c r="D13" s="1334" t="s">
        <v>1411</v>
      </c>
      <c r="E13" s="1334" t="s">
        <v>1412</v>
      </c>
      <c r="F13" s="1335">
        <f ca="1">INDIRECT("'数据-取费表'!y"&amp;$G$1)</f>
        <v>0</v>
      </c>
      <c r="G13" s="1854"/>
      <c r="H13" s="1332">
        <v>2</v>
      </c>
      <c r="I13" s="1333" t="s">
        <v>1410</v>
      </c>
      <c r="J13" s="1293">
        <f ca="1">ROUND(J14*J15,0)</f>
        <v>0</v>
      </c>
      <c r="K13" s="1340" t="s">
        <v>1411</v>
      </c>
      <c r="L13" s="1855"/>
      <c r="M13" s="1856"/>
    </row>
    <row r="14" spans="1:37" ht="18" customHeight="1">
      <c r="A14" s="1204" t="s">
        <v>1031</v>
      </c>
      <c r="B14" s="347" t="s">
        <v>1413</v>
      </c>
      <c r="C14" s="363">
        <f ca="1">ROUND(INDIRECT("'数据-取费表'!l"&amp;$G$1)*F43+'数据-取费表'!L14*INDIRECT("'数据-取费表'!S"&amp;$G$1),0)</f>
        <v>0</v>
      </c>
      <c r="D14" s="1803" t="s">
        <v>1414</v>
      </c>
      <c r="E14" s="1797"/>
      <c r="F14" s="364"/>
      <c r="G14" s="1854"/>
      <c r="H14" s="1204" t="s">
        <v>1032</v>
      </c>
      <c r="I14" s="347" t="s">
        <v>1415</v>
      </c>
      <c r="J14" s="24">
        <f ca="1">C29</f>
        <v>0</v>
      </c>
      <c r="K14" s="15"/>
      <c r="L14" s="982"/>
      <c r="M14" s="983"/>
    </row>
    <row r="15" spans="1:37" s="1861" customFormat="1" ht="18" customHeight="1" thickBot="1">
      <c r="A15" s="1204" t="s">
        <v>1033</v>
      </c>
      <c r="B15" s="347" t="s">
        <v>1416</v>
      </c>
      <c r="C15" s="24">
        <f ca="1">ROUND(C14*F15,0)</f>
        <v>0</v>
      </c>
      <c r="D15" s="365" t="s">
        <v>1417</v>
      </c>
      <c r="E15" s="365" t="s">
        <v>1418</v>
      </c>
      <c r="F15" s="366">
        <f>'数据-取费表'!B33</f>
        <v>0.04</v>
      </c>
      <c r="G15" s="1857"/>
      <c r="H15" s="1342" t="s">
        <v>1036</v>
      </c>
      <c r="I15" s="1343" t="s">
        <v>1412</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1385</v>
      </c>
      <c r="B16" s="347" t="s">
        <v>1419</v>
      </c>
      <c r="C16" s="24">
        <f ca="1">ROUND(INDIRECT("'数据-取费表'!l"&amp;$G$1)*F43*F16,0)</f>
        <v>0</v>
      </c>
      <c r="D16" s="347" t="s">
        <v>1417</v>
      </c>
      <c r="E16" s="347" t="s">
        <v>1418</v>
      </c>
      <c r="F16" s="367">
        <f ca="1">IF(INDIRECT("'数据-取费表'!c"&amp;$G$1)="住宅",'数据-取费表'!B34,0)</f>
        <v>0</v>
      </c>
      <c r="G16" s="1854"/>
      <c r="H16" s="1332" t="s">
        <v>1027</v>
      </c>
      <c r="I16" s="1333" t="s">
        <v>1420</v>
      </c>
      <c r="J16" s="355">
        <f ca="1">ROUND(J17+J22+J23+J24,0)</f>
        <v>0</v>
      </c>
      <c r="K16" s="1340" t="s">
        <v>1421</v>
      </c>
      <c r="L16" s="1341"/>
      <c r="M16" s="1297"/>
    </row>
    <row r="17" spans="1:37" s="1861" customFormat="1" ht="18" customHeight="1">
      <c r="A17" s="1204" t="s">
        <v>1386</v>
      </c>
      <c r="B17" s="347" t="s">
        <v>1422</v>
      </c>
      <c r="C17" s="24">
        <f ca="1">ROUND(F17*(F43+INDIRECT("'数据-取费表'!S"&amp;$G$1)),0)</f>
        <v>0</v>
      </c>
      <c r="D17" s="347" t="s">
        <v>1423</v>
      </c>
      <c r="E17" s="347" t="s">
        <v>1424</v>
      </c>
      <c r="F17" s="26">
        <f>'数据-取费表'!B35</f>
        <v>200</v>
      </c>
      <c r="G17" s="1857"/>
      <c r="H17" s="1204" t="s">
        <v>1032</v>
      </c>
      <c r="I17" s="347" t="s">
        <v>1425</v>
      </c>
      <c r="J17" s="24">
        <f ca="1">ROUND(IF(项目基本情况!B11="自然人",J5*M17,J18+J19+J20),0)</f>
        <v>0</v>
      </c>
      <c r="K17" s="1803" t="s">
        <v>1426</v>
      </c>
      <c r="L17" s="1801" t="s">
        <v>1427</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1387</v>
      </c>
      <c r="B18" s="347" t="s">
        <v>1428</v>
      </c>
      <c r="C18" s="24">
        <f ca="1">ROUND(C14*F18,0)</f>
        <v>0</v>
      </c>
      <c r="D18" s="347" t="s">
        <v>1417</v>
      </c>
      <c r="E18" s="347" t="s">
        <v>1418</v>
      </c>
      <c r="F18" s="367">
        <f>'数据-取费表'!B36</f>
        <v>1.4999999999999999E-2</v>
      </c>
      <c r="G18" s="1857"/>
      <c r="H18" s="1204" t="s">
        <v>1031</v>
      </c>
      <c r="I18" s="347" t="s">
        <v>1429</v>
      </c>
      <c r="J18" s="24">
        <f ca="1">ROUND(J5*M18/(1+'数据-取费表'!C42),0)</f>
        <v>0</v>
      </c>
      <c r="K18" s="1801" t="s">
        <v>1430</v>
      </c>
      <c r="L18" s="347" t="s">
        <v>1418</v>
      </c>
      <c r="M18" s="367">
        <f>'数据-取费表'!B41</f>
        <v>5.5000000000000007E-2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1032</v>
      </c>
      <c r="B19" s="347" t="s">
        <v>1431</v>
      </c>
      <c r="C19" s="24">
        <f ca="1">SUM(C14:C18)</f>
        <v>0</v>
      </c>
      <c r="D19" s="140" t="s">
        <v>1432</v>
      </c>
      <c r="E19" s="1821"/>
      <c r="F19" s="26"/>
      <c r="G19" s="1854"/>
      <c r="H19" s="1204" t="s">
        <v>1033</v>
      </c>
      <c r="I19" s="347" t="s">
        <v>1433</v>
      </c>
      <c r="J19" s="24">
        <f ca="1">IF(K19="按租金收入计税",ROUND(J5*M19,0),ROUND(C29*M19*0.7,0))</f>
        <v>0</v>
      </c>
      <c r="K19" s="1831" t="s">
        <v>1434</v>
      </c>
      <c r="L19" s="347" t="s">
        <v>1418</v>
      </c>
      <c r="M19" s="367">
        <f>IF(K19="按租金收入计税",'数据-取费表'!B51,'数据-取费表'!B50)</f>
        <v>1.2E-2</v>
      </c>
    </row>
    <row r="20" spans="1:37" s="1861" customFormat="1" ht="18" customHeight="1">
      <c r="A20" s="1204" t="s">
        <v>1036</v>
      </c>
      <c r="B20" s="347" t="s">
        <v>1435</v>
      </c>
      <c r="C20" s="24">
        <f ca="1">ROUND(C19*F20,0)</f>
        <v>0</v>
      </c>
      <c r="D20" s="369" t="s">
        <v>1436</v>
      </c>
      <c r="E20" s="347" t="s">
        <v>1418</v>
      </c>
      <c r="F20" s="367">
        <f>'数据-取费表'!B37</f>
        <v>0.02</v>
      </c>
      <c r="G20" s="1857"/>
      <c r="H20" s="1204" t="s">
        <v>1385</v>
      </c>
      <c r="I20" s="164" t="s">
        <v>1437</v>
      </c>
      <c r="J20" s="25">
        <f ca="1">ROUND(M20*M21,0)</f>
        <v>0</v>
      </c>
      <c r="K20" s="370" t="s">
        <v>1438</v>
      </c>
      <c r="L20" s="347" t="s">
        <v>1439</v>
      </c>
      <c r="M20" s="371">
        <f>'数据-取费表'!B52</f>
        <v>3</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1072</v>
      </c>
      <c r="B21" s="347" t="s">
        <v>1440</v>
      </c>
      <c r="C21" s="24" t="s">
        <v>1</v>
      </c>
      <c r="D21" s="369" t="s">
        <v>1441</v>
      </c>
      <c r="E21" s="347" t="s">
        <v>1442</v>
      </c>
      <c r="F21" s="367">
        <f>'数据-取费表'!B38</f>
        <v>0.02</v>
      </c>
      <c r="G21" s="1857"/>
      <c r="H21" s="372"/>
      <c r="I21" s="356"/>
      <c r="J21" s="29"/>
      <c r="K21" s="373"/>
      <c r="L21" s="347" t="s">
        <v>1443</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1388</v>
      </c>
      <c r="B22" s="347" t="s">
        <v>1444</v>
      </c>
      <c r="C22" s="24"/>
      <c r="D22" s="140" t="str">
        <f>IF(F23&lt;=1,"单利计息。","复利计息。")&amp;"建造成本、管理费用、销售费用产生的利息。"</f>
        <v>复利计息。建造成本、管理费用、销售费用产生的利息。</v>
      </c>
      <c r="E22" s="1821"/>
      <c r="F22" s="26"/>
      <c r="G22" s="1854"/>
      <c r="H22" s="1204" t="s">
        <v>1036</v>
      </c>
      <c r="I22" s="347" t="s">
        <v>1445</v>
      </c>
      <c r="J22" s="24">
        <f ca="1">ROUND(J14*M22,0)</f>
        <v>0</v>
      </c>
      <c r="K22" s="1801" t="s">
        <v>1446</v>
      </c>
      <c r="L22" s="347" t="s">
        <v>1418</v>
      </c>
      <c r="M22" s="374">
        <f ca="1">INDIRECT("'数据-取费表'!Ak"&amp;$G$1)</f>
        <v>0</v>
      </c>
    </row>
    <row r="23" spans="1:37" s="1861" customFormat="1" ht="18" customHeight="1">
      <c r="A23" s="1204"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2</v>
      </c>
      <c r="G23" s="1857"/>
      <c r="H23" s="1204" t="s">
        <v>1072</v>
      </c>
      <c r="I23" s="347" t="s">
        <v>1449</v>
      </c>
      <c r="J23" s="24">
        <f ca="1">ROUND(J13*M23,0)</f>
        <v>0</v>
      </c>
      <c r="K23" s="1801" t="s">
        <v>1450</v>
      </c>
      <c r="L23" s="347" t="s">
        <v>1451</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7"/>
      <c r="H24" s="1342" t="s">
        <v>1389</v>
      </c>
      <c r="I24" s="1343" t="s">
        <v>1435</v>
      </c>
      <c r="J24" s="1344">
        <f ca="1">ROUND(J5*M24,0)</f>
        <v>0</v>
      </c>
      <c r="K24" s="1345" t="s">
        <v>1455</v>
      </c>
      <c r="L24" s="1343" t="s">
        <v>1451</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1456</v>
      </c>
      <c r="B25" s="347" t="s">
        <v>1457</v>
      </c>
      <c r="C25" s="24"/>
      <c r="D25" s="140" t="s">
        <v>1458</v>
      </c>
      <c r="E25" s="1821"/>
      <c r="F25" s="26"/>
      <c r="G25" s="1854"/>
      <c r="H25" s="1332" t="s">
        <v>1028</v>
      </c>
      <c r="I25" s="1347" t="s">
        <v>1459</v>
      </c>
      <c r="J25" s="355">
        <f ca="1">J5-J16</f>
        <v>0</v>
      </c>
      <c r="K25" s="1348" t="s">
        <v>1460</v>
      </c>
      <c r="L25" s="1349"/>
      <c r="M25" s="1350"/>
    </row>
    <row r="26" spans="1:37" ht="18" customHeight="1">
      <c r="A26" s="1204" t="s">
        <v>1031</v>
      </c>
      <c r="B26" s="347" t="s">
        <v>1461</v>
      </c>
      <c r="C26" s="24">
        <f ca="1">ROUND((C19+C20)*F26,0)</f>
        <v>0</v>
      </c>
      <c r="D26" s="369" t="s">
        <v>1462</v>
      </c>
      <c r="E26" s="358" t="s">
        <v>1463</v>
      </c>
      <c r="F26" s="357">
        <f ca="1">INDIRECT("'数据-取费表'!q"&amp;$G$1)</f>
        <v>0</v>
      </c>
      <c r="G26" s="1854"/>
      <c r="H26" s="344" t="s">
        <v>1029</v>
      </c>
      <c r="I26" s="345" t="s">
        <v>1464</v>
      </c>
      <c r="J26" s="346">
        <f ca="1">IF(J5&lt;&gt;0,ROUND(J25*(1-((1+M28)/(1+M26))^M27)/(M26-M28),0),0)</f>
        <v>0</v>
      </c>
      <c r="K26" s="370" t="s">
        <v>1465</v>
      </c>
      <c r="L26" s="347" t="s">
        <v>1466</v>
      </c>
      <c r="M26" s="357">
        <f ca="1">INDIRECT("'数据-取费表'!I"&amp;$G$1)</f>
        <v>0</v>
      </c>
    </row>
    <row r="27" spans="1:37" ht="18" customHeight="1">
      <c r="A27" s="1204" t="s">
        <v>1033</v>
      </c>
      <c r="B27" s="347" t="s">
        <v>1467</v>
      </c>
      <c r="C27" s="24">
        <f ca="1">ROUND(F21*F26,4)</f>
        <v>0</v>
      </c>
      <c r="D27" s="369" t="s">
        <v>1468</v>
      </c>
      <c r="E27" s="365"/>
      <c r="F27" s="366"/>
      <c r="G27" s="1854"/>
      <c r="H27" s="349"/>
      <c r="I27" s="350"/>
      <c r="J27" s="351"/>
      <c r="K27" s="378" t="s">
        <v>1469</v>
      </c>
      <c r="L27" s="347" t="s">
        <v>1470</v>
      </c>
      <c r="M27" s="379">
        <f ca="1">INDIRECT("'数据-取费表'!ag"&amp;$G$1)</f>
        <v>0</v>
      </c>
    </row>
    <row r="28" spans="1:37" s="1861" customFormat="1" ht="18" customHeight="1">
      <c r="A28" s="1204" t="s">
        <v>1034</v>
      </c>
      <c r="B28" s="347" t="s">
        <v>1471</v>
      </c>
      <c r="C28" s="24">
        <f>ROUND(F28/(1+'数据-取费表'!C42),4)</f>
        <v>5.2400000000000002E-2</v>
      </c>
      <c r="D28" s="369" t="s">
        <v>1472</v>
      </c>
      <c r="E28" s="347" t="s">
        <v>1418</v>
      </c>
      <c r="F28" s="367">
        <f>'数据-取费表'!B41</f>
        <v>5.5000000000000007E-2</v>
      </c>
      <c r="G28" s="1857"/>
      <c r="H28" s="353"/>
      <c r="I28" s="354"/>
      <c r="J28" s="355"/>
      <c r="K28" s="373"/>
      <c r="L28" s="347" t="s">
        <v>1473</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1035</v>
      </c>
      <c r="B29" s="1343" t="s">
        <v>1474</v>
      </c>
      <c r="C29" s="1344">
        <f ca="1">ROUND((C19+C20+C23+C26)/(1-F21-C24-C27-C28),0)</f>
        <v>0</v>
      </c>
      <c r="D29" s="1345"/>
      <c r="E29" s="1343"/>
      <c r="F29" s="1346"/>
      <c r="G29" s="1857"/>
      <c r="H29" s="380" t="s">
        <v>1030</v>
      </c>
      <c r="I29" s="381" t="s">
        <v>1475</v>
      </c>
      <c r="J29" s="382">
        <f ca="1">ROUND(J26/(1+F40)^F41,0)</f>
        <v>0</v>
      </c>
      <c r="K29" s="383" t="s">
        <v>1476</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1027</v>
      </c>
      <c r="B30" s="1333" t="s">
        <v>1420</v>
      </c>
      <c r="C30" s="355">
        <f ca="1">ROUND(C31+C36+C37+C38,0)</f>
        <v>0</v>
      </c>
      <c r="D30" s="1340" t="s">
        <v>1421</v>
      </c>
      <c r="E30" s="1341"/>
      <c r="F30" s="1297"/>
      <c r="G30" s="1854"/>
      <c r="H30" s="745"/>
      <c r="I30" s="746"/>
      <c r="J30" s="747"/>
      <c r="K30" s="748"/>
      <c r="L30" s="749"/>
      <c r="M30" s="750"/>
    </row>
    <row r="31" spans="1:37" ht="18" customHeight="1">
      <c r="A31" s="1204" t="s">
        <v>1032</v>
      </c>
      <c r="B31" s="347" t="s">
        <v>1425</v>
      </c>
      <c r="C31" s="24">
        <f ca="1">ROUND(IF(项目基本情况!B11="自然人",C5*F31,C32+C33+C34),0)</f>
        <v>0</v>
      </c>
      <c r="D31" s="1803" t="s">
        <v>1426</v>
      </c>
      <c r="E31" s="1801" t="s">
        <v>1477</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1031</v>
      </c>
      <c r="B32" s="347" t="s">
        <v>1429</v>
      </c>
      <c r="C32" s="24">
        <f ca="1">IF(项目基本情况!B11="自然人","——",ROUND(C5*F32/(1+'数据-取费表'!C42),0))</f>
        <v>0</v>
      </c>
      <c r="D32" s="1801" t="s">
        <v>1430</v>
      </c>
      <c r="E32" s="347" t="s">
        <v>1418</v>
      </c>
      <c r="F32" s="377">
        <f>'数据-取费表'!B41</f>
        <v>5.5000000000000007E-2</v>
      </c>
      <c r="G32" s="1854"/>
      <c r="H32" s="745"/>
      <c r="I32" s="746"/>
      <c r="J32" s="747"/>
      <c r="K32" s="748"/>
      <c r="L32" s="749"/>
      <c r="M32" s="750"/>
    </row>
    <row r="33" spans="1:18" ht="18" customHeight="1">
      <c r="A33" s="1204" t="s">
        <v>1033</v>
      </c>
      <c r="B33" s="347" t="s">
        <v>1433</v>
      </c>
      <c r="C33" s="24">
        <f ca="1">IF(项目基本情况!B11="自然人","——",IF(D33="按租金收入计税",ROUND(C5*F33,0),IF(D33="按房产原值计税",ROUND(C29*F33*0.7,0),INDIRECT("'数据-取费表'!Aj"&amp;$G$1))))</f>
        <v>0</v>
      </c>
      <c r="D33" s="1831" t="s">
        <v>1434</v>
      </c>
      <c r="E33" s="347" t="s">
        <v>1418</v>
      </c>
      <c r="F33" s="367">
        <f>IF(D33="按票据","——",IF(D33="按租金收入计税",'数据-取费表'!B51,'数据-取费表'!B50))</f>
        <v>1.2E-2</v>
      </c>
      <c r="G33" s="1854"/>
      <c r="H33" s="1862"/>
      <c r="I33" s="1863"/>
      <c r="J33" s="1864"/>
      <c r="K33" s="1865"/>
      <c r="L33" s="1862"/>
      <c r="M33" s="1862"/>
    </row>
    <row r="34" spans="1:18" ht="18" customHeight="1">
      <c r="A34" s="1294" t="s">
        <v>1385</v>
      </c>
      <c r="B34" s="164" t="s">
        <v>1437</v>
      </c>
      <c r="C34" s="25">
        <f ca="1">IF(项目基本情况!B11="自然人","——",ROUND(F34*F35,))</f>
        <v>0</v>
      </c>
      <c r="D34" s="370" t="s">
        <v>1438</v>
      </c>
      <c r="E34" s="347" t="s">
        <v>1439</v>
      </c>
      <c r="F34" s="371">
        <f>'数据-取费表'!B52</f>
        <v>3</v>
      </c>
      <c r="G34" s="1854"/>
      <c r="H34" s="745"/>
      <c r="I34" s="1863"/>
      <c r="J34" s="1864"/>
      <c r="K34" s="1866"/>
      <c r="L34" s="1867"/>
      <c r="M34" s="1867"/>
    </row>
    <row r="35" spans="1:18" ht="18" customHeight="1">
      <c r="A35" s="1356"/>
      <c r="B35" s="1354"/>
      <c r="C35" s="29"/>
      <c r="D35" s="373"/>
      <c r="E35" s="347" t="s">
        <v>1443</v>
      </c>
      <c r="F35" s="348">
        <f ca="1">INDIRECT("'数据-取费表'!r"&amp;$G$1)</f>
        <v>0</v>
      </c>
      <c r="G35" s="1854"/>
      <c r="H35" s="745"/>
      <c r="I35" s="1863"/>
      <c r="J35" s="1864"/>
      <c r="K35" s="1865"/>
      <c r="L35" s="1862"/>
      <c r="M35" s="1862"/>
    </row>
    <row r="36" spans="1:18" ht="18" customHeight="1">
      <c r="A36" s="1355" t="s">
        <v>1036</v>
      </c>
      <c r="B36" s="347" t="s">
        <v>1445</v>
      </c>
      <c r="C36" s="24">
        <f ca="1">ROUND(C29*F36,0)</f>
        <v>0</v>
      </c>
      <c r="D36" s="1801" t="s">
        <v>1478</v>
      </c>
      <c r="E36" s="347" t="s">
        <v>1418</v>
      </c>
      <c r="F36" s="374">
        <f ca="1">INDIRECT("'数据-取费表'!Ak"&amp;$G$1)</f>
        <v>0</v>
      </c>
      <c r="G36" s="1854"/>
      <c r="H36" s="1862"/>
      <c r="I36" s="1863"/>
      <c r="J36" s="1864"/>
      <c r="K36" s="751"/>
      <c r="L36" s="1862"/>
      <c r="M36" s="1862"/>
    </row>
    <row r="37" spans="1:18" ht="18" customHeight="1">
      <c r="A37" s="1204" t="s">
        <v>1072</v>
      </c>
      <c r="B37" s="347" t="s">
        <v>1449</v>
      </c>
      <c r="C37" s="24">
        <f ca="1">ROUND(C13*F37,0)</f>
        <v>0</v>
      </c>
      <c r="D37" s="1801" t="s">
        <v>1450</v>
      </c>
      <c r="E37" s="347" t="s">
        <v>1451</v>
      </c>
      <c r="F37" s="376">
        <f ca="1">INDIRECT("'数据-取费表'!Al"&amp;$G$1)</f>
        <v>0</v>
      </c>
      <c r="G37" s="1854"/>
      <c r="H37" s="1862"/>
      <c r="I37" s="1863"/>
      <c r="J37" s="1864"/>
      <c r="K37" s="751"/>
      <c r="L37" s="1862"/>
      <c r="M37" s="1862"/>
    </row>
    <row r="38" spans="1:18" ht="18" customHeight="1" thickBot="1">
      <c r="A38" s="1342" t="s">
        <v>1389</v>
      </c>
      <c r="B38" s="1343" t="s">
        <v>1435</v>
      </c>
      <c r="C38" s="1344">
        <f ca="1">ROUND(C5*F38,1)</f>
        <v>0</v>
      </c>
      <c r="D38" s="1345" t="s">
        <v>1455</v>
      </c>
      <c r="E38" s="1343" t="s">
        <v>1451</v>
      </c>
      <c r="F38" s="1339">
        <f ca="1">INDIRECT("'数据-取费表'!Am"&amp;$G$1)</f>
        <v>0</v>
      </c>
      <c r="G38" s="1854"/>
      <c r="H38" s="1862"/>
      <c r="I38" s="1863"/>
      <c r="J38" s="1864"/>
      <c r="K38" s="1868"/>
      <c r="L38" s="1862"/>
      <c r="M38" s="1862"/>
    </row>
    <row r="39" spans="1:18" ht="24.6" customHeight="1" thickTop="1">
      <c r="A39" s="1332" t="s">
        <v>1028</v>
      </c>
      <c r="B39" s="1347" t="s">
        <v>1479</v>
      </c>
      <c r="C39" s="355">
        <f ca="1">C5-C30</f>
        <v>0</v>
      </c>
      <c r="D39" s="1348" t="s">
        <v>1480</v>
      </c>
      <c r="E39" s="1349"/>
      <c r="F39" s="1350"/>
      <c r="G39" s="1854"/>
      <c r="H39" s="1862"/>
      <c r="I39" s="1863"/>
      <c r="J39" s="1864"/>
      <c r="K39" s="1868"/>
      <c r="L39" s="1862"/>
      <c r="M39" s="1862"/>
    </row>
    <row r="40" spans="1:18" ht="18" customHeight="1">
      <c r="A40" s="344" t="s">
        <v>1029</v>
      </c>
      <c r="B40" s="345" t="s">
        <v>1481</v>
      </c>
      <c r="C40" s="346" t="e">
        <f ca="1">ROUND(C39*(1-((1+F42)/(1+F40))^F41)/(F40-F42),0)</f>
        <v>#DIV/0!</v>
      </c>
      <c r="D40" s="370" t="s">
        <v>1465</v>
      </c>
      <c r="E40" s="347" t="s">
        <v>1466</v>
      </c>
      <c r="F40" s="357">
        <f ca="1">INDIRECT("'数据-取费表'!I"&amp;$G$1)</f>
        <v>0</v>
      </c>
      <c r="G40" s="1854"/>
      <c r="H40" s="1842"/>
      <c r="I40" s="1863"/>
      <c r="J40" s="1864"/>
      <c r="K40" s="1868"/>
      <c r="L40" s="1842"/>
      <c r="M40" s="1842"/>
    </row>
    <row r="41" spans="1:18" ht="18" customHeight="1">
      <c r="A41" s="349"/>
      <c r="B41" s="350"/>
      <c r="C41" s="351"/>
      <c r="D41" s="378" t="s">
        <v>1482</v>
      </c>
      <c r="E41" s="347" t="s">
        <v>1470</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1473</v>
      </c>
      <c r="F42" s="357">
        <f ca="1">INDIRECT("'数据-取费表'!v"&amp;$G$1)</f>
        <v>0</v>
      </c>
      <c r="G42" s="1854"/>
      <c r="H42" s="732"/>
      <c r="I42" s="1863"/>
      <c r="J42" s="1864"/>
      <c r="K42" s="751"/>
      <c r="L42" s="732"/>
      <c r="M42" s="732"/>
    </row>
    <row r="43" spans="1:18" ht="18" customHeight="1" thickBot="1">
      <c r="A43" s="380" t="s">
        <v>1030</v>
      </c>
      <c r="B43" s="381" t="s">
        <v>1483</v>
      </c>
      <c r="C43" s="382" t="e">
        <f ca="1">ROUND(C40/F43,0)</f>
        <v>#DIV/0!</v>
      </c>
      <c r="D43" s="383" t="s">
        <v>1484</v>
      </c>
      <c r="E43" s="384" t="s">
        <v>1485</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1600</v>
      </c>
      <c r="E45" s="1869"/>
      <c r="F45" s="1869"/>
      <c r="O45" s="1872" t="s">
        <v>1515</v>
      </c>
      <c r="P45" s="1842"/>
      <c r="Q45" s="1842"/>
      <c r="R45" s="1842"/>
    </row>
    <row r="46" spans="1:18" s="1845" customFormat="1" ht="13.5" thickBot="1">
      <c r="A46" s="1873" t="s">
        <v>1516</v>
      </c>
      <c r="C46" s="1874" t="e">
        <f ca="1">ROUND(C45/10000,0)</f>
        <v>#DIV/0!</v>
      </c>
      <c r="D46" s="1875" t="str">
        <f>C2</f>
        <v>万元</v>
      </c>
      <c r="I46" s="1876" t="s">
        <v>1517</v>
      </c>
      <c r="J46" s="1877"/>
      <c r="K46" s="1878"/>
      <c r="L46" s="1879" t="e">
        <f ca="1">IF(M47="住宅",0,IF(L48&gt;J51,L60,J60))</f>
        <v>#DIV/0!</v>
      </c>
      <c r="O46" s="1880" t="s">
        <v>1518</v>
      </c>
      <c r="P46" s="1881" t="s">
        <v>1519</v>
      </c>
      <c r="Q46" s="1882" t="s">
        <v>1520</v>
      </c>
      <c r="R46" s="1882" t="s">
        <v>1521</v>
      </c>
    </row>
    <row r="47" spans="1:18" s="1845" customFormat="1" ht="13.5" thickBot="1">
      <c r="A47" s="1168" t="s">
        <v>1392</v>
      </c>
      <c r="B47" s="1200" t="s">
        <v>1393</v>
      </c>
      <c r="C47" s="1200" t="s">
        <v>1394</v>
      </c>
      <c r="D47" s="1200" t="s">
        <v>1395</v>
      </c>
      <c r="E47" s="1282" t="s">
        <v>1396</v>
      </c>
      <c r="F47" s="1283"/>
      <c r="G47" s="792"/>
      <c r="I47" s="1883" t="s">
        <v>1522</v>
      </c>
      <c r="J47" s="1884"/>
      <c r="K47" s="1885" t="s">
        <v>1523</v>
      </c>
      <c r="L47" s="1886">
        <f ca="1">INDIRECT("'数据-取费表'!d"&amp;$G$1)</f>
        <v>0</v>
      </c>
      <c r="M47" s="1841" t="str">
        <f>IF(ISNUMBER(FIND("住宅",C1)),"住宅","非住宅")</f>
        <v>非住宅</v>
      </c>
      <c r="O47" s="1887" t="s">
        <v>1037</v>
      </c>
      <c r="P47" s="1888" t="s">
        <v>1524</v>
      </c>
      <c r="Q47" s="1889" t="e">
        <f ca="1">C40+J29</f>
        <v>#DIV/0!</v>
      </c>
      <c r="R47" s="1889" t="s">
        <v>1525</v>
      </c>
    </row>
    <row r="48" spans="1:18" s="1845" customFormat="1" ht="28.5" thickBot="1">
      <c r="A48" s="1363" t="s">
        <v>1132</v>
      </c>
      <c r="B48" s="345" t="s">
        <v>1397</v>
      </c>
      <c r="C48" s="1820">
        <f ca="1">C49+C53+C55</f>
        <v>0</v>
      </c>
      <c r="D48" s="1365"/>
      <c r="E48" s="1366"/>
      <c r="F48" s="1184"/>
      <c r="G48" s="792"/>
      <c r="H48" s="793"/>
      <c r="I48" s="1890" t="s">
        <v>1526</v>
      </c>
      <c r="J48" s="1891"/>
      <c r="K48" s="1892" t="s">
        <v>1527</v>
      </c>
      <c r="L48" s="1893">
        <f ca="1">INDIRECT("'数据-取费表'!f"&amp;$G$1)</f>
        <v>0</v>
      </c>
      <c r="O48" s="1887" t="s">
        <v>1038</v>
      </c>
      <c r="P48" s="1888" t="s">
        <v>1528</v>
      </c>
      <c r="Q48" s="1889" t="e">
        <f ca="1">J60</f>
        <v>#DIV/0!</v>
      </c>
      <c r="R48" s="1889" t="s">
        <v>1529</v>
      </c>
    </row>
    <row r="49" spans="1:18" s="1845" customFormat="1" ht="13.5" thickBot="1">
      <c r="A49" s="1197" t="s">
        <v>1133</v>
      </c>
      <c r="B49" s="1832" t="s">
        <v>1486</v>
      </c>
      <c r="C49" s="1367">
        <f ca="1">ROUND(F49*F51*F50*(1-F52),0)</f>
        <v>0</v>
      </c>
      <c r="D49" s="1279" t="s">
        <v>1400</v>
      </c>
      <c r="E49" s="1833" t="s">
        <v>1487</v>
      </c>
      <c r="F49" s="1284"/>
      <c r="G49" s="1894"/>
      <c r="H49" s="793"/>
      <c r="I49" s="1890" t="s">
        <v>1530</v>
      </c>
      <c r="J49" s="1895"/>
      <c r="K49" s="1892" t="s">
        <v>1531</v>
      </c>
      <c r="L49" s="1896"/>
      <c r="O49" s="1897" t="s">
        <v>1039</v>
      </c>
      <c r="P49" s="1888" t="s">
        <v>1532</v>
      </c>
      <c r="Q49" s="1889">
        <f ca="1">C29</f>
        <v>0</v>
      </c>
      <c r="R49" s="1889" t="s">
        <v>1525</v>
      </c>
    </row>
    <row r="50" spans="1:18" s="1845" customFormat="1" ht="13.5" thickBot="1">
      <c r="A50" s="1198"/>
      <c r="B50" s="1201"/>
      <c r="C50" s="1202"/>
      <c r="D50" s="1175"/>
      <c r="E50" s="1280" t="s">
        <v>1402</v>
      </c>
      <c r="F50" s="1281">
        <f ca="1">F7</f>
        <v>0</v>
      </c>
      <c r="H50" s="793"/>
      <c r="I50" s="1890" t="s">
        <v>1533</v>
      </c>
      <c r="J50" s="1898">
        <f>SUMPRODUCT((I63:I65=J47)*(J62:L62=J48)*(J63:L65))</f>
        <v>0</v>
      </c>
      <c r="K50" s="1892" t="s">
        <v>1534</v>
      </c>
      <c r="L50" s="1896"/>
      <c r="M50" s="1899"/>
      <c r="O50" s="1897" t="s">
        <v>1040</v>
      </c>
      <c r="P50" s="1888" t="s">
        <v>1535</v>
      </c>
      <c r="Q50" s="1900" t="e">
        <f ca="1">J58</f>
        <v>#DIV/0!</v>
      </c>
      <c r="R50" s="1889"/>
    </row>
    <row r="51" spans="1:18" s="1845" customFormat="1" ht="13.5" thickBot="1">
      <c r="A51" s="1199"/>
      <c r="B51" s="1201"/>
      <c r="C51" s="1202"/>
      <c r="D51" s="1175"/>
      <c r="E51" s="1203" t="s">
        <v>1403</v>
      </c>
      <c r="F51" s="348">
        <f ca="1">F8</f>
        <v>0</v>
      </c>
      <c r="I51" s="1901" t="s">
        <v>1536</v>
      </c>
      <c r="J51" s="1902">
        <f>IF(J49="",J50,J49+J50-YEAR('数据-取费表'!B2))</f>
        <v>0</v>
      </c>
      <c r="K51" s="1903" t="s">
        <v>1537</v>
      </c>
      <c r="L51" s="1904">
        <f ca="1">ROUND(-PV(INDIRECT("'数据-取费表'!h"&amp;$G$1),L48,(C39-C13*C76),0),0)</f>
        <v>0</v>
      </c>
      <c r="M51" s="1905"/>
      <c r="O51" s="1897" t="s">
        <v>1041</v>
      </c>
      <c r="P51" s="1888" t="s">
        <v>1538</v>
      </c>
      <c r="Q51" s="1900">
        <f>J52</f>
        <v>0</v>
      </c>
      <c r="R51" s="1889"/>
    </row>
    <row r="52" spans="1:18" s="1845" customFormat="1" ht="13.5" thickBot="1">
      <c r="A52" s="1199"/>
      <c r="B52" s="1201"/>
      <c r="C52" s="1202"/>
      <c r="D52" s="1175"/>
      <c r="E52" s="1203" t="s">
        <v>1404</v>
      </c>
      <c r="F52" s="1278"/>
      <c r="I52" s="1906" t="s">
        <v>1539</v>
      </c>
      <c r="J52" s="1907"/>
      <c r="K52" s="1906" t="s">
        <v>1540</v>
      </c>
      <c r="L52" s="1907"/>
      <c r="O52" s="1897" t="s">
        <v>1042</v>
      </c>
      <c r="P52" s="1888" t="s">
        <v>1541</v>
      </c>
      <c r="Q52" s="1889" t="b">
        <f>J53</f>
        <v>0</v>
      </c>
      <c r="R52" s="1889" t="s">
        <v>1542</v>
      </c>
    </row>
    <row r="53" spans="1:18" s="1845" customFormat="1" ht="30.75" customHeight="1" thickBot="1">
      <c r="A53" s="1364" t="s">
        <v>1134</v>
      </c>
      <c r="B53" s="369" t="s">
        <v>1405</v>
      </c>
      <c r="C53" s="361">
        <f ca="1">ROUND(IF(F53="押一",C49/12*F11,IF(F53="押二",C49/12*2*F11,IF(F53="押三",C49/12*3*F11,C54*F11))),0)</f>
        <v>0</v>
      </c>
      <c r="D53" s="1827" t="s">
        <v>3034</v>
      </c>
      <c r="E53" s="358" t="s">
        <v>1406</v>
      </c>
      <c r="F53" s="1369"/>
      <c r="I53" s="1908" t="s">
        <v>1543</v>
      </c>
      <c r="J53" s="1909" t="b">
        <f>IF(M47="住宅",IF(D1="——",MAX(J51,L48),IF(D1="在建（套用方法）",MAX(J51,L48-'数据-取费表'!B24),MAX(J51,L48-'数据-取费表'!B20))),IF(D1="——",MIN(J51,L48),IF(D1="在建（套用方法）",MIN(J51,L48-'数据-取费表'!B24),IF(D1="土地（套用方法）",MIN(J51,L48-'数据-取费表'!B20)))))</f>
        <v>0</v>
      </c>
      <c r="K53" s="3185" t="s">
        <v>1544</v>
      </c>
      <c r="L53" s="3186"/>
      <c r="O53" s="1887" t="s">
        <v>1043</v>
      </c>
      <c r="P53" s="1888" t="s">
        <v>1545</v>
      </c>
      <c r="Q53" s="1889" t="e">
        <f ca="1">Q47+Q48</f>
        <v>#DIV/0!</v>
      </c>
      <c r="R53" s="1889" t="s">
        <v>1044</v>
      </c>
    </row>
    <row r="54" spans="1:18" s="1845" customFormat="1" ht="13.5" thickBot="1">
      <c r="A54" s="1197"/>
      <c r="B54" s="1944" t="s">
        <v>1599</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1546</v>
      </c>
      <c r="P54" s="1842"/>
      <c r="Q54" s="1842"/>
      <c r="R54" s="1842"/>
    </row>
    <row r="55" spans="1:18" s="1845" customFormat="1" ht="13.5" thickBot="1">
      <c r="A55" s="1336" t="s">
        <v>1072</v>
      </c>
      <c r="B55" s="1830" t="s">
        <v>1409</v>
      </c>
      <c r="C55" s="1337"/>
      <c r="D55" s="1827"/>
      <c r="E55" s="1835"/>
      <c r="F55" s="1910"/>
      <c r="I55" s="1913" t="s">
        <v>1547</v>
      </c>
      <c r="J55" s="1914" t="e">
        <f ca="1">ROUND(IF(J47="钢混",J57/J50,1-(1-2%)*(J50-J57)/J50),3)</f>
        <v>#DIV/0!</v>
      </c>
      <c r="K55" s="1915" t="s">
        <v>1548</v>
      </c>
      <c r="L55" s="1916"/>
      <c r="O55" s="1880" t="s">
        <v>1518</v>
      </c>
      <c r="P55" s="1881" t="s">
        <v>1519</v>
      </c>
      <c r="Q55" s="1882" t="s">
        <v>1520</v>
      </c>
      <c r="R55" s="1882" t="s">
        <v>1521</v>
      </c>
    </row>
    <row r="56" spans="1:18" s="1845" customFormat="1" ht="36" customHeight="1" thickTop="1" thickBot="1">
      <c r="A56" s="1179">
        <v>2</v>
      </c>
      <c r="B56" s="1180" t="s">
        <v>1410</v>
      </c>
      <c r="C56" s="276">
        <f ca="1">C13</f>
        <v>0</v>
      </c>
      <c r="D56" s="1917"/>
      <c r="E56" s="1918"/>
      <c r="F56" s="1910"/>
      <c r="I56" s="1919" t="s">
        <v>1550</v>
      </c>
      <c r="J56" s="1920"/>
      <c r="K56" s="1890" t="s">
        <v>1551</v>
      </c>
      <c r="L56" s="1893">
        <f ca="1">IF(L48&lt;J51,"——",L48-J51)</f>
        <v>0</v>
      </c>
      <c r="O56" s="1887" t="s">
        <v>1037</v>
      </c>
      <c r="P56" s="1888" t="s">
        <v>1524</v>
      </c>
      <c r="Q56" s="1889" t="e">
        <f ca="1">C40+J29</f>
        <v>#DIV/0!</v>
      </c>
      <c r="R56" s="1889" t="s">
        <v>1525</v>
      </c>
    </row>
    <row r="57" spans="1:18" s="1845" customFormat="1" ht="24.75" thickBot="1">
      <c r="A57" s="1921"/>
      <c r="B57" s="1172" t="s">
        <v>1474</v>
      </c>
      <c r="C57" s="282">
        <f ca="1">C29</f>
        <v>0</v>
      </c>
      <c r="D57" s="1922"/>
      <c r="E57" s="1923"/>
      <c r="F57" s="1924"/>
      <c r="I57" s="1925" t="s">
        <v>1552</v>
      </c>
      <c r="J57" s="1926">
        <f ca="1">IF(OR(M47="住宅",J51&lt;L48,J56="是"),"——",J51-L48)</f>
        <v>0</v>
      </c>
      <c r="K57" s="1890" t="s">
        <v>1601</v>
      </c>
      <c r="L57" s="1893">
        <f ca="1">IF(L48&lt;J51,"——",IF(L55="比较法",L49,IF(L55="基准地价",L50,L51)))</f>
        <v>0</v>
      </c>
      <c r="O57" s="1887" t="s">
        <v>1038</v>
      </c>
      <c r="P57" s="1888" t="s">
        <v>1602</v>
      </c>
      <c r="Q57" s="1889" t="e">
        <f ca="1">L60</f>
        <v>#DIV/0!</v>
      </c>
      <c r="R57" s="1889" t="s">
        <v>1603</v>
      </c>
    </row>
    <row r="58" spans="1:18" s="1845" customFormat="1" ht="24.75" thickBot="1">
      <c r="A58" s="360" t="s">
        <v>1027</v>
      </c>
      <c r="B58" s="1180" t="s">
        <v>1420</v>
      </c>
      <c r="C58" s="361">
        <f ca="1">ROUND(C59+C64+C65+C66,0)</f>
        <v>0</v>
      </c>
      <c r="D58" s="1182" t="s">
        <v>1421</v>
      </c>
      <c r="E58" s="1183"/>
      <c r="F58" s="1184"/>
      <c r="I58" s="1925" t="s">
        <v>1556</v>
      </c>
      <c r="J58" s="1927" t="e">
        <f ca="1">IF(J55&lt;0.4,0.4,J55)</f>
        <v>#DIV/0!</v>
      </c>
      <c r="K58" s="1903" t="s">
        <v>1604</v>
      </c>
      <c r="L58" s="1893" t="e">
        <f ca="1">ROUND(POWER(1+L52,L47-L48)*(POWER(1+L52,L48)-1)/(POWER(1+L52,L47)-1),4)</f>
        <v>#DIV/0!</v>
      </c>
      <c r="O58" s="1897" t="s">
        <v>1039</v>
      </c>
      <c r="P58" s="1888" t="s">
        <v>1558</v>
      </c>
      <c r="Q58" s="1889">
        <f>IF(L55="比较法",L49,IF(L55="基准地价",L50,0))</f>
        <v>0</v>
      </c>
      <c r="R58" s="1889" t="s">
        <v>1525</v>
      </c>
    </row>
    <row r="59" spans="1:18" s="1845" customFormat="1" ht="24.75" thickBot="1">
      <c r="A59" s="1204" t="s">
        <v>1032</v>
      </c>
      <c r="B59" s="1172" t="s">
        <v>1425</v>
      </c>
      <c r="C59" s="24">
        <f ca="1">ROUND(IF(项目基本情况!B11="自然人",C48*F59,C60+C61+C62),0)</f>
        <v>0</v>
      </c>
      <c r="D59" s="1185" t="s">
        <v>1426</v>
      </c>
      <c r="E59" s="1186" t="s">
        <v>1427</v>
      </c>
      <c r="F59" s="368" t="str">
        <f ca="1">IF(项目基本情况!B11="企业","",IF(INDIRECT("'数据-取费表'!c"&amp;$G$1)="住宅",5%,IF(F49*F50*F51/12/(1+'数据-取费表'!C42)&gt;20000,12%,7%)))</f>
        <v/>
      </c>
      <c r="I59" s="1925" t="s">
        <v>1559</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1040</v>
      </c>
      <c r="P59" s="1888" t="s">
        <v>1560</v>
      </c>
      <c r="Q59" s="1900">
        <f>L52</f>
        <v>0</v>
      </c>
      <c r="R59" s="1889"/>
    </row>
    <row r="60" spans="1:18" s="1845" customFormat="1" ht="16.5" thickBot="1">
      <c r="A60" s="1204" t="s">
        <v>1031</v>
      </c>
      <c r="B60" s="1172" t="s">
        <v>1429</v>
      </c>
      <c r="C60" s="24">
        <f ca="1">IF(项目基本情况!B11="自然人","——",ROUND(C48*F60/(1+'数据-取费表'!C42),0))</f>
        <v>0</v>
      </c>
      <c r="D60" s="1186" t="s">
        <v>1430</v>
      </c>
      <c r="E60" s="1172" t="s">
        <v>1418</v>
      </c>
      <c r="F60" s="377">
        <f t="shared" ref="F60:F66" si="0">F32</f>
        <v>5.5000000000000007E-2</v>
      </c>
      <c r="I60" s="1928" t="s">
        <v>1561</v>
      </c>
      <c r="J60" s="1929" t="e">
        <f ca="1">IF(OR(M47="住宅",J51&lt;L48,J56="是"),"0",ROUND(J59/(1+J52)^J53,0))</f>
        <v>#DIV/0!</v>
      </c>
      <c r="K60" s="1930" t="s">
        <v>1562</v>
      </c>
      <c r="L60" s="1929" t="e">
        <f ca="1">IF(OR(M47="住宅",L48&lt;J51),0,ROUND(L57*(L58/L59-1),0))</f>
        <v>#DIV/0!</v>
      </c>
      <c r="O60" s="1897" t="s">
        <v>1041</v>
      </c>
      <c r="P60" s="1888" t="s">
        <v>1563</v>
      </c>
      <c r="Q60" s="1889" t="e">
        <f ca="1">L58</f>
        <v>#DIV/0!</v>
      </c>
      <c r="R60" s="1889" t="s">
        <v>1564</v>
      </c>
    </row>
    <row r="61" spans="1:18" s="1845" customFormat="1" ht="13.5" thickBot="1">
      <c r="A61" s="1204" t="s">
        <v>1488</v>
      </c>
      <c r="B61" s="1172" t="s">
        <v>1489</v>
      </c>
      <c r="C61" s="24">
        <f ca="1">IF(项目基本情况!B11="自然人","——",IF(D61="按租金收入计税",ROUND(C48*F61,0),IF(D61="按房产原值计税",ROUND(C57*F61*0.7,0),INDIRECT("'数据-取费表'!Aj"&amp;$G$1))))</f>
        <v>0</v>
      </c>
      <c r="D61" s="1831" t="s">
        <v>1434</v>
      </c>
      <c r="E61" s="1172" t="s">
        <v>1490</v>
      </c>
      <c r="F61" s="367">
        <f t="shared" si="0"/>
        <v>1.2E-2</v>
      </c>
      <c r="I61" s="1931"/>
      <c r="J61" s="1931"/>
      <c r="K61" s="1931"/>
      <c r="L61" s="1931"/>
      <c r="O61" s="1897" t="s">
        <v>1042</v>
      </c>
      <c r="P61" s="1888" t="str">
        <f>K59</f>
        <v>建设期及建筑物耐用年限下的土地年期修正系数Kn</v>
      </c>
      <c r="Q61" s="1889" t="e">
        <f ca="1">L59</f>
        <v>#DIV/0!</v>
      </c>
      <c r="R61" s="1889" t="s">
        <v>1565</v>
      </c>
    </row>
    <row r="62" spans="1:18" s="1845" customFormat="1" ht="13.5" thickBot="1">
      <c r="A62" s="1204" t="s">
        <v>1491</v>
      </c>
      <c r="B62" s="1171" t="s">
        <v>1492</v>
      </c>
      <c r="C62" s="25">
        <f ca="1">IF(项目基本情况!B11="自然人","——",ROUND(F62*F63,0))</f>
        <v>0</v>
      </c>
      <c r="D62" s="1187" t="s">
        <v>1493</v>
      </c>
      <c r="E62" s="1172" t="s">
        <v>1494</v>
      </c>
      <c r="F62" s="371">
        <f t="shared" si="0"/>
        <v>3</v>
      </c>
      <c r="I62" s="1932" t="s">
        <v>1566</v>
      </c>
      <c r="J62" s="1933" t="s">
        <v>1567</v>
      </c>
      <c r="K62" s="1933" t="s">
        <v>1568</v>
      </c>
      <c r="L62" s="1933" t="s">
        <v>1569</v>
      </c>
      <c r="M62" s="1934" t="s">
        <v>1570</v>
      </c>
      <c r="O62" s="1887" t="s">
        <v>1043</v>
      </c>
      <c r="P62" s="1888" t="s">
        <v>1571</v>
      </c>
      <c r="Q62" s="1889" t="e">
        <f ca="1">Q56+Q57</f>
        <v>#DIV/0!</v>
      </c>
      <c r="R62" s="1889" t="s">
        <v>1044</v>
      </c>
    </row>
    <row r="63" spans="1:18" s="1845" customFormat="1" ht="13.5" thickBot="1">
      <c r="A63" s="372"/>
      <c r="B63" s="1178"/>
      <c r="C63" s="29"/>
      <c r="D63" s="1188"/>
      <c r="E63" s="1172" t="s">
        <v>1495</v>
      </c>
      <c r="F63" s="348">
        <f t="shared" ca="1" si="0"/>
        <v>0</v>
      </c>
      <c r="I63" s="1932" t="s">
        <v>1572</v>
      </c>
      <c r="J63" s="1933">
        <v>70</v>
      </c>
      <c r="K63" s="1933">
        <v>50</v>
      </c>
      <c r="L63" s="1933">
        <v>80</v>
      </c>
      <c r="M63" s="1935">
        <v>0.02</v>
      </c>
      <c r="O63" s="1872" t="s">
        <v>1573</v>
      </c>
      <c r="P63" s="1842"/>
      <c r="Q63" s="1842"/>
      <c r="R63" s="1842"/>
    </row>
    <row r="64" spans="1:18" s="1845" customFormat="1" ht="13.5" thickBot="1">
      <c r="A64" s="1204" t="s">
        <v>1496</v>
      </c>
      <c r="B64" s="1172" t="s">
        <v>1497</v>
      </c>
      <c r="C64" s="24">
        <f ca="1">ROUND(C57*F64,0)</f>
        <v>0</v>
      </c>
      <c r="D64" s="1186" t="s">
        <v>1498</v>
      </c>
      <c r="E64" s="1172" t="s">
        <v>1490</v>
      </c>
      <c r="F64" s="374">
        <f t="shared" ca="1" si="0"/>
        <v>0</v>
      </c>
      <c r="I64" s="1932" t="s">
        <v>1574</v>
      </c>
      <c r="J64" s="1933">
        <v>50</v>
      </c>
      <c r="K64" s="1933">
        <v>35</v>
      </c>
      <c r="L64" s="1933">
        <v>60</v>
      </c>
      <c r="M64" s="1934">
        <v>0</v>
      </c>
      <c r="O64" s="1880" t="s">
        <v>1518</v>
      </c>
      <c r="P64" s="1881" t="s">
        <v>1519</v>
      </c>
      <c r="Q64" s="1882" t="s">
        <v>1520</v>
      </c>
      <c r="R64" s="1882" t="s">
        <v>1521</v>
      </c>
    </row>
    <row r="65" spans="1:18" s="1845" customFormat="1" ht="13.5" thickBot="1">
      <c r="A65" s="1204" t="s">
        <v>1499</v>
      </c>
      <c r="B65" s="1172" t="s">
        <v>1449</v>
      </c>
      <c r="C65" s="24">
        <f ca="1">ROUND(C56*F65,0)</f>
        <v>0</v>
      </c>
      <c r="D65" s="1186" t="s">
        <v>1450</v>
      </c>
      <c r="E65" s="1172" t="s">
        <v>1451</v>
      </c>
      <c r="F65" s="376">
        <f t="shared" ca="1" si="0"/>
        <v>0</v>
      </c>
      <c r="I65" s="1932" t="s">
        <v>1575</v>
      </c>
      <c r="J65" s="1933">
        <v>40</v>
      </c>
      <c r="K65" s="1933">
        <v>30</v>
      </c>
      <c r="L65" s="1933">
        <v>50</v>
      </c>
      <c r="M65" s="1935">
        <v>0.02</v>
      </c>
      <c r="O65" s="1887" t="s">
        <v>1037</v>
      </c>
      <c r="P65" s="1888" t="s">
        <v>1576</v>
      </c>
      <c r="Q65" s="1889" t="e">
        <f ca="1">C40+J29</f>
        <v>#DIV/0!</v>
      </c>
      <c r="R65" s="1889" t="s">
        <v>1525</v>
      </c>
    </row>
    <row r="66" spans="1:18" s="1845" customFormat="1" ht="16.5" thickBot="1">
      <c r="A66" s="1204" t="s">
        <v>1500</v>
      </c>
      <c r="B66" s="1172" t="s">
        <v>1435</v>
      </c>
      <c r="C66" s="24">
        <f ca="1">ROUND(C48*F66,0)</f>
        <v>0</v>
      </c>
      <c r="D66" s="1186" t="s">
        <v>1501</v>
      </c>
      <c r="E66" s="1172" t="s">
        <v>1418</v>
      </c>
      <c r="F66" s="357">
        <f t="shared" ca="1" si="0"/>
        <v>0</v>
      </c>
      <c r="O66" s="1887" t="s">
        <v>1038</v>
      </c>
      <c r="P66" s="1888" t="s">
        <v>1554</v>
      </c>
      <c r="Q66" s="1889" t="e">
        <f ca="1">L60</f>
        <v>#DIV/0!</v>
      </c>
      <c r="R66" s="1889" t="s">
        <v>1577</v>
      </c>
    </row>
    <row r="67" spans="1:18" s="1845" customFormat="1" ht="16.5" thickBot="1">
      <c r="A67" s="1179" t="s">
        <v>1028</v>
      </c>
      <c r="B67" s="1189" t="s">
        <v>1459</v>
      </c>
      <c r="C67" s="361">
        <f ca="1">C48-C58</f>
        <v>0</v>
      </c>
      <c r="D67" s="1185" t="s">
        <v>1460</v>
      </c>
      <c r="E67" s="1190"/>
      <c r="F67" s="1191"/>
      <c r="O67" s="1897" t="s">
        <v>1039</v>
      </c>
      <c r="P67" s="1888" t="s">
        <v>1558</v>
      </c>
      <c r="Q67" s="1936">
        <f ca="1">L51</f>
        <v>0</v>
      </c>
      <c r="R67" s="1889" t="s">
        <v>1578</v>
      </c>
    </row>
    <row r="68" spans="1:18" s="1845" customFormat="1" ht="16.5" thickBot="1">
      <c r="A68" s="1169" t="s">
        <v>1029</v>
      </c>
      <c r="B68" s="1170" t="s">
        <v>1481</v>
      </c>
      <c r="C68" s="346" t="e">
        <f ca="1">ROUND(C67*(1-((1+F70)/(1+F68))^F69)/(F68-F70),0)</f>
        <v>#DIV/0!</v>
      </c>
      <c r="D68" s="1187" t="s">
        <v>1465</v>
      </c>
      <c r="E68" s="1172" t="s">
        <v>1466</v>
      </c>
      <c r="F68" s="357">
        <f ca="1">F40</f>
        <v>0</v>
      </c>
      <c r="O68" s="1897" t="s">
        <v>1040</v>
      </c>
      <c r="P68" s="1937" t="s">
        <v>1579</v>
      </c>
      <c r="Q68" s="1889">
        <f ca="1">ROUND(Q69-Q70*Q71,0)</f>
        <v>0</v>
      </c>
      <c r="R68" s="1889" t="s">
        <v>1048</v>
      </c>
    </row>
    <row r="69" spans="1:18" s="1845" customFormat="1" ht="13.5" thickBot="1">
      <c r="A69" s="1173"/>
      <c r="B69" s="1174"/>
      <c r="C69" s="351"/>
      <c r="D69" s="1192" t="s">
        <v>1469</v>
      </c>
      <c r="E69" s="1172" t="s">
        <v>1470</v>
      </c>
      <c r="F69" s="379">
        <f ca="1">F41</f>
        <v>0</v>
      </c>
      <c r="O69" s="1897" t="s">
        <v>1045</v>
      </c>
      <c r="P69" s="1937" t="s">
        <v>1580</v>
      </c>
      <c r="Q69" s="1889">
        <f ca="1">C39</f>
        <v>0</v>
      </c>
      <c r="R69" s="1889" t="s">
        <v>1525</v>
      </c>
    </row>
    <row r="70" spans="1:18" s="1845" customFormat="1" ht="13.5" thickBot="1">
      <c r="A70" s="1176"/>
      <c r="B70" s="1177"/>
      <c r="C70" s="355"/>
      <c r="D70" s="1188"/>
      <c r="E70" s="1172" t="s">
        <v>1473</v>
      </c>
      <c r="F70" s="1278">
        <f ca="1">F42</f>
        <v>0</v>
      </c>
      <c r="O70" s="1897" t="s">
        <v>1046</v>
      </c>
      <c r="P70" s="1937" t="s">
        <v>1581</v>
      </c>
      <c r="Q70" s="1889">
        <f ca="1">C13</f>
        <v>0</v>
      </c>
      <c r="R70" s="1889" t="s">
        <v>1525</v>
      </c>
    </row>
    <row r="71" spans="1:18" s="1845" customFormat="1" ht="13.5" thickBot="1">
      <c r="A71" s="1193" t="s">
        <v>1030</v>
      </c>
      <c r="B71" s="1194" t="s">
        <v>1483</v>
      </c>
      <c r="C71" s="382" t="e">
        <f ca="1">ROUND(C68/F71,0)</f>
        <v>#DIV/0!</v>
      </c>
      <c r="D71" s="1195" t="s">
        <v>1484</v>
      </c>
      <c r="E71" s="1196" t="s">
        <v>1485</v>
      </c>
      <c r="F71" s="385">
        <f ca="1">F43</f>
        <v>0</v>
      </c>
      <c r="O71" s="1897" t="s">
        <v>1047</v>
      </c>
      <c r="P71" s="1937" t="s">
        <v>1582</v>
      </c>
      <c r="Q71" s="1900">
        <f ca="1">C76</f>
        <v>0</v>
      </c>
      <c r="R71" s="1889"/>
    </row>
    <row r="72" spans="1:18" s="1845" customFormat="1" ht="13.5" thickBot="1">
      <c r="B72" s="796"/>
      <c r="C72" s="796"/>
      <c r="O72" s="1897" t="s">
        <v>1041</v>
      </c>
      <c r="P72" s="1888" t="s">
        <v>1560</v>
      </c>
      <c r="Q72" s="1900">
        <f>L52</f>
        <v>0</v>
      </c>
      <c r="R72" s="1889"/>
    </row>
    <row r="73" spans="1:18" ht="16.5" thickBot="1">
      <c r="A73" s="1845"/>
      <c r="B73" s="796"/>
      <c r="C73" s="796"/>
      <c r="D73" s="1845"/>
      <c r="E73" s="1845"/>
      <c r="F73" s="1845"/>
      <c r="O73" s="1897" t="s">
        <v>1042</v>
      </c>
      <c r="P73" s="1888" t="s">
        <v>1563</v>
      </c>
      <c r="Q73" s="1889" t="e">
        <f ca="1">L58</f>
        <v>#DIV/0!</v>
      </c>
      <c r="R73" s="1889" t="s">
        <v>1564</v>
      </c>
    </row>
    <row r="74" spans="1:18" ht="13.5" thickBot="1">
      <c r="A74" s="1845"/>
      <c r="B74" s="317" t="s">
        <v>1583</v>
      </c>
      <c r="C74" s="1939"/>
      <c r="D74" s="1845"/>
      <c r="E74" s="1845"/>
      <c r="F74" s="1845"/>
      <c r="O74" s="1897" t="s">
        <v>1049</v>
      </c>
      <c r="P74" s="1888" t="str">
        <f>K59</f>
        <v>建设期及建筑物耐用年限下的土地年期修正系数Kn</v>
      </c>
      <c r="Q74" s="1889" t="e">
        <f ca="1">L59</f>
        <v>#DIV/0!</v>
      </c>
      <c r="R74" s="1889" t="s">
        <v>1565</v>
      </c>
    </row>
    <row r="75" spans="1:18" ht="13.5" thickBot="1">
      <c r="A75" s="1845"/>
      <c r="B75" s="386" t="s">
        <v>1502</v>
      </c>
      <c r="C75" s="387">
        <f ca="1">ROUND(C13*C76,0)</f>
        <v>0</v>
      </c>
      <c r="D75" s="1845"/>
      <c r="E75" s="1845"/>
      <c r="F75" s="1845"/>
      <c r="K75" s="1871"/>
      <c r="L75" s="1845"/>
      <c r="O75" s="1887" t="s">
        <v>1043</v>
      </c>
      <c r="P75" s="1888" t="s">
        <v>1545</v>
      </c>
      <c r="Q75" s="1889" t="e">
        <f ca="1">Q65+Q66</f>
        <v>#DIV/0!</v>
      </c>
      <c r="R75" s="1889" t="s">
        <v>1044</v>
      </c>
    </row>
    <row r="76" spans="1:18">
      <c r="B76" s="388" t="s">
        <v>1503</v>
      </c>
      <c r="C76" s="389">
        <f ca="1">INDIRECT("'数据-取费表'!j"&amp;$G$1)</f>
        <v>0</v>
      </c>
      <c r="I76" s="1845"/>
      <c r="J76" s="1845"/>
      <c r="K76" s="1871"/>
      <c r="L76" s="1845"/>
    </row>
    <row r="77" spans="1:18">
      <c r="B77" s="390" t="s">
        <v>1504</v>
      </c>
      <c r="C77" s="391"/>
      <c r="I77" s="1845"/>
      <c r="J77" s="1845"/>
      <c r="K77" s="1871"/>
      <c r="L77" s="1845"/>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8" sqref="F8"/>
    </sheetView>
  </sheetViews>
  <sheetFormatPr defaultColWidth="9"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4" t="s">
        <v>2517</v>
      </c>
      <c r="B1" s="2565"/>
      <c r="C1" s="2565"/>
      <c r="D1" s="2565"/>
      <c r="E1" s="2566"/>
    </row>
    <row r="2" spans="1:6" ht="15.75">
      <c r="A2" s="2567" t="s">
        <v>2318</v>
      </c>
      <c r="B2" s="2568">
        <f ca="1">SUMIF(B6:B13,"&lt;&gt;#ref!",B6:B13)</f>
        <v>130679</v>
      </c>
      <c r="C2" s="2569" t="s">
        <v>2510</v>
      </c>
      <c r="D2" s="2570" t="s">
        <v>2511</v>
      </c>
      <c r="E2" s="2571">
        <f>SUM(E6:E13)</f>
        <v>134490.28000000003</v>
      </c>
    </row>
    <row r="3" spans="1:6" ht="15.75">
      <c r="A3" s="2567" t="s">
        <v>1391</v>
      </c>
      <c r="B3" s="2568">
        <f ca="1">ROUND(B2*10000/E2,0)</f>
        <v>9717</v>
      </c>
      <c r="C3" s="2569" t="s">
        <v>2518</v>
      </c>
      <c r="D3" s="2572"/>
      <c r="E3" s="2573"/>
    </row>
    <row r="4" spans="1:6" ht="15.75">
      <c r="A4" s="2574"/>
      <c r="B4" s="2572"/>
      <c r="C4" s="2572"/>
      <c r="D4" s="2572"/>
      <c r="E4" s="2573"/>
    </row>
    <row r="5" spans="1:6" ht="15">
      <c r="A5" s="2575" t="s">
        <v>2512</v>
      </c>
      <c r="B5" s="3187" t="s">
        <v>2513</v>
      </c>
      <c r="C5" s="3187"/>
      <c r="D5" s="2576"/>
      <c r="E5" s="2577" t="s">
        <v>2514</v>
      </c>
      <c r="F5" s="2578" t="s">
        <v>2515</v>
      </c>
    </row>
    <row r="6" spans="1:6">
      <c r="A6" s="2579" t="str">
        <f>'数据-取费表'!AN6</f>
        <v>收益法-工业</v>
      </c>
      <c r="B6" s="2578">
        <f ca="1">IF(F6="是",'数据-取费表'!AO6,0)</f>
        <v>43289</v>
      </c>
      <c r="C6" s="2569" t="s">
        <v>2510</v>
      </c>
      <c r="D6" s="2572"/>
      <c r="E6" s="2991">
        <f>IF(OR(A6=0,F6="否"),0,'数据-取费表'!K6+'数据-取费表'!S6)</f>
        <v>51169</v>
      </c>
      <c r="F6" s="2581" t="s">
        <v>2516</v>
      </c>
    </row>
    <row r="7" spans="1:6">
      <c r="A7" s="2579" t="str">
        <f>'数据-取费表'!AN7</f>
        <v>收益法-办公</v>
      </c>
      <c r="B7" s="2578">
        <f ca="1">IF(F7="是",'数据-取费表'!AO7,0)</f>
        <v>87390</v>
      </c>
      <c r="C7" s="2569" t="s">
        <v>2510</v>
      </c>
      <c r="D7" s="2572"/>
      <c r="E7" s="2580">
        <f>IF(OR(A7=0,F7="否"),0,'数据-取费表'!K7+'数据-取费表'!S7)</f>
        <v>83321.280000000013</v>
      </c>
      <c r="F7" s="2581" t="s">
        <v>2516</v>
      </c>
    </row>
    <row r="8" spans="1:6">
      <c r="A8" s="2579">
        <f>'数据-取费表'!AN8</f>
        <v>0</v>
      </c>
      <c r="B8" s="2578" t="e">
        <f ca="1">IF(F8="是",'数据-取费表'!AO8,0)</f>
        <v>#REF!</v>
      </c>
      <c r="C8" s="2569" t="s">
        <v>2510</v>
      </c>
      <c r="D8" s="2572"/>
      <c r="E8" s="2580">
        <f>IF(OR(A8=0,F8="否"),0,'数据-取费表'!K8+'数据-取费表'!S8)</f>
        <v>0</v>
      </c>
      <c r="F8" s="2581" t="s">
        <v>2516</v>
      </c>
    </row>
    <row r="9" spans="1:6">
      <c r="A9" s="2579">
        <f>'数据-取费表'!AN9</f>
        <v>0</v>
      </c>
      <c r="B9" s="2578" t="e">
        <f ca="1">IF(F9="是",'数据-取费表'!AO9,0)</f>
        <v>#REF!</v>
      </c>
      <c r="C9" s="2569" t="s">
        <v>2510</v>
      </c>
      <c r="D9" s="2572"/>
      <c r="E9" s="2580">
        <f>IF(OR(A9=0,F9="否"),0,'数据-取费表'!K9+'数据-取费表'!S9)</f>
        <v>0</v>
      </c>
      <c r="F9" s="2581" t="s">
        <v>2516</v>
      </c>
    </row>
    <row r="10" spans="1:6">
      <c r="A10" s="2579">
        <f>'数据-取费表'!AN10</f>
        <v>0</v>
      </c>
      <c r="B10" s="2578" t="e">
        <f ca="1">IF(F10="是",'数据-取费表'!AO10,0)</f>
        <v>#REF!</v>
      </c>
      <c r="C10" s="2569" t="s">
        <v>2510</v>
      </c>
      <c r="D10" s="2572"/>
      <c r="E10" s="2580">
        <f>IF(OR(A10=0,F10="否"),0,'数据-取费表'!K10+'数据-取费表'!S10)</f>
        <v>0</v>
      </c>
      <c r="F10" s="2581" t="s">
        <v>2516</v>
      </c>
    </row>
    <row r="11" spans="1:6">
      <c r="A11" s="2579">
        <f>'数据-取费表'!AN11</f>
        <v>0</v>
      </c>
      <c r="B11" s="2578" t="e">
        <f ca="1">IF(F11="是",'数据-取费表'!AO11,0)</f>
        <v>#REF!</v>
      </c>
      <c r="C11" s="2569" t="s">
        <v>2510</v>
      </c>
      <c r="D11" s="2572"/>
      <c r="E11" s="2580">
        <f>IF(OR(A11=0,F11="否"),0,'数据-取费表'!K11+'数据-取费表'!S11)</f>
        <v>0</v>
      </c>
      <c r="F11" s="2581" t="s">
        <v>2516</v>
      </c>
    </row>
    <row r="12" spans="1:6">
      <c r="A12" s="2579">
        <f>'数据-取费表'!AN12</f>
        <v>0</v>
      </c>
      <c r="B12" s="2578" t="e">
        <f ca="1">IF(F12="是",'数据-取费表'!AO12,0)</f>
        <v>#REF!</v>
      </c>
      <c r="C12" s="2569" t="s">
        <v>2510</v>
      </c>
      <c r="D12" s="2572"/>
      <c r="E12" s="2580">
        <f>IF(OR(A12=0,F12="否"),0,'数据-取费表'!K12+'数据-取费表'!S12)</f>
        <v>0</v>
      </c>
      <c r="F12" s="2581" t="s">
        <v>2516</v>
      </c>
    </row>
    <row r="13" spans="1:6" ht="15" thickBot="1">
      <c r="A13" s="2582">
        <f>'数据-取费表'!AN13</f>
        <v>0</v>
      </c>
      <c r="B13" s="2578" t="e">
        <f ca="1">IF(F13="是",'数据-取费表'!AO13,0)</f>
        <v>#REF!</v>
      </c>
      <c r="C13" s="2583" t="s">
        <v>2510</v>
      </c>
      <c r="D13" s="2584"/>
      <c r="E13" s="2580">
        <f>IF(OR(A13=0,F13="否"),0,'数据-取费表'!K13+'数据-取费表'!S13)</f>
        <v>0</v>
      </c>
      <c r="F13" s="2581" t="s">
        <v>2516</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AN6" sqref="AN6"/>
    </sheetView>
  </sheetViews>
  <sheetFormatPr defaultRowHeight="13.5"/>
  <cols>
    <col min="1" max="1" width="10.5" customWidth="1"/>
    <col min="2" max="2" width="12.875" customWidth="1"/>
    <col min="3" max="3" width="8.75" customWidth="1"/>
  </cols>
  <sheetData>
    <row r="1" spans="1:9" ht="14.25">
      <c r="A1" s="3204" t="s">
        <v>1073</v>
      </c>
      <c r="B1" s="3205"/>
      <c r="C1" s="3206"/>
      <c r="D1" s="3207">
        <f>SUM(I10,I15,I20,I21,I23)</f>
        <v>0</v>
      </c>
      <c r="E1" s="3207"/>
      <c r="F1" s="3207"/>
      <c r="G1" s="3207"/>
      <c r="H1" s="3207"/>
      <c r="I1" s="3208"/>
    </row>
    <row r="2" spans="1:9">
      <c r="A2" s="3194" t="s">
        <v>1074</v>
      </c>
      <c r="B2" s="3195" t="s">
        <v>1075</v>
      </c>
      <c r="C2" s="3195"/>
      <c r="D2" s="1304" t="s">
        <v>1076</v>
      </c>
      <c r="E2" s="1304" t="s">
        <v>1077</v>
      </c>
      <c r="F2" s="1304" t="s">
        <v>1078</v>
      </c>
      <c r="G2" s="1304" t="s">
        <v>1079</v>
      </c>
      <c r="H2" s="1304" t="s">
        <v>1080</v>
      </c>
      <c r="I2" s="1305" t="s">
        <v>1081</v>
      </c>
    </row>
    <row r="3" spans="1:9">
      <c r="A3" s="3194"/>
      <c r="B3" s="3195" t="s">
        <v>1082</v>
      </c>
      <c r="C3" s="3195"/>
      <c r="D3" s="1306"/>
      <c r="E3" s="1304"/>
      <c r="F3" s="1307"/>
      <c r="G3" s="1307"/>
      <c r="H3" s="1308"/>
      <c r="I3" s="1309">
        <f>ROUND(D3*E3*F3*G3*H3/10000,0)</f>
        <v>0</v>
      </c>
    </row>
    <row r="4" spans="1:9">
      <c r="A4" s="3194"/>
      <c r="B4" s="3195" t="s">
        <v>1083</v>
      </c>
      <c r="C4" s="3195"/>
      <c r="D4" s="1306"/>
      <c r="E4" s="1304"/>
      <c r="F4" s="1307"/>
      <c r="G4" s="1307"/>
      <c r="H4" s="1308"/>
      <c r="I4" s="1309">
        <f t="shared" ref="I4:I9" si="0">ROUND(D4*E4*F4*G4*H4/10000,0)</f>
        <v>0</v>
      </c>
    </row>
    <row r="5" spans="1:9">
      <c r="A5" s="3194"/>
      <c r="B5" s="3195" t="s">
        <v>1084</v>
      </c>
      <c r="C5" s="3195"/>
      <c r="D5" s="1306"/>
      <c r="E5" s="1304"/>
      <c r="F5" s="1307"/>
      <c r="G5" s="1307"/>
      <c r="H5" s="1308"/>
      <c r="I5" s="1309">
        <f t="shared" si="0"/>
        <v>0</v>
      </c>
    </row>
    <row r="6" spans="1:9">
      <c r="A6" s="3194"/>
      <c r="B6" s="3195" t="s">
        <v>1085</v>
      </c>
      <c r="C6" s="3195"/>
      <c r="D6" s="1306"/>
      <c r="E6" s="1304"/>
      <c r="F6" s="1307"/>
      <c r="G6" s="1307"/>
      <c r="H6" s="1308"/>
      <c r="I6" s="1309">
        <f t="shared" si="0"/>
        <v>0</v>
      </c>
    </row>
    <row r="7" spans="1:9">
      <c r="A7" s="3194"/>
      <c r="B7" s="3195" t="s">
        <v>1086</v>
      </c>
      <c r="C7" s="3195"/>
      <c r="D7" s="1306"/>
      <c r="E7" s="1304"/>
      <c r="F7" s="1307"/>
      <c r="G7" s="1307"/>
      <c r="H7" s="1308"/>
      <c r="I7" s="1309">
        <f t="shared" si="0"/>
        <v>0</v>
      </c>
    </row>
    <row r="8" spans="1:9">
      <c r="A8" s="3194"/>
      <c r="B8" s="3195" t="s">
        <v>1087</v>
      </c>
      <c r="C8" s="3195"/>
      <c r="D8" s="1306"/>
      <c r="E8" s="1304"/>
      <c r="F8" s="1307"/>
      <c r="G8" s="1307"/>
      <c r="H8" s="1308"/>
      <c r="I8" s="1309">
        <f t="shared" si="0"/>
        <v>0</v>
      </c>
    </row>
    <row r="9" spans="1:9">
      <c r="A9" s="3194"/>
      <c r="B9" s="3195" t="s">
        <v>1088</v>
      </c>
      <c r="C9" s="3195"/>
      <c r="D9" s="1306"/>
      <c r="E9" s="1304"/>
      <c r="F9" s="1307"/>
      <c r="G9" s="1307"/>
      <c r="H9" s="1308"/>
      <c r="I9" s="1309">
        <f t="shared" si="0"/>
        <v>0</v>
      </c>
    </row>
    <row r="10" spans="1:9">
      <c r="A10" s="3194"/>
      <c r="B10" s="3196" t="s">
        <v>1089</v>
      </c>
      <c r="C10" s="3196"/>
      <c r="D10" s="1310"/>
      <c r="E10" s="1310" t="e">
        <f>ROUND(D1*10000/D10/H9,0)</f>
        <v>#DIV/0!</v>
      </c>
      <c r="F10" s="1311"/>
      <c r="G10" s="1311"/>
      <c r="H10" s="1312"/>
      <c r="I10" s="1313">
        <f>SUM(I3:I9)</f>
        <v>0</v>
      </c>
    </row>
    <row r="11" spans="1:9" ht="14.25">
      <c r="A11" s="3194" t="s">
        <v>1090</v>
      </c>
      <c r="B11" s="3195" t="s">
        <v>1091</v>
      </c>
      <c r="C11" s="3195"/>
      <c r="D11" s="1306" t="s">
        <v>1092</v>
      </c>
      <c r="E11" s="1306" t="s">
        <v>1093</v>
      </c>
      <c r="F11" s="1307" t="s">
        <v>1094</v>
      </c>
      <c r="G11" s="1307" t="s">
        <v>1080</v>
      </c>
      <c r="H11" s="1314" t="s">
        <v>1095</v>
      </c>
      <c r="I11" s="1305" t="s">
        <v>1081</v>
      </c>
    </row>
    <row r="12" spans="1:9">
      <c r="A12" s="3194"/>
      <c r="B12" s="3195" t="s">
        <v>1096</v>
      </c>
      <c r="C12" s="3195"/>
      <c r="D12" s="1306"/>
      <c r="E12" s="1306"/>
      <c r="F12" s="1307"/>
      <c r="G12" s="1308"/>
      <c r="H12" s="1315"/>
      <c r="I12" s="1305">
        <f>ROUND(D12*E12*F12*G12/10000,0)</f>
        <v>0</v>
      </c>
    </row>
    <row r="13" spans="1:9">
      <c r="A13" s="3194"/>
      <c r="B13" s="3195" t="s">
        <v>1097</v>
      </c>
      <c r="C13" s="3195"/>
      <c r="D13" s="1306"/>
      <c r="E13" s="1306"/>
      <c r="F13" s="1307"/>
      <c r="G13" s="1308"/>
      <c r="H13" s="1315"/>
      <c r="I13" s="1305">
        <f>ROUND(D13*E13*F13*G13/10000,0)</f>
        <v>0</v>
      </c>
    </row>
    <row r="14" spans="1:9">
      <c r="A14" s="3194"/>
      <c r="B14" s="3195" t="s">
        <v>1098</v>
      </c>
      <c r="C14" s="3195"/>
      <c r="D14" s="1306"/>
      <c r="E14" s="1306"/>
      <c r="F14" s="1307"/>
      <c r="G14" s="1308"/>
      <c r="H14" s="1315"/>
      <c r="I14" s="1305">
        <f>ROUND(D14*E14*F14*G14/10000,0)</f>
        <v>0</v>
      </c>
    </row>
    <row r="15" spans="1:9">
      <c r="A15" s="3194"/>
      <c r="B15" s="3196" t="s">
        <v>1089</v>
      </c>
      <c r="C15" s="3196"/>
      <c r="D15" s="1310"/>
      <c r="E15" s="1310">
        <f>SUM(E12:E14)</f>
        <v>0</v>
      </c>
      <c r="F15" s="1311"/>
      <c r="G15" s="1308"/>
      <c r="H15" s="1315"/>
      <c r="I15" s="1316">
        <f>SUM(I12:I14)</f>
        <v>0</v>
      </c>
    </row>
    <row r="16" spans="1:9" ht="24">
      <c r="A16" s="3194" t="s">
        <v>1099</v>
      </c>
      <c r="B16" s="3195" t="s">
        <v>1100</v>
      </c>
      <c r="C16" s="3195"/>
      <c r="D16" s="1306" t="s">
        <v>1076</v>
      </c>
      <c r="E16" s="1317" t="s">
        <v>1101</v>
      </c>
      <c r="F16" s="1307" t="s">
        <v>1102</v>
      </c>
      <c r="G16" s="1308" t="s">
        <v>1080</v>
      </c>
      <c r="H16" s="1314" t="s">
        <v>1095</v>
      </c>
      <c r="I16" s="1305" t="s">
        <v>1081</v>
      </c>
    </row>
    <row r="17" spans="1:9" ht="14.25">
      <c r="A17" s="3194"/>
      <c r="B17" s="3195" t="s">
        <v>1103</v>
      </c>
      <c r="C17" s="3195"/>
      <c r="D17" s="1306"/>
      <c r="E17" s="1306"/>
      <c r="F17" s="1307"/>
      <c r="G17" s="1308"/>
      <c r="H17" s="1318"/>
      <c r="I17" s="1319">
        <f>ROUND(D17*E17*F17*G17/10000,0)</f>
        <v>0</v>
      </c>
    </row>
    <row r="18" spans="1:9" ht="14.25">
      <c r="A18" s="3194"/>
      <c r="B18" s="3195" t="s">
        <v>1104</v>
      </c>
      <c r="C18" s="3195"/>
      <c r="D18" s="1306"/>
      <c r="E18" s="1306"/>
      <c r="F18" s="1307"/>
      <c r="G18" s="1308"/>
      <c r="H18" s="1318"/>
      <c r="I18" s="1319">
        <f>ROUND(D18*E18*F18*G18/10000,0)</f>
        <v>0</v>
      </c>
    </row>
    <row r="19" spans="1:9" ht="14.25">
      <c r="A19" s="3194"/>
      <c r="B19" s="3195" t="s">
        <v>1105</v>
      </c>
      <c r="C19" s="3195"/>
      <c r="D19" s="1306"/>
      <c r="E19" s="1306"/>
      <c r="F19" s="1307"/>
      <c r="G19" s="1308"/>
      <c r="H19" s="1318"/>
      <c r="I19" s="1319">
        <f>ROUND(D19*E19*F19*G19/10000,0)</f>
        <v>0</v>
      </c>
    </row>
    <row r="20" spans="1:9">
      <c r="A20" s="3194"/>
      <c r="B20" s="3196" t="s">
        <v>1089</v>
      </c>
      <c r="C20" s="3196"/>
      <c r="D20" s="1310">
        <f>SUM(D17:D19)</f>
        <v>0</v>
      </c>
      <c r="E20" s="1310"/>
      <c r="F20" s="1311"/>
      <c r="G20" s="1308"/>
      <c r="H20" s="1315"/>
      <c r="I20" s="1316">
        <f>SUM(I17:I19)</f>
        <v>0</v>
      </c>
    </row>
    <row r="21" spans="1:9">
      <c r="A21" s="3194" t="s">
        <v>1106</v>
      </c>
      <c r="B21" s="3197"/>
      <c r="C21" s="3197"/>
      <c r="D21" s="3197"/>
      <c r="E21" s="3197"/>
      <c r="F21" s="3197"/>
      <c r="G21" s="3197"/>
      <c r="H21" s="1768">
        <v>0.1</v>
      </c>
      <c r="I21" s="1313">
        <f>ROUND(I10*H21,0)</f>
        <v>0</v>
      </c>
    </row>
    <row r="22" spans="1:9" ht="14.25">
      <c r="A22" s="3198" t="s">
        <v>1107</v>
      </c>
      <c r="B22" s="3199"/>
      <c r="C22" s="3200"/>
      <c r="D22" s="1320" t="s">
        <v>1108</v>
      </c>
      <c r="E22" s="1320" t="s">
        <v>1109</v>
      </c>
      <c r="F22" s="1321" t="s">
        <v>1110</v>
      </c>
      <c r="G22" s="1321" t="s">
        <v>1111</v>
      </c>
      <c r="H22" s="1314" t="s">
        <v>1112</v>
      </c>
      <c r="I22" s="1305" t="s">
        <v>1113</v>
      </c>
    </row>
    <row r="23" spans="1:9" ht="14.25" thickBot="1">
      <c r="A23" s="3201"/>
      <c r="B23" s="3202"/>
      <c r="C23" s="3203"/>
      <c r="D23" s="1322"/>
      <c r="E23" s="1322"/>
      <c r="F23" s="1322"/>
      <c r="G23" s="1323"/>
      <c r="H23" s="1324"/>
      <c r="I23" s="1325">
        <f>ROUND(E23*D23*F23*(1-G23)/10000,0)</f>
        <v>0</v>
      </c>
    </row>
    <row r="26" spans="1:9">
      <c r="A26" s="1326" t="s">
        <v>1114</v>
      </c>
      <c r="B26" s="1326"/>
      <c r="C26" s="1326"/>
      <c r="D26" s="1326"/>
      <c r="E26" s="3191">
        <f>C27-C30-C31-C32</f>
        <v>0</v>
      </c>
      <c r="F26" s="3191"/>
      <c r="G26" s="3191"/>
      <c r="H26" s="1740" t="s">
        <v>1336</v>
      </c>
    </row>
    <row r="27" spans="1:9">
      <c r="A27" s="1327">
        <v>1</v>
      </c>
      <c r="B27" s="1328" t="s">
        <v>1115</v>
      </c>
      <c r="C27" s="1328">
        <f>C28+C29</f>
        <v>0</v>
      </c>
      <c r="D27" s="1328"/>
      <c r="E27" s="3192"/>
      <c r="F27" s="3192"/>
      <c r="G27" s="3192"/>
    </row>
    <row r="28" spans="1:9">
      <c r="A28" s="1329" t="s">
        <v>1116</v>
      </c>
      <c r="B28" s="1328" t="s">
        <v>1117</v>
      </c>
      <c r="C28" s="1328"/>
      <c r="D28" s="1328"/>
      <c r="E28" s="3192"/>
      <c r="F28" s="3192"/>
      <c r="G28" s="3192"/>
    </row>
    <row r="29" spans="1:9">
      <c r="A29" s="1329" t="s">
        <v>1118</v>
      </c>
      <c r="B29" s="1328" t="s">
        <v>1119</v>
      </c>
      <c r="C29" s="1328"/>
      <c r="D29" s="1328"/>
      <c r="E29" s="1328" t="s">
        <v>1120</v>
      </c>
      <c r="F29" s="1328"/>
      <c r="G29" s="1328"/>
    </row>
    <row r="30" spans="1:9">
      <c r="A30" s="1327">
        <v>2</v>
      </c>
      <c r="B30" s="1328" t="s">
        <v>1121</v>
      </c>
      <c r="C30" s="1328">
        <f>C27*D30</f>
        <v>0</v>
      </c>
      <c r="D30" s="1330">
        <v>0.2</v>
      </c>
      <c r="E30" s="1328" t="s">
        <v>1122</v>
      </c>
      <c r="F30" s="1328"/>
      <c r="G30" s="1328"/>
    </row>
    <row r="31" spans="1:9">
      <c r="A31" s="1327">
        <v>3</v>
      </c>
      <c r="B31" s="1328" t="s">
        <v>1123</v>
      </c>
      <c r="C31" s="1328">
        <f>C25*D31</f>
        <v>0</v>
      </c>
      <c r="D31" s="1330">
        <v>0.15</v>
      </c>
      <c r="E31" s="1328" t="s">
        <v>1124</v>
      </c>
      <c r="F31" s="1328"/>
      <c r="G31" s="1328"/>
    </row>
    <row r="32" spans="1:9">
      <c r="A32" s="1327">
        <v>4</v>
      </c>
      <c r="B32" s="1328" t="s">
        <v>1125</v>
      </c>
      <c r="C32" s="1328">
        <f>C27*D32</f>
        <v>0</v>
      </c>
      <c r="D32" s="1330">
        <v>0.05</v>
      </c>
      <c r="E32" s="3193"/>
      <c r="F32" s="3193"/>
      <c r="G32" s="3193"/>
    </row>
    <row r="33" spans="1:7" hidden="1">
      <c r="A33" s="3188" t="s">
        <v>1126</v>
      </c>
      <c r="B33" s="3189"/>
      <c r="C33" s="3189"/>
      <c r="D33" s="3190"/>
      <c r="E33" s="3191"/>
      <c r="F33" s="3191"/>
      <c r="G33" s="3191"/>
    </row>
    <row r="34" spans="1:7" hidden="1">
      <c r="A34" s="1331">
        <v>1</v>
      </c>
      <c r="B34" s="1328" t="s">
        <v>1127</v>
      </c>
      <c r="C34" s="1328"/>
      <c r="D34" s="1328"/>
      <c r="E34" s="3192"/>
      <c r="F34" s="3192"/>
      <c r="G34" s="3192"/>
    </row>
    <row r="35" spans="1:7" hidden="1">
      <c r="A35" s="1331">
        <v>2</v>
      </c>
      <c r="B35" s="1328" t="s">
        <v>1128</v>
      </c>
      <c r="C35" s="1328"/>
      <c r="D35" s="1328"/>
      <c r="E35" s="3192"/>
      <c r="F35" s="3192"/>
      <c r="G35" s="3192"/>
    </row>
    <row r="36" spans="1:7" hidden="1">
      <c r="A36" s="1331">
        <v>3</v>
      </c>
      <c r="B36" s="1328" t="s">
        <v>1129</v>
      </c>
      <c r="C36" s="1328"/>
      <c r="D36" s="1328"/>
      <c r="E36" s="3192"/>
      <c r="F36" s="3192"/>
      <c r="G36" s="3192"/>
    </row>
    <row r="37" spans="1:7" hidden="1">
      <c r="A37" s="1331">
        <v>4</v>
      </c>
      <c r="B37" s="1328" t="s">
        <v>1130</v>
      </c>
      <c r="C37" s="1328"/>
      <c r="D37" s="1328"/>
      <c r="E37" s="3192"/>
      <c r="F37" s="3192"/>
      <c r="G37" s="3192"/>
    </row>
    <row r="38" spans="1:7" hidden="1">
      <c r="A38" s="3188" t="s">
        <v>1131</v>
      </c>
      <c r="B38" s="3189"/>
      <c r="C38" s="3189"/>
      <c r="D38" s="3190"/>
      <c r="E38" s="3191"/>
      <c r="F38" s="3191"/>
      <c r="G38" s="319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AN6" sqref="AN6"/>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2519</v>
      </c>
      <c r="B1" s="2585" t="s">
        <v>2520</v>
      </c>
      <c r="C1" s="1637" t="s">
        <v>2521</v>
      </c>
      <c r="D1" s="1624"/>
      <c r="E1" s="2586"/>
      <c r="F1" s="2587" t="s">
        <v>2522</v>
      </c>
      <c r="G1" s="1634" t="s">
        <v>2523</v>
      </c>
      <c r="H1" s="1633"/>
      <c r="I1" s="1633"/>
      <c r="J1" s="1633"/>
      <c r="K1" s="1635"/>
      <c r="L1" s="1636"/>
      <c r="M1" s="1637"/>
      <c r="N1" s="1637"/>
      <c r="O1" s="1637"/>
      <c r="P1" s="2588"/>
      <c r="Q1" s="1623"/>
      <c r="R1" s="1623"/>
      <c r="S1" s="1623"/>
      <c r="T1" s="1623"/>
      <c r="U1" s="1623"/>
      <c r="V1" s="1623"/>
      <c r="W1" s="1623"/>
      <c r="X1" s="1623"/>
      <c r="Y1" s="1623"/>
      <c r="Z1" s="1623"/>
      <c r="AA1" s="1623"/>
      <c r="AB1" s="1623"/>
      <c r="AC1" s="1631"/>
    </row>
    <row r="2" spans="1:29" s="393" customFormat="1" ht="28.5" customHeight="1" thickTop="1">
      <c r="A2" s="1620" t="s">
        <v>1390</v>
      </c>
      <c r="B2" s="1421" t="e">
        <f ca="1">IF(C2="——",ROUND(C49*D3/10000,0),ROUND(C49*D3/10000,0)-D2)</f>
        <v>#DIV/0!</v>
      </c>
      <c r="C2" s="2589"/>
      <c r="D2" s="1368" t="e">
        <f ca="1">SUMIF(INDIRECT("'"&amp;F2&amp;"'"&amp;"!A:A"),"承租人权益价值",INDIRECT("'"&amp;F2&amp;"'"&amp;"!c:c"))</f>
        <v>#REF!</v>
      </c>
      <c r="E2" s="2590" t="s">
        <v>2524</v>
      </c>
      <c r="F2" s="2591"/>
      <c r="G2" s="1127"/>
      <c r="H2" s="1127"/>
      <c r="I2" s="1127"/>
      <c r="J2" s="1127"/>
      <c r="K2" s="2592"/>
      <c r="L2" s="2593"/>
      <c r="M2" s="2594"/>
      <c r="N2" s="2594"/>
      <c r="O2" s="2594"/>
      <c r="P2" s="2595"/>
      <c r="Q2" s="2596"/>
      <c r="R2" s="2596"/>
      <c r="S2" s="2596"/>
      <c r="T2" s="2596"/>
      <c r="U2" s="2596"/>
      <c r="V2" s="2596"/>
      <c r="W2" s="2596"/>
      <c r="X2" s="2596"/>
      <c r="Y2" s="2596"/>
      <c r="Z2" s="2596"/>
      <c r="AA2" s="2596"/>
      <c r="AB2" s="2596"/>
      <c r="AC2" s="2597"/>
    </row>
    <row r="3" spans="1:29" s="393" customFormat="1" ht="28.5" customHeight="1" thickBot="1">
      <c r="A3" s="247" t="s">
        <v>1391</v>
      </c>
      <c r="B3" s="399" t="e">
        <f ca="1">IF(C2="——",C49,ROUND(B2*10000/D3,0))</f>
        <v>#DIV/0!</v>
      </c>
      <c r="C3" s="400" t="s">
        <v>2525</v>
      </c>
      <c r="D3" s="399">
        <f>IF(D1="",'数据-汇总表'!E3,SUMIF('数据-汇总表'!$C19:$C33,D1,'数据-汇总表'!$E19:$E33))</f>
        <v>134490.28</v>
      </c>
      <c r="E3" s="1127"/>
      <c r="F3" s="2598"/>
      <c r="G3" s="1127"/>
      <c r="H3" s="1127"/>
      <c r="I3" s="1127"/>
      <c r="J3" s="1127"/>
      <c r="K3" s="2592"/>
      <c r="L3" s="2593"/>
      <c r="M3" s="2594"/>
      <c r="N3" s="2594"/>
      <c r="O3" s="2594"/>
      <c r="P3" s="2595"/>
      <c r="Q3" s="2596"/>
      <c r="R3" s="2596"/>
      <c r="S3" s="2596"/>
      <c r="T3" s="2596"/>
      <c r="U3" s="2596"/>
      <c r="V3" s="2596"/>
      <c r="W3" s="2596"/>
      <c r="X3" s="2596"/>
      <c r="Y3" s="2596"/>
      <c r="Z3" s="2596"/>
      <c r="AA3" s="2596"/>
      <c r="AB3" s="2596"/>
      <c r="AC3" s="1285"/>
    </row>
    <row r="4" spans="1:29" ht="15">
      <c r="A4" s="401" t="s">
        <v>2526</v>
      </c>
      <c r="B4" s="402"/>
      <c r="C4" s="3227" t="s">
        <v>2527</v>
      </c>
      <c r="D4" s="3228"/>
      <c r="E4" s="3229" t="s">
        <v>2528</v>
      </c>
      <c r="F4" s="3230"/>
      <c r="G4" s="3227" t="s">
        <v>2529</v>
      </c>
      <c r="H4" s="3228"/>
      <c r="I4" s="3227" t="s">
        <v>2530</v>
      </c>
      <c r="J4" s="3228"/>
      <c r="K4" s="2599" t="s">
        <v>2531</v>
      </c>
      <c r="L4" s="1133"/>
      <c r="M4" s="1134"/>
      <c r="N4" s="1134"/>
      <c r="O4" s="1134"/>
      <c r="P4" s="3231" t="s">
        <v>2532</v>
      </c>
      <c r="Q4" s="3232"/>
      <c r="R4" s="3237" t="s">
        <v>2528</v>
      </c>
      <c r="S4" s="3238"/>
      <c r="T4" s="3237" t="s">
        <v>2529</v>
      </c>
      <c r="U4" s="3238"/>
      <c r="V4" s="3243" t="s">
        <v>2530</v>
      </c>
      <c r="W4" s="3243"/>
      <c r="X4" s="1816"/>
      <c r="Y4" s="3237" t="s">
        <v>2532</v>
      </c>
      <c r="Z4" s="3238"/>
      <c r="AA4" s="3224" t="s">
        <v>2528</v>
      </c>
      <c r="AB4" s="3224" t="s">
        <v>2529</v>
      </c>
      <c r="AC4" s="3224" t="s">
        <v>2530</v>
      </c>
    </row>
    <row r="5" spans="1:29" ht="15">
      <c r="A5" s="404"/>
      <c r="B5" s="405"/>
      <c r="C5" s="3246" t="s">
        <v>2533</v>
      </c>
      <c r="D5" s="3247"/>
      <c r="E5" s="3253" t="s">
        <v>2534</v>
      </c>
      <c r="F5" s="3254"/>
      <c r="G5" s="3246" t="s">
        <v>2535</v>
      </c>
      <c r="H5" s="3247"/>
      <c r="I5" s="3246" t="s">
        <v>2536</v>
      </c>
      <c r="J5" s="3247"/>
      <c r="K5" s="2600"/>
      <c r="L5" s="1133"/>
      <c r="M5" s="1134"/>
      <c r="N5" s="1134"/>
      <c r="O5" s="1134"/>
      <c r="P5" s="3233"/>
      <c r="Q5" s="3234"/>
      <c r="R5" s="3239"/>
      <c r="S5" s="3240"/>
      <c r="T5" s="3239"/>
      <c r="U5" s="3240"/>
      <c r="V5" s="3243"/>
      <c r="W5" s="3243"/>
      <c r="X5" s="1816"/>
      <c r="Y5" s="3239"/>
      <c r="Z5" s="3240"/>
      <c r="AA5" s="3225"/>
      <c r="AB5" s="3225"/>
      <c r="AC5" s="3225"/>
    </row>
    <row r="6" spans="1:29" ht="15.75" thickBot="1">
      <c r="A6" s="406"/>
      <c r="B6" s="407"/>
      <c r="C6" s="3244" t="s">
        <v>2537</v>
      </c>
      <c r="D6" s="3245"/>
      <c r="E6" s="3251" t="s">
        <v>2537</v>
      </c>
      <c r="F6" s="3252"/>
      <c r="G6" s="3244" t="s">
        <v>2537</v>
      </c>
      <c r="H6" s="3245"/>
      <c r="I6" s="3244" t="s">
        <v>2537</v>
      </c>
      <c r="J6" s="3245"/>
      <c r="K6" s="2600" t="s">
        <v>2538</v>
      </c>
      <c r="L6" s="1133"/>
      <c r="M6" s="1134"/>
      <c r="N6" s="1134"/>
      <c r="O6" s="1134"/>
      <c r="P6" s="3235"/>
      <c r="Q6" s="3236"/>
      <c r="R6" s="3239"/>
      <c r="S6" s="3240"/>
      <c r="T6" s="3241"/>
      <c r="U6" s="3242"/>
      <c r="V6" s="3243"/>
      <c r="W6" s="3243"/>
      <c r="X6" s="1816"/>
      <c r="Y6" s="3241"/>
      <c r="Z6" s="3242"/>
      <c r="AA6" s="3226"/>
      <c r="AB6" s="3226"/>
      <c r="AC6" s="3226"/>
    </row>
    <row r="7" spans="1:29" s="117" customFormat="1" ht="15.75" thickBot="1">
      <c r="A7" s="408" t="s">
        <v>2539</v>
      </c>
      <c r="B7" s="409"/>
      <c r="C7" s="410">
        <f>'数据-取费表'!B2</f>
        <v>43528</v>
      </c>
      <c r="D7" s="411">
        <v>100</v>
      </c>
      <c r="E7" s="412"/>
      <c r="F7" s="413">
        <f>SUMIF(58:58,YEAR(E7)&amp;"-"&amp;MONTH(E7),59:59)</f>
        <v>0</v>
      </c>
      <c r="G7" s="412"/>
      <c r="H7" s="411">
        <f>SUMIF(58:58,YEAR(G7)&amp;"-"&amp;MONTH(G7),59:59)</f>
        <v>0</v>
      </c>
      <c r="I7" s="412"/>
      <c r="J7" s="411">
        <f>SUMIF(58:58,YEAR(I7)&amp;"-"&amp;MONTH(I7),59:59)</f>
        <v>0</v>
      </c>
      <c r="K7" s="2601"/>
      <c r="L7" s="1135"/>
      <c r="M7" s="1136"/>
      <c r="N7" s="1136"/>
      <c r="O7" s="1136"/>
      <c r="P7" s="3248" t="s">
        <v>2540</v>
      </c>
      <c r="Q7" s="3250"/>
      <c r="R7" s="770" t="s">
        <v>23</v>
      </c>
      <c r="S7" s="771">
        <f t="shared" ref="S7:S15" si="0">F7</f>
        <v>0</v>
      </c>
      <c r="T7" s="770" t="s">
        <v>23</v>
      </c>
      <c r="U7" s="771">
        <f t="shared" ref="U7:U15" si="1">H7</f>
        <v>0</v>
      </c>
      <c r="V7" s="770" t="s">
        <v>23</v>
      </c>
      <c r="W7" s="771">
        <f t="shared" ref="W7:W15" si="2">J7</f>
        <v>0</v>
      </c>
      <c r="X7" s="772"/>
      <c r="Y7" s="3248" t="s">
        <v>2540</v>
      </c>
      <c r="Z7" s="3249"/>
      <c r="AA7" s="773" t="e">
        <f>D7/F7</f>
        <v>#DIV/0!</v>
      </c>
      <c r="AB7" s="773" t="e">
        <f>D7/H7</f>
        <v>#DIV/0!</v>
      </c>
      <c r="AC7" s="773" t="e">
        <f>D7/J7</f>
        <v>#DIV/0!</v>
      </c>
    </row>
    <row r="8" spans="1:29" s="117" customFormat="1" ht="15.75" thickBot="1">
      <c r="A8" s="408" t="s">
        <v>2541</v>
      </c>
      <c r="B8" s="409"/>
      <c r="C8" s="414" t="s">
        <v>2542</v>
      </c>
      <c r="D8" s="411">
        <v>100</v>
      </c>
      <c r="E8" s="2602"/>
      <c r="F8" s="413">
        <f>SUMIF(61:61,E8,62:62)-SUMIF(61:61,C8,62:62)+100</f>
        <v>0</v>
      </c>
      <c r="G8" s="414"/>
      <c r="H8" s="411">
        <f>SUMIF(61:61,G8,62:62)-SUMIF(61:61,C8,62:62)+100</f>
        <v>0</v>
      </c>
      <c r="I8" s="2602"/>
      <c r="J8" s="411">
        <f>SUMIF(61:61,I8,62:62)-SUMIF(61:61,C8,62:62)+100</f>
        <v>0</v>
      </c>
      <c r="K8" s="2601"/>
      <c r="L8" s="1135"/>
      <c r="M8" s="1136"/>
      <c r="N8" s="1136"/>
      <c r="O8" s="1136"/>
      <c r="P8" s="3248" t="s">
        <v>2543</v>
      </c>
      <c r="Q8" s="3249"/>
      <c r="R8" s="770" t="s">
        <v>23</v>
      </c>
      <c r="S8" s="771">
        <f t="shared" si="0"/>
        <v>0</v>
      </c>
      <c r="T8" s="770" t="s">
        <v>23</v>
      </c>
      <c r="U8" s="771">
        <f t="shared" si="1"/>
        <v>0</v>
      </c>
      <c r="V8" s="770" t="s">
        <v>23</v>
      </c>
      <c r="W8" s="771">
        <f t="shared" si="2"/>
        <v>0</v>
      </c>
      <c r="X8" s="772"/>
      <c r="Y8" s="3248" t="s">
        <v>2543</v>
      </c>
      <c r="Z8" s="3249"/>
      <c r="AA8" s="773" t="e">
        <f t="shared" ref="AA8:AA19" si="3">D8/F8</f>
        <v>#DIV/0!</v>
      </c>
      <c r="AB8" s="773" t="e">
        <f t="shared" ref="AB8:AB19" si="4">D8/H8</f>
        <v>#DIV/0!</v>
      </c>
      <c r="AC8" s="773" t="e">
        <f t="shared" ref="AC8:AC19" si="5">D8/J8</f>
        <v>#DIV/0!</v>
      </c>
    </row>
    <row r="9" spans="1:29" s="117" customFormat="1">
      <c r="A9" s="415" t="s">
        <v>2544</v>
      </c>
      <c r="B9" s="71" t="s">
        <v>2545</v>
      </c>
      <c r="C9" s="416"/>
      <c r="D9" s="135">
        <v>100</v>
      </c>
      <c r="E9" s="417"/>
      <c r="F9" s="418">
        <f>SUMIF(63:63,E9,64:64)-SUMIF(63:63,C9,64:64)+100</f>
        <v>100</v>
      </c>
      <c r="G9" s="419"/>
      <c r="H9" s="135">
        <f>SUMIF(63:63,G9,64:64)-SUMIF(63:63,C9,64:64)+100</f>
        <v>100</v>
      </c>
      <c r="I9" s="419"/>
      <c r="J9" s="135">
        <f>SUMIF(63:63,I9,64:64)-SUMIF(63:63,C9,64:64)+100</f>
        <v>100</v>
      </c>
      <c r="K9" s="2601"/>
      <c r="L9" s="1135"/>
      <c r="M9" s="1136"/>
      <c r="N9" s="1136"/>
      <c r="O9" s="1136"/>
      <c r="P9" s="3223" t="s">
        <v>2546</v>
      </c>
      <c r="Q9" s="1798" t="str">
        <f t="shared" ref="Q9:Q15" si="6">B9</f>
        <v>用途</v>
      </c>
      <c r="R9" s="770" t="s">
        <v>17</v>
      </c>
      <c r="S9" s="771">
        <f t="shared" si="0"/>
        <v>100</v>
      </c>
      <c r="T9" s="770" t="s">
        <v>17</v>
      </c>
      <c r="U9" s="771">
        <f t="shared" si="1"/>
        <v>100</v>
      </c>
      <c r="V9" s="770" t="s">
        <v>17</v>
      </c>
      <c r="W9" s="771">
        <f t="shared" si="2"/>
        <v>100</v>
      </c>
      <c r="X9" s="772"/>
      <c r="Y9" s="3037" t="s">
        <v>2547</v>
      </c>
      <c r="Z9" s="55" t="str">
        <f t="shared" ref="Z9:Z15" si="7">Q9</f>
        <v>用途</v>
      </c>
      <c r="AA9" s="773">
        <f t="shared" si="3"/>
        <v>1</v>
      </c>
      <c r="AB9" s="773">
        <f t="shared" si="4"/>
        <v>1</v>
      </c>
      <c r="AC9" s="773">
        <f t="shared" si="5"/>
        <v>1</v>
      </c>
    </row>
    <row r="10" spans="1:29" s="427" customFormat="1" ht="27">
      <c r="A10" s="421"/>
      <c r="B10" s="422" t="s">
        <v>2548</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223"/>
      <c r="Q10" s="1798"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773">
        <f t="shared" si="5"/>
        <v>1</v>
      </c>
    </row>
    <row r="11" spans="1:29" ht="15">
      <c r="A11" s="428"/>
      <c r="B11" s="422" t="s">
        <v>2549</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223"/>
      <c r="Q11" s="1798" t="str">
        <f t="shared" si="6"/>
        <v>容积率</v>
      </c>
      <c r="R11" s="770" t="s">
        <v>21</v>
      </c>
      <c r="S11" s="771" t="e">
        <f t="shared" si="0"/>
        <v>#N/A</v>
      </c>
      <c r="T11" s="770" t="s">
        <v>21</v>
      </c>
      <c r="U11" s="771" t="e">
        <f t="shared" si="1"/>
        <v>#N/A</v>
      </c>
      <c r="V11" s="770" t="s">
        <v>21</v>
      </c>
      <c r="W11" s="771" t="e">
        <f t="shared" si="2"/>
        <v>#N/A</v>
      </c>
      <c r="X11" s="772"/>
      <c r="Y11" s="3037"/>
      <c r="Z11" s="55" t="str">
        <f t="shared" si="7"/>
        <v>容积率</v>
      </c>
      <c r="AA11" s="773" t="e">
        <f t="shared" si="3"/>
        <v>#N/A</v>
      </c>
      <c r="AB11" s="773" t="e">
        <f t="shared" si="4"/>
        <v>#N/A</v>
      </c>
      <c r="AC11" s="773" t="e">
        <f t="shared" si="5"/>
        <v>#N/A</v>
      </c>
    </row>
    <row r="12" spans="1:29" s="117" customFormat="1" ht="15">
      <c r="A12" s="431"/>
      <c r="B12" s="2603">
        <v>111</v>
      </c>
      <c r="C12" s="432"/>
      <c r="D12" s="433">
        <v>100</v>
      </c>
      <c r="E12" s="432"/>
      <c r="F12" s="425">
        <f>SUMIF(70:70,E12,71:71)-SUMIF(70:70,C12,71:71)+100</f>
        <v>100</v>
      </c>
      <c r="G12" s="432"/>
      <c r="H12" s="136">
        <f>SUMIF(70:70,G12,71:71)-SUMIF(70:70,C12,71:71)+100</f>
        <v>100</v>
      </c>
      <c r="I12" s="432"/>
      <c r="J12" s="136">
        <f>SUMIF(70:70,I12,71:71)-SUMIF(70:70,C12,71:71)+100</f>
        <v>100</v>
      </c>
      <c r="K12" s="2604"/>
      <c r="L12" s="1135"/>
      <c r="M12" s="1136"/>
      <c r="N12" s="1136"/>
      <c r="O12" s="1136"/>
      <c r="P12" s="3223"/>
      <c r="Q12" s="1798">
        <f t="shared" si="6"/>
        <v>111</v>
      </c>
      <c r="R12" s="770" t="s">
        <v>21</v>
      </c>
      <c r="S12" s="771">
        <f t="shared" si="0"/>
        <v>100</v>
      </c>
      <c r="T12" s="770" t="s">
        <v>21</v>
      </c>
      <c r="U12" s="771">
        <f t="shared" si="1"/>
        <v>100</v>
      </c>
      <c r="V12" s="770" t="s">
        <v>21</v>
      </c>
      <c r="W12" s="771">
        <f t="shared" si="2"/>
        <v>100</v>
      </c>
      <c r="X12" s="772"/>
      <c r="Y12" s="3037"/>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2604"/>
      <c r="L13" s="1143"/>
      <c r="M13" s="1134"/>
      <c r="N13" s="1134"/>
      <c r="O13" s="1134"/>
      <c r="P13" s="3223"/>
      <c r="Q13" s="1798">
        <f t="shared" si="6"/>
        <v>111</v>
      </c>
      <c r="R13" s="770" t="s">
        <v>21</v>
      </c>
      <c r="S13" s="771">
        <f t="shared" si="0"/>
        <v>100</v>
      </c>
      <c r="T13" s="770" t="s">
        <v>21</v>
      </c>
      <c r="U13" s="771">
        <f t="shared" si="1"/>
        <v>100</v>
      </c>
      <c r="V13" s="770" t="s">
        <v>21</v>
      </c>
      <c r="W13" s="771">
        <f t="shared" si="2"/>
        <v>100</v>
      </c>
      <c r="X13" s="772"/>
      <c r="Y13" s="3037"/>
      <c r="Z13" s="55">
        <f t="shared" si="7"/>
        <v>111</v>
      </c>
      <c r="AA13" s="773">
        <f t="shared" si="3"/>
        <v>1</v>
      </c>
      <c r="AB13" s="773">
        <f t="shared" si="4"/>
        <v>1</v>
      </c>
      <c r="AC13" s="773">
        <f t="shared" si="5"/>
        <v>1</v>
      </c>
    </row>
    <row r="14" spans="1:29" ht="15.75" thickBot="1">
      <c r="A14" s="436"/>
      <c r="B14" s="2605">
        <v>111</v>
      </c>
      <c r="C14" s="437"/>
      <c r="D14" s="438">
        <v>100</v>
      </c>
      <c r="E14" s="437"/>
      <c r="F14" s="439">
        <f>SUMIF(74:74,E14,75:75)-SUMIF(74:74,C14,75:75)+100</f>
        <v>100</v>
      </c>
      <c r="G14" s="437"/>
      <c r="H14" s="438">
        <f>SUMIF(74:74,G14,75:75)-SUMIF(74:74,C14,75:75)+100</f>
        <v>100</v>
      </c>
      <c r="I14" s="437"/>
      <c r="J14" s="438">
        <f>SUMIF(74:74,I14,75:75)-SUMIF(74:74,C14,75:75)+100</f>
        <v>100</v>
      </c>
      <c r="K14" s="2604"/>
      <c r="L14" s="1143"/>
      <c r="M14" s="1134"/>
      <c r="N14" s="1134"/>
      <c r="O14" s="1134"/>
      <c r="P14" s="3223"/>
      <c r="Q14" s="1798">
        <f t="shared" si="6"/>
        <v>111</v>
      </c>
      <c r="R14" s="770" t="s">
        <v>21</v>
      </c>
      <c r="S14" s="771">
        <f t="shared" si="0"/>
        <v>100</v>
      </c>
      <c r="T14" s="770" t="s">
        <v>21</v>
      </c>
      <c r="U14" s="771">
        <f t="shared" si="1"/>
        <v>100</v>
      </c>
      <c r="V14" s="770" t="s">
        <v>21</v>
      </c>
      <c r="W14" s="771">
        <f t="shared" si="2"/>
        <v>100</v>
      </c>
      <c r="X14" s="772"/>
      <c r="Y14" s="3037"/>
      <c r="Z14" s="55">
        <f t="shared" si="7"/>
        <v>111</v>
      </c>
      <c r="AA14" s="773">
        <f t="shared" si="3"/>
        <v>1</v>
      </c>
      <c r="AB14" s="773">
        <f t="shared" si="4"/>
        <v>1</v>
      </c>
      <c r="AC14" s="773">
        <f t="shared" si="5"/>
        <v>1</v>
      </c>
    </row>
    <row r="15" spans="1:29" ht="99.75">
      <c r="A15" s="440" t="s">
        <v>2550</v>
      </c>
      <c r="B15" s="69" t="s">
        <v>2078</v>
      </c>
      <c r="C15" s="2606"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21" t="s">
        <v>2551</v>
      </c>
      <c r="Q15" s="1813" t="str">
        <f t="shared" si="6"/>
        <v>居住社区成熟度</v>
      </c>
      <c r="R15" s="774" t="s">
        <v>21</v>
      </c>
      <c r="S15" s="775">
        <f t="shared" si="0"/>
        <v>100</v>
      </c>
      <c r="T15" s="774" t="s">
        <v>21</v>
      </c>
      <c r="U15" s="775">
        <f t="shared" si="1"/>
        <v>100</v>
      </c>
      <c r="V15" s="774" t="s">
        <v>21</v>
      </c>
      <c r="W15" s="775">
        <f t="shared" si="2"/>
        <v>100</v>
      </c>
      <c r="X15" s="1816"/>
      <c r="Y15" s="3214" t="s">
        <v>2551</v>
      </c>
      <c r="Z15" s="1817" t="str">
        <f t="shared" si="7"/>
        <v>居住社区成熟度</v>
      </c>
      <c r="AA15" s="1814">
        <f t="shared" si="3"/>
        <v>1</v>
      </c>
      <c r="AB15" s="1814">
        <f t="shared" si="4"/>
        <v>1</v>
      </c>
      <c r="AC15" s="1814">
        <f t="shared" si="5"/>
        <v>1</v>
      </c>
    </row>
    <row r="16" spans="1:29" ht="15">
      <c r="A16" s="428"/>
      <c r="B16" s="446"/>
      <c r="C16" s="447"/>
      <c r="D16" s="448"/>
      <c r="E16" s="2607"/>
      <c r="F16" s="448"/>
      <c r="G16" s="2608"/>
      <c r="H16" s="450"/>
      <c r="I16" s="2608"/>
      <c r="J16" s="448"/>
      <c r="K16" s="2609"/>
      <c r="L16" s="1143"/>
      <c r="M16" s="1134"/>
      <c r="N16" s="1134"/>
      <c r="O16" s="1134"/>
      <c r="P16" s="3222"/>
      <c r="Q16" s="1813"/>
      <c r="R16" s="774"/>
      <c r="S16" s="775"/>
      <c r="T16" s="774"/>
      <c r="U16" s="775"/>
      <c r="V16" s="774"/>
      <c r="W16" s="775"/>
      <c r="X16" s="1816"/>
      <c r="Y16" s="3215"/>
      <c r="Z16" s="1817"/>
      <c r="AA16" s="1814">
        <v>1</v>
      </c>
      <c r="AB16" s="1814">
        <v>1</v>
      </c>
      <c r="AC16" s="1814">
        <v>1</v>
      </c>
    </row>
    <row r="17" spans="1:29" ht="85.5">
      <c r="A17" s="428"/>
      <c r="B17" s="451" t="s">
        <v>2090</v>
      </c>
      <c r="C17" s="2610"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22"/>
      <c r="Q17" s="1813" t="str">
        <f>B17</f>
        <v>交通便捷度</v>
      </c>
      <c r="R17" s="774" t="s">
        <v>21</v>
      </c>
      <c r="S17" s="775">
        <f>F17</f>
        <v>100</v>
      </c>
      <c r="T17" s="774" t="s">
        <v>21</v>
      </c>
      <c r="U17" s="775">
        <f>H17</f>
        <v>100</v>
      </c>
      <c r="V17" s="774" t="s">
        <v>21</v>
      </c>
      <c r="W17" s="775">
        <f>J17</f>
        <v>100</v>
      </c>
      <c r="X17" s="1816"/>
      <c r="Y17" s="3215"/>
      <c r="Z17" s="1817" t="str">
        <f>Q17</f>
        <v>交通便捷度</v>
      </c>
      <c r="AA17" s="1814">
        <f t="shared" si="3"/>
        <v>1</v>
      </c>
      <c r="AB17" s="1814">
        <f t="shared" si="4"/>
        <v>1</v>
      </c>
      <c r="AC17" s="1814">
        <f t="shared" si="5"/>
        <v>1</v>
      </c>
    </row>
    <row r="18" spans="1:29" ht="15">
      <c r="A18" s="428"/>
      <c r="B18" s="456"/>
      <c r="C18" s="2611"/>
      <c r="D18" s="450"/>
      <c r="E18" s="2612"/>
      <c r="F18" s="450"/>
      <c r="G18" s="2613"/>
      <c r="H18" s="448"/>
      <c r="I18" s="2613"/>
      <c r="J18" s="448"/>
      <c r="K18" s="2609"/>
      <c r="L18" s="1143"/>
      <c r="M18" s="1134"/>
      <c r="N18" s="1134"/>
      <c r="O18" s="1134"/>
      <c r="P18" s="3222"/>
      <c r="Q18" s="1813"/>
      <c r="R18" s="774"/>
      <c r="S18" s="775"/>
      <c r="T18" s="774"/>
      <c r="U18" s="775"/>
      <c r="V18" s="774"/>
      <c r="W18" s="775"/>
      <c r="X18" s="1816"/>
      <c r="Y18" s="3215"/>
      <c r="Z18" s="1817"/>
      <c r="AA18" s="1814">
        <v>1</v>
      </c>
      <c r="AB18" s="1814">
        <v>1</v>
      </c>
      <c r="AC18" s="1814">
        <v>1</v>
      </c>
    </row>
    <row r="19" spans="1:29" ht="42.75">
      <c r="A19" s="428"/>
      <c r="B19" s="451" t="s">
        <v>2088</v>
      </c>
      <c r="C19" s="2610"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22"/>
      <c r="Q19" s="1813" t="str">
        <f>B19</f>
        <v>公共配套设施</v>
      </c>
      <c r="R19" s="774" t="s">
        <v>21</v>
      </c>
      <c r="S19" s="775">
        <f>F19</f>
        <v>100</v>
      </c>
      <c r="T19" s="774" t="s">
        <v>21</v>
      </c>
      <c r="U19" s="775">
        <f>H19</f>
        <v>100</v>
      </c>
      <c r="V19" s="774" t="s">
        <v>21</v>
      </c>
      <c r="W19" s="775">
        <f>J19</f>
        <v>100</v>
      </c>
      <c r="X19" s="1816"/>
      <c r="Y19" s="3215"/>
      <c r="Z19" s="1817" t="str">
        <f>Q19</f>
        <v>公共配套设施</v>
      </c>
      <c r="AA19" s="1814">
        <f t="shared" si="3"/>
        <v>1</v>
      </c>
      <c r="AB19" s="1814">
        <f t="shared" si="4"/>
        <v>1</v>
      </c>
      <c r="AC19" s="1814">
        <f t="shared" si="5"/>
        <v>1</v>
      </c>
    </row>
    <row r="20" spans="1:29" ht="15">
      <c r="A20" s="428"/>
      <c r="B20" s="456"/>
      <c r="C20" s="447"/>
      <c r="D20" s="448"/>
      <c r="E20" s="2607"/>
      <c r="F20" s="448"/>
      <c r="G20" s="2608"/>
      <c r="H20" s="448"/>
      <c r="I20" s="2608"/>
      <c r="J20" s="448"/>
      <c r="K20" s="2609"/>
      <c r="L20" s="1143"/>
      <c r="M20" s="1134"/>
      <c r="N20" s="1134"/>
      <c r="O20" s="1134"/>
      <c r="P20" s="3222"/>
      <c r="Q20" s="1813"/>
      <c r="R20" s="774"/>
      <c r="S20" s="775"/>
      <c r="T20" s="774"/>
      <c r="U20" s="775"/>
      <c r="V20" s="774"/>
      <c r="W20" s="775"/>
      <c r="X20" s="1816"/>
      <c r="Y20" s="3215"/>
      <c r="Z20" s="1817"/>
      <c r="AA20" s="1814">
        <v>1</v>
      </c>
      <c r="AB20" s="1814">
        <v>1</v>
      </c>
      <c r="AC20" s="1814">
        <v>1</v>
      </c>
    </row>
    <row r="21" spans="1:29" ht="28.5">
      <c r="A21" s="428"/>
      <c r="B21" s="1387" t="s">
        <v>2091</v>
      </c>
      <c r="C21" s="2610"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22"/>
      <c r="Q21" s="1813" t="str">
        <f>B21</f>
        <v>基础设施水平</v>
      </c>
      <c r="R21" s="774" t="s">
        <v>17</v>
      </c>
      <c r="S21" s="775">
        <f>F21</f>
        <v>100</v>
      </c>
      <c r="T21" s="774" t="s">
        <v>17</v>
      </c>
      <c r="U21" s="775">
        <f>H21</f>
        <v>100</v>
      </c>
      <c r="V21" s="774" t="s">
        <v>17</v>
      </c>
      <c r="W21" s="775">
        <f>J21</f>
        <v>100</v>
      </c>
      <c r="X21" s="1816"/>
      <c r="Y21" s="3215"/>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8"/>
      <c r="G22" s="2614"/>
      <c r="H22" s="448"/>
      <c r="I22" s="447"/>
      <c r="J22" s="448"/>
      <c r="K22" s="2615"/>
      <c r="L22" s="1143"/>
      <c r="M22" s="1134"/>
      <c r="N22" s="1134"/>
      <c r="O22" s="1134"/>
      <c r="P22" s="3222"/>
      <c r="Q22" s="1813"/>
      <c r="R22" s="774"/>
      <c r="S22" s="775"/>
      <c r="T22" s="774"/>
      <c r="U22" s="775"/>
      <c r="V22" s="774"/>
      <c r="W22" s="775"/>
      <c r="X22" s="1816"/>
      <c r="Y22" s="3215"/>
      <c r="Z22" s="1817"/>
      <c r="AA22" s="1814">
        <v>1</v>
      </c>
      <c r="AB22" s="1814">
        <v>1</v>
      </c>
      <c r="AC22" s="1814">
        <v>1</v>
      </c>
    </row>
    <row r="23" spans="1:29" ht="57">
      <c r="A23" s="428"/>
      <c r="B23" s="451" t="s">
        <v>2095</v>
      </c>
      <c r="C23" s="2610"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22"/>
      <c r="Q23" s="1813" t="str">
        <f>B23</f>
        <v>自然及人文环境</v>
      </c>
      <c r="R23" s="774" t="s">
        <v>21</v>
      </c>
      <c r="S23" s="775">
        <f>F23</f>
        <v>100</v>
      </c>
      <c r="T23" s="774" t="s">
        <v>21</v>
      </c>
      <c r="U23" s="775">
        <f>H23</f>
        <v>100</v>
      </c>
      <c r="V23" s="774" t="s">
        <v>21</v>
      </c>
      <c r="W23" s="775">
        <f>J23</f>
        <v>100</v>
      </c>
      <c r="X23" s="1816"/>
      <c r="Y23" s="3215"/>
      <c r="Z23" s="1817" t="str">
        <f>Q23</f>
        <v>自然及人文环境</v>
      </c>
      <c r="AA23" s="1814">
        <f>D23/F23</f>
        <v>1</v>
      </c>
      <c r="AB23" s="1814">
        <f>D23/H23</f>
        <v>1</v>
      </c>
      <c r="AC23" s="1814">
        <f>D23/J23</f>
        <v>1</v>
      </c>
    </row>
    <row r="24" spans="1:29" ht="15">
      <c r="A24" s="428"/>
      <c r="B24" s="456"/>
      <c r="C24" s="447"/>
      <c r="D24" s="448"/>
      <c r="E24" s="2607"/>
      <c r="F24" s="448"/>
      <c r="G24" s="2608"/>
      <c r="H24" s="448"/>
      <c r="I24" s="2608"/>
      <c r="J24" s="448"/>
      <c r="K24" s="2609"/>
      <c r="L24" s="1143"/>
      <c r="M24" s="1134"/>
      <c r="N24" s="1134"/>
      <c r="O24" s="1134"/>
      <c r="P24" s="3222"/>
      <c r="Q24" s="1813"/>
      <c r="R24" s="774"/>
      <c r="S24" s="775"/>
      <c r="T24" s="774"/>
      <c r="U24" s="775"/>
      <c r="V24" s="774"/>
      <c r="W24" s="775"/>
      <c r="X24" s="1816"/>
      <c r="Y24" s="3215"/>
      <c r="Z24" s="1817"/>
      <c r="AA24" s="1814">
        <v>1</v>
      </c>
      <c r="AB24" s="1814">
        <v>1</v>
      </c>
      <c r="AC24" s="1814">
        <v>1</v>
      </c>
    </row>
    <row r="25" spans="1:29" ht="15">
      <c r="A25" s="428"/>
      <c r="B25" s="422" t="s">
        <v>2552</v>
      </c>
      <c r="C25" s="460"/>
      <c r="D25" s="435">
        <v>100</v>
      </c>
      <c r="E25" s="2616"/>
      <c r="F25" s="435">
        <f>SUMIF(86:86,E25,87:87)-SUMIF(86:86,C25,87:87)+100</f>
        <v>100</v>
      </c>
      <c r="G25" s="2617"/>
      <c r="H25" s="435">
        <f>SUMIF(86:86,G25,87:87)-SUMIF(86:86,C25,87:87)+100</f>
        <v>100</v>
      </c>
      <c r="I25" s="2617"/>
      <c r="J25" s="435">
        <f>SUMIF(86:86,I25,87:87)-SUMIF(86:86,C25,87:87)+100</f>
        <v>100</v>
      </c>
      <c r="K25" s="426"/>
      <c r="L25" s="1143"/>
      <c r="M25" s="1134"/>
      <c r="N25" s="1134"/>
      <c r="O25" s="1134"/>
      <c r="P25" s="3222"/>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215"/>
      <c r="Z25" s="1817" t="str">
        <f>Q25</f>
        <v>楼层-1</v>
      </c>
      <c r="AA25" s="1814">
        <f t="shared" ref="AA25:AA46" si="15">D25/F25</f>
        <v>1</v>
      </c>
      <c r="AB25" s="1814">
        <f t="shared" ref="AB25:AB46" si="16">D25/H25</f>
        <v>1</v>
      </c>
      <c r="AC25" s="1814">
        <f t="shared" ref="AC25:AC46" si="17">D25/J25</f>
        <v>1</v>
      </c>
    </row>
    <row r="26" spans="1:29" ht="15">
      <c r="A26" s="428"/>
      <c r="B26" s="422" t="s">
        <v>2553</v>
      </c>
      <c r="C26" s="460"/>
      <c r="D26" s="435">
        <v>100</v>
      </c>
      <c r="E26" s="2616"/>
      <c r="F26" s="435">
        <f>SUMIF(88:88,E26,89:89)-SUMIF(88:88,C26,89:89)+100</f>
        <v>100</v>
      </c>
      <c r="G26" s="2617"/>
      <c r="H26" s="435">
        <f>SUMIF(88:88,G26,89:89)-SUMIF(88:88,C26,89:89)+100</f>
        <v>100</v>
      </c>
      <c r="I26" s="2617"/>
      <c r="J26" s="435">
        <f>SUMIF(88:88,I26,89:89)-SUMIF(88:88,C26,89:89)+100</f>
        <v>100</v>
      </c>
      <c r="K26" s="426"/>
      <c r="L26" s="1143"/>
      <c r="M26" s="1134"/>
      <c r="N26" s="1134"/>
      <c r="O26" s="1134"/>
      <c r="P26" s="3222"/>
      <c r="Q26" s="1813" t="str">
        <f t="shared" si="11"/>
        <v>朝向</v>
      </c>
      <c r="R26" s="774" t="s">
        <v>21</v>
      </c>
      <c r="S26" s="775">
        <f t="shared" si="12"/>
        <v>100</v>
      </c>
      <c r="T26" s="774" t="s">
        <v>21</v>
      </c>
      <c r="U26" s="775">
        <f t="shared" si="13"/>
        <v>100</v>
      </c>
      <c r="V26" s="774" t="s">
        <v>21</v>
      </c>
      <c r="W26" s="775">
        <f t="shared" si="14"/>
        <v>100</v>
      </c>
      <c r="X26" s="1816"/>
      <c r="Y26" s="3215"/>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4"/>
      <c r="L27" s="1135"/>
      <c r="M27" s="1136"/>
      <c r="N27" s="1136"/>
      <c r="O27" s="1136"/>
      <c r="P27" s="3222"/>
      <c r="Q27" s="1798">
        <f t="shared" si="11"/>
        <v>111</v>
      </c>
      <c r="R27" s="770" t="s">
        <v>21</v>
      </c>
      <c r="S27" s="771">
        <f t="shared" si="12"/>
        <v>100</v>
      </c>
      <c r="T27" s="770" t="s">
        <v>21</v>
      </c>
      <c r="U27" s="771">
        <f t="shared" si="13"/>
        <v>100</v>
      </c>
      <c r="V27" s="770" t="s">
        <v>21</v>
      </c>
      <c r="W27" s="771">
        <f t="shared" si="14"/>
        <v>100</v>
      </c>
      <c r="X27" s="772"/>
      <c r="Y27" s="3215"/>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18"/>
      <c r="H28" s="435">
        <f>SUMIF(92:92,G28,93:93)-SUMIF(92:92,C28,93:93)+100</f>
        <v>100</v>
      </c>
      <c r="I28" s="434"/>
      <c r="J28" s="435">
        <f>SUMIF(92:92,I28,93:93)-SUMIF(92:92,C28,93:93)+100</f>
        <v>100</v>
      </c>
      <c r="K28" s="2604"/>
      <c r="L28" s="1143"/>
      <c r="M28" s="1134"/>
      <c r="N28" s="1134"/>
      <c r="O28" s="1134"/>
      <c r="P28" s="3222"/>
      <c r="Q28" s="1813">
        <f t="shared" si="11"/>
        <v>111</v>
      </c>
      <c r="R28" s="774" t="s">
        <v>21</v>
      </c>
      <c r="S28" s="775">
        <f t="shared" si="12"/>
        <v>100</v>
      </c>
      <c r="T28" s="774" t="s">
        <v>21</v>
      </c>
      <c r="U28" s="775">
        <f t="shared" si="13"/>
        <v>100</v>
      </c>
      <c r="V28" s="774" t="s">
        <v>21</v>
      </c>
      <c r="W28" s="775">
        <f t="shared" si="14"/>
        <v>100</v>
      </c>
      <c r="X28" s="1816"/>
      <c r="Y28" s="3215"/>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18"/>
      <c r="H29" s="435">
        <f>SUMIF(94:94,G29,95:95)-SUMIF(94:94,C29,95:95)+100</f>
        <v>100</v>
      </c>
      <c r="I29" s="434"/>
      <c r="J29" s="435">
        <f>SUMIF(94:94,I29,95:95)-SUMIF(94:94,C29,95:95)+100</f>
        <v>100</v>
      </c>
      <c r="K29" s="2604"/>
      <c r="L29" s="1143"/>
      <c r="M29" s="1134"/>
      <c r="N29" s="1134"/>
      <c r="O29" s="1134"/>
      <c r="P29" s="3222"/>
      <c r="Q29" s="1813">
        <f t="shared" si="11"/>
        <v>111</v>
      </c>
      <c r="R29" s="774" t="s">
        <v>21</v>
      </c>
      <c r="S29" s="775">
        <f t="shared" si="12"/>
        <v>100</v>
      </c>
      <c r="T29" s="774" t="s">
        <v>21</v>
      </c>
      <c r="U29" s="775">
        <f t="shared" si="13"/>
        <v>100</v>
      </c>
      <c r="V29" s="774" t="s">
        <v>21</v>
      </c>
      <c r="W29" s="775">
        <f t="shared" si="14"/>
        <v>100</v>
      </c>
      <c r="X29" s="1816"/>
      <c r="Y29" s="3215"/>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18"/>
      <c r="H30" s="435">
        <f>SUMIF(96:96,G30,97:97)-SUMIF(96:96,C30,97:97)+100</f>
        <v>100</v>
      </c>
      <c r="I30" s="434"/>
      <c r="J30" s="435">
        <f>SUMIF(96:96,I30,97:97)-SUMIF(96:96,C30,97:97)+100</f>
        <v>100</v>
      </c>
      <c r="K30" s="2604"/>
      <c r="L30" s="1143"/>
      <c r="M30" s="1134"/>
      <c r="N30" s="1134"/>
      <c r="O30" s="1134"/>
      <c r="P30" s="3222"/>
      <c r="Q30" s="1813">
        <f t="shared" si="11"/>
        <v>111</v>
      </c>
      <c r="R30" s="774" t="s">
        <v>21</v>
      </c>
      <c r="S30" s="775">
        <f t="shared" si="12"/>
        <v>100</v>
      </c>
      <c r="T30" s="774" t="s">
        <v>21</v>
      </c>
      <c r="U30" s="775">
        <f t="shared" si="13"/>
        <v>100</v>
      </c>
      <c r="V30" s="774" t="s">
        <v>21</v>
      </c>
      <c r="W30" s="775">
        <f t="shared" si="14"/>
        <v>100</v>
      </c>
      <c r="X30" s="1816"/>
      <c r="Y30" s="3215"/>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19"/>
      <c r="H31" s="438">
        <f>SUMIF(98:98,G31,99:99)-SUMIF(98:98,C31,99:99)+100</f>
        <v>100</v>
      </c>
      <c r="I31" s="437"/>
      <c r="J31" s="438">
        <f>SUMIF(98:98,I31,99:99)-SUMIF(98:98,C31,99:99)+100</f>
        <v>100</v>
      </c>
      <c r="K31" s="2604"/>
      <c r="L31" s="1143"/>
      <c r="M31" s="1134"/>
      <c r="N31" s="1134"/>
      <c r="O31" s="1134"/>
      <c r="P31" s="3222"/>
      <c r="Q31" s="1813">
        <f t="shared" si="11"/>
        <v>111</v>
      </c>
      <c r="R31" s="774" t="s">
        <v>21</v>
      </c>
      <c r="S31" s="775">
        <f t="shared" si="12"/>
        <v>100</v>
      </c>
      <c r="T31" s="774" t="s">
        <v>21</v>
      </c>
      <c r="U31" s="775">
        <f t="shared" si="13"/>
        <v>100</v>
      </c>
      <c r="V31" s="774" t="s">
        <v>21</v>
      </c>
      <c r="W31" s="775">
        <f t="shared" si="14"/>
        <v>100</v>
      </c>
      <c r="X31" s="1816"/>
      <c r="Y31" s="3215"/>
      <c r="Z31" s="1817">
        <f t="shared" si="18"/>
        <v>111</v>
      </c>
      <c r="AA31" s="1814">
        <f t="shared" si="15"/>
        <v>1</v>
      </c>
      <c r="AB31" s="1814">
        <f t="shared" si="16"/>
        <v>1</v>
      </c>
      <c r="AC31" s="1814">
        <f t="shared" si="17"/>
        <v>1</v>
      </c>
    </row>
    <row r="32" spans="1:29" ht="15">
      <c r="A32" s="440" t="s">
        <v>2554</v>
      </c>
      <c r="B32" s="71" t="s">
        <v>2555</v>
      </c>
      <c r="C32" s="2620"/>
      <c r="D32" s="467">
        <v>100</v>
      </c>
      <c r="E32" s="2621"/>
      <c r="F32" s="461">
        <f>SUMIF(100:100,E32,101:101)-SUMIF(100:100,C32,101:101)+100</f>
        <v>100</v>
      </c>
      <c r="G32" s="2620"/>
      <c r="H32" s="467">
        <f>SUMIF(100:100,G32,101:101)-SUMIF(100:100,C32,101:101)+100</f>
        <v>100</v>
      </c>
      <c r="I32" s="2621"/>
      <c r="J32" s="435">
        <f>SUMIF(100:100,I32,101:101)-SUMIF(100:100,C32,101:101)+100</f>
        <v>100</v>
      </c>
      <c r="K32" s="426"/>
      <c r="L32" s="1143"/>
      <c r="M32" s="1134"/>
      <c r="N32" s="1134"/>
      <c r="O32" s="1134"/>
      <c r="P32" s="3216" t="s">
        <v>2556</v>
      </c>
      <c r="Q32" s="1813" t="str">
        <f t="shared" si="11"/>
        <v>建筑类型</v>
      </c>
      <c r="R32" s="774" t="s">
        <v>21</v>
      </c>
      <c r="S32" s="775">
        <f t="shared" si="12"/>
        <v>100</v>
      </c>
      <c r="T32" s="774" t="s">
        <v>21</v>
      </c>
      <c r="U32" s="775">
        <f t="shared" si="13"/>
        <v>100</v>
      </c>
      <c r="V32" s="774" t="s">
        <v>21</v>
      </c>
      <c r="W32" s="775">
        <f t="shared" si="14"/>
        <v>100</v>
      </c>
      <c r="X32" s="1816"/>
      <c r="Y32" s="3219" t="s">
        <v>2556</v>
      </c>
      <c r="Z32" s="1817" t="str">
        <f t="shared" si="18"/>
        <v>建筑类型</v>
      </c>
      <c r="AA32" s="1814">
        <f t="shared" si="15"/>
        <v>1</v>
      </c>
      <c r="AB32" s="1814">
        <f t="shared" si="16"/>
        <v>1</v>
      </c>
      <c r="AC32" s="1814">
        <f t="shared" si="17"/>
        <v>1</v>
      </c>
    </row>
    <row r="33" spans="1:29" s="471" customFormat="1" ht="15">
      <c r="A33" s="468"/>
      <c r="B33" s="422" t="s">
        <v>2557</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4"/>
      <c r="L33" s="1141"/>
      <c r="M33" s="1144"/>
      <c r="N33" s="1144"/>
      <c r="O33" s="1144"/>
      <c r="P33" s="3217"/>
      <c r="Q33" s="776" t="str">
        <f t="shared" si="11"/>
        <v>项目建筑规模</v>
      </c>
      <c r="R33" s="777" t="s">
        <v>21</v>
      </c>
      <c r="S33" s="778" t="e">
        <f t="shared" si="12"/>
        <v>#N/A</v>
      </c>
      <c r="T33" s="777" t="s">
        <v>21</v>
      </c>
      <c r="U33" s="778" t="e">
        <f t="shared" si="13"/>
        <v>#N/A</v>
      </c>
      <c r="V33" s="777" t="s">
        <v>21</v>
      </c>
      <c r="W33" s="778" t="e">
        <f t="shared" si="14"/>
        <v>#N/A</v>
      </c>
      <c r="X33" s="779"/>
      <c r="Y33" s="3219"/>
      <c r="Z33" s="780" t="str">
        <f t="shared" si="18"/>
        <v>项目建筑规模</v>
      </c>
      <c r="AA33" s="1814" t="e">
        <f t="shared" si="15"/>
        <v>#N/A</v>
      </c>
      <c r="AB33" s="1814" t="e">
        <f t="shared" si="16"/>
        <v>#N/A</v>
      </c>
      <c r="AC33" s="1814" t="e">
        <f t="shared" si="17"/>
        <v>#N/A</v>
      </c>
    </row>
    <row r="34" spans="1:29" ht="15">
      <c r="A34" s="472"/>
      <c r="B34" s="422" t="s">
        <v>2558</v>
      </c>
      <c r="C34" s="2622"/>
      <c r="D34" s="435">
        <v>100</v>
      </c>
      <c r="E34" s="2623"/>
      <c r="F34" s="461">
        <f>SUMIF(105:105,E34,106:106)-SUMIF(105:105,C34,106:106)+100</f>
        <v>100</v>
      </c>
      <c r="G34" s="2622"/>
      <c r="H34" s="435">
        <f>SUMIF(105:105,G34,106:106)-SUMIF(105:105,C34,106:106)+100</f>
        <v>100</v>
      </c>
      <c r="I34" s="2623"/>
      <c r="J34" s="435">
        <f>SUMIF(105:105,I34,106:106)-SUMIF(105:105,C34,106:106)+100</f>
        <v>100</v>
      </c>
      <c r="K34" s="426"/>
      <c r="L34" s="1143"/>
      <c r="M34" s="1134"/>
      <c r="N34" s="1134"/>
      <c r="O34" s="1134"/>
      <c r="P34" s="3217"/>
      <c r="Q34" s="1813" t="str">
        <f t="shared" si="11"/>
        <v>建筑结构</v>
      </c>
      <c r="R34" s="774" t="s">
        <v>21</v>
      </c>
      <c r="S34" s="775">
        <f t="shared" si="12"/>
        <v>100</v>
      </c>
      <c r="T34" s="774" t="s">
        <v>21</v>
      </c>
      <c r="U34" s="775">
        <f t="shared" si="13"/>
        <v>100</v>
      </c>
      <c r="V34" s="774" t="s">
        <v>21</v>
      </c>
      <c r="W34" s="775">
        <f t="shared" si="14"/>
        <v>100</v>
      </c>
      <c r="X34" s="1816"/>
      <c r="Y34" s="3219"/>
      <c r="Z34" s="1817" t="str">
        <f t="shared" si="18"/>
        <v>建筑结构</v>
      </c>
      <c r="AA34" s="1814">
        <f t="shared" si="15"/>
        <v>1</v>
      </c>
      <c r="AB34" s="1814">
        <f t="shared" si="16"/>
        <v>1</v>
      </c>
      <c r="AC34" s="1814">
        <f t="shared" si="17"/>
        <v>1</v>
      </c>
    </row>
    <row r="35" spans="1:29" ht="15">
      <c r="A35" s="472"/>
      <c r="B35" s="422" t="s">
        <v>2559</v>
      </c>
      <c r="C35" s="2616"/>
      <c r="D35" s="435">
        <v>100</v>
      </c>
      <c r="E35" s="2617"/>
      <c r="F35" s="461">
        <f>SUMIF(107:107,E35,108:108)-SUMIF(107:107,C35,108:108)+100</f>
        <v>100</v>
      </c>
      <c r="G35" s="2616"/>
      <c r="H35" s="435">
        <f>SUMIF(107:107,G35,108:108)-SUMIF(107:107,C35,108:108)+100</f>
        <v>100</v>
      </c>
      <c r="I35" s="2617"/>
      <c r="J35" s="435">
        <f>SUMIF(107:107,I35,108:108)-SUMIF(107:107,C35,108:108)+100</f>
        <v>100</v>
      </c>
      <c r="K35" s="426"/>
      <c r="L35" s="1143"/>
      <c r="M35" s="1134"/>
      <c r="N35" s="1134"/>
      <c r="O35" s="1134"/>
      <c r="P35" s="3217"/>
      <c r="Q35" s="1813" t="str">
        <f t="shared" si="11"/>
        <v>建筑品质</v>
      </c>
      <c r="R35" s="774" t="s">
        <v>21</v>
      </c>
      <c r="S35" s="775">
        <f t="shared" si="12"/>
        <v>100</v>
      </c>
      <c r="T35" s="774" t="s">
        <v>21</v>
      </c>
      <c r="U35" s="775">
        <f t="shared" si="13"/>
        <v>100</v>
      </c>
      <c r="V35" s="774" t="s">
        <v>21</v>
      </c>
      <c r="W35" s="775">
        <f t="shared" si="14"/>
        <v>100</v>
      </c>
      <c r="X35" s="1816"/>
      <c r="Y35" s="3219"/>
      <c r="Z35" s="1817" t="str">
        <f t="shared" si="18"/>
        <v>建筑品质</v>
      </c>
      <c r="AA35" s="1814">
        <f t="shared" si="15"/>
        <v>1</v>
      </c>
      <c r="AB35" s="1814">
        <f t="shared" si="16"/>
        <v>1</v>
      </c>
      <c r="AC35" s="1814">
        <f t="shared" si="17"/>
        <v>1</v>
      </c>
    </row>
    <row r="36" spans="1:29" ht="15">
      <c r="A36" s="472"/>
      <c r="B36" s="422" t="s">
        <v>2560</v>
      </c>
      <c r="C36" s="2616"/>
      <c r="D36" s="435">
        <v>100</v>
      </c>
      <c r="E36" s="2617"/>
      <c r="F36" s="461">
        <f>SUMIF(109:109,E36,110:110)-SUMIF(109:109,C36,110:110)+100</f>
        <v>100</v>
      </c>
      <c r="G36" s="2616"/>
      <c r="H36" s="435">
        <f>SUMIF(109:109,G36,110:110)-SUMIF(109:109,C36,110:110)+100</f>
        <v>100</v>
      </c>
      <c r="I36" s="2617"/>
      <c r="J36" s="435">
        <f>SUMIF(109:109,I36,110:110)-SUMIF(109:109,C36,110:110)+100</f>
        <v>100</v>
      </c>
      <c r="K36" s="426"/>
      <c r="L36" s="1143"/>
      <c r="M36" s="1134"/>
      <c r="N36" s="1134"/>
      <c r="O36" s="1134"/>
      <c r="P36" s="3217"/>
      <c r="Q36" s="1813" t="str">
        <f t="shared" si="11"/>
        <v>公共部分装修</v>
      </c>
      <c r="R36" s="774" t="s">
        <v>21</v>
      </c>
      <c r="S36" s="775">
        <f t="shared" si="12"/>
        <v>100</v>
      </c>
      <c r="T36" s="774" t="s">
        <v>21</v>
      </c>
      <c r="U36" s="775">
        <f t="shared" si="13"/>
        <v>100</v>
      </c>
      <c r="V36" s="774" t="s">
        <v>21</v>
      </c>
      <c r="W36" s="775">
        <f t="shared" si="14"/>
        <v>100</v>
      </c>
      <c r="X36" s="1816"/>
      <c r="Y36" s="3219"/>
      <c r="Z36" s="1817" t="str">
        <f t="shared" si="18"/>
        <v>公共部分装修</v>
      </c>
      <c r="AA36" s="1814">
        <f t="shared" si="15"/>
        <v>1</v>
      </c>
      <c r="AB36" s="1814">
        <f t="shared" si="16"/>
        <v>1</v>
      </c>
      <c r="AC36" s="1814">
        <f t="shared" si="17"/>
        <v>1</v>
      </c>
    </row>
    <row r="37" spans="1:29" s="117" customFormat="1" ht="15">
      <c r="A37" s="473"/>
      <c r="B37" s="422" t="s">
        <v>2561</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17"/>
      <c r="Q37" s="1798" t="str">
        <f t="shared" si="11"/>
        <v>成新度</v>
      </c>
      <c r="R37" s="770" t="s">
        <v>21</v>
      </c>
      <c r="S37" s="771" t="e">
        <f t="shared" si="12"/>
        <v>#N/A</v>
      </c>
      <c r="T37" s="770" t="s">
        <v>21</v>
      </c>
      <c r="U37" s="771" t="e">
        <f t="shared" si="13"/>
        <v>#N/A</v>
      </c>
      <c r="V37" s="770" t="s">
        <v>21</v>
      </c>
      <c r="W37" s="771" t="e">
        <f t="shared" si="14"/>
        <v>#N/A</v>
      </c>
      <c r="X37" s="772"/>
      <c r="Y37" s="3219"/>
      <c r="Z37" s="55" t="str">
        <f t="shared" si="18"/>
        <v>成新度</v>
      </c>
      <c r="AA37" s="773" t="e">
        <f t="shared" si="15"/>
        <v>#N/A</v>
      </c>
      <c r="AB37" s="773" t="e">
        <f t="shared" si="16"/>
        <v>#N/A</v>
      </c>
      <c r="AC37" s="773" t="e">
        <f t="shared" si="17"/>
        <v>#N/A</v>
      </c>
    </row>
    <row r="38" spans="1:29" ht="15">
      <c r="A38" s="472"/>
      <c r="B38" s="422" t="s">
        <v>2562</v>
      </c>
      <c r="C38" s="2616"/>
      <c r="D38" s="435">
        <v>100</v>
      </c>
      <c r="E38" s="2617"/>
      <c r="F38" s="461">
        <f>SUMIF(114:114,E38,115:115)-SUMIF(114:114,C38,115:115)+100</f>
        <v>100</v>
      </c>
      <c r="G38" s="2616"/>
      <c r="H38" s="435">
        <f>SUMIF(114:114,G38,115:115)-SUMIF(114:114,C38,115:115)+100</f>
        <v>100</v>
      </c>
      <c r="I38" s="2617"/>
      <c r="J38" s="435">
        <f>SUMIF(114:114,I38,115:115)-SUMIF(114:114,C38,115:115)+100</f>
        <v>100</v>
      </c>
      <c r="K38" s="426"/>
      <c r="L38" s="1143"/>
      <c r="M38" s="1134"/>
      <c r="N38" s="1134"/>
      <c r="O38" s="1134"/>
      <c r="P38" s="3217" t="s">
        <v>2556</v>
      </c>
      <c r="Q38" s="1813" t="str">
        <f t="shared" si="11"/>
        <v>物业管理</v>
      </c>
      <c r="R38" s="774" t="s">
        <v>21</v>
      </c>
      <c r="S38" s="775">
        <f t="shared" si="12"/>
        <v>100</v>
      </c>
      <c r="T38" s="774" t="s">
        <v>21</v>
      </c>
      <c r="U38" s="775">
        <f t="shared" si="13"/>
        <v>100</v>
      </c>
      <c r="V38" s="774" t="s">
        <v>21</v>
      </c>
      <c r="W38" s="775">
        <f t="shared" si="14"/>
        <v>100</v>
      </c>
      <c r="X38" s="1816"/>
      <c r="Y38" s="3219" t="s">
        <v>2556</v>
      </c>
      <c r="Z38" s="1817" t="str">
        <f t="shared" si="18"/>
        <v>物业管理</v>
      </c>
      <c r="AA38" s="1814">
        <f t="shared" si="15"/>
        <v>1</v>
      </c>
      <c r="AB38" s="1814">
        <f t="shared" si="16"/>
        <v>1</v>
      </c>
      <c r="AC38" s="1814">
        <f t="shared" si="17"/>
        <v>1</v>
      </c>
    </row>
    <row r="39" spans="1:29" ht="15">
      <c r="A39" s="472"/>
      <c r="B39" s="422" t="s">
        <v>2563</v>
      </c>
      <c r="C39" s="2616"/>
      <c r="D39" s="435">
        <v>100</v>
      </c>
      <c r="E39" s="2617"/>
      <c r="F39" s="461">
        <f>SUMIF(116:116,E39,117:117)-SUMIF(116:116,C39,117:117)+100</f>
        <v>100</v>
      </c>
      <c r="G39" s="2616"/>
      <c r="H39" s="435">
        <f>SUMIF(116:116,G39,117:117)-SUMIF(116:116,C39,117:117)+100</f>
        <v>100</v>
      </c>
      <c r="I39" s="2617"/>
      <c r="J39" s="435">
        <f>SUMIF(116:116,I39,117:117)-SUMIF(116:116,C39,117:117)+100</f>
        <v>100</v>
      </c>
      <c r="K39" s="426"/>
      <c r="L39" s="1143"/>
      <c r="M39" s="1134"/>
      <c r="N39" s="1134"/>
      <c r="O39" s="1134"/>
      <c r="P39" s="3217"/>
      <c r="Q39" s="1813" t="str">
        <f t="shared" si="11"/>
        <v>市政基础设施</v>
      </c>
      <c r="R39" s="774" t="s">
        <v>21</v>
      </c>
      <c r="S39" s="775">
        <f t="shared" si="12"/>
        <v>100</v>
      </c>
      <c r="T39" s="774" t="s">
        <v>21</v>
      </c>
      <c r="U39" s="775">
        <f t="shared" si="13"/>
        <v>100</v>
      </c>
      <c r="V39" s="774" t="s">
        <v>21</v>
      </c>
      <c r="W39" s="775">
        <f t="shared" si="14"/>
        <v>100</v>
      </c>
      <c r="X39" s="1816"/>
      <c r="Y39" s="3219"/>
      <c r="Z39" s="1817" t="str">
        <f t="shared" si="18"/>
        <v>市政基础设施</v>
      </c>
      <c r="AA39" s="1814">
        <f t="shared" si="15"/>
        <v>1</v>
      </c>
      <c r="AB39" s="1814">
        <f t="shared" si="16"/>
        <v>1</v>
      </c>
      <c r="AC39" s="1814">
        <f t="shared" si="17"/>
        <v>1</v>
      </c>
    </row>
    <row r="40" spans="1:29" ht="15">
      <c r="A40" s="472"/>
      <c r="B40" s="422" t="s">
        <v>2564</v>
      </c>
      <c r="C40" s="2616"/>
      <c r="D40" s="435">
        <v>100</v>
      </c>
      <c r="E40" s="2617"/>
      <c r="F40" s="461">
        <f>SUMIF(118:118,E40,119:119)-SUMIF(118:118,C40,119:119)+100</f>
        <v>100</v>
      </c>
      <c r="G40" s="2616"/>
      <c r="H40" s="435">
        <f>SUMIF(118:118,G40,119:119)-SUMIF(118:118,C40,119:119)+100</f>
        <v>100</v>
      </c>
      <c r="I40" s="2617"/>
      <c r="J40" s="435">
        <f>SUMIF(118:118,I40,119:119)-SUMIF(118:118,C40,119:119)+100</f>
        <v>100</v>
      </c>
      <c r="K40" s="426"/>
      <c r="L40" s="1143"/>
      <c r="M40" s="1134"/>
      <c r="N40" s="1134"/>
      <c r="O40" s="1134"/>
      <c r="P40" s="3217"/>
      <c r="Q40" s="1813" t="str">
        <f t="shared" si="11"/>
        <v>房型</v>
      </c>
      <c r="R40" s="774" t="s">
        <v>21</v>
      </c>
      <c r="S40" s="775">
        <f t="shared" si="12"/>
        <v>100</v>
      </c>
      <c r="T40" s="774" t="s">
        <v>21</v>
      </c>
      <c r="U40" s="775">
        <f t="shared" si="13"/>
        <v>100</v>
      </c>
      <c r="V40" s="774" t="s">
        <v>21</v>
      </c>
      <c r="W40" s="775">
        <f t="shared" si="14"/>
        <v>100</v>
      </c>
      <c r="X40" s="1816"/>
      <c r="Y40" s="3219"/>
      <c r="Z40" s="1817" t="str">
        <f t="shared" si="18"/>
        <v>房型</v>
      </c>
      <c r="AA40" s="1814">
        <f t="shared" si="15"/>
        <v>1</v>
      </c>
      <c r="AB40" s="1814">
        <f t="shared" si="16"/>
        <v>1</v>
      </c>
      <c r="AC40" s="1814">
        <f t="shared" si="17"/>
        <v>1</v>
      </c>
    </row>
    <row r="41" spans="1:29" s="471" customFormat="1" ht="28.5">
      <c r="A41" s="468"/>
      <c r="B41" s="422" t="s">
        <v>2565</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4"/>
      <c r="L41" s="1141"/>
      <c r="M41" s="1144"/>
      <c r="N41" s="1144"/>
      <c r="O41" s="1144"/>
      <c r="P41" s="3217"/>
      <c r="Q41" s="776" t="str">
        <f t="shared" si="11"/>
        <v>单套/主力户型建筑面积</v>
      </c>
      <c r="R41" s="777" t="s">
        <v>21</v>
      </c>
      <c r="S41" s="778">
        <f t="shared" si="12"/>
        <v>100</v>
      </c>
      <c r="T41" s="777" t="s">
        <v>21</v>
      </c>
      <c r="U41" s="778">
        <f t="shared" si="13"/>
        <v>100</v>
      </c>
      <c r="V41" s="777" t="s">
        <v>21</v>
      </c>
      <c r="W41" s="778">
        <f t="shared" si="14"/>
        <v>100</v>
      </c>
      <c r="X41" s="779"/>
      <c r="Y41" s="3219"/>
      <c r="Z41" s="780" t="str">
        <f t="shared" si="18"/>
        <v>单套/主力户型建筑面积</v>
      </c>
      <c r="AA41" s="1814">
        <f t="shared" si="15"/>
        <v>1</v>
      </c>
      <c r="AB41" s="1814">
        <f t="shared" si="16"/>
        <v>1</v>
      </c>
      <c r="AC41" s="1814">
        <f t="shared" si="17"/>
        <v>1</v>
      </c>
    </row>
    <row r="42" spans="1:29" ht="15">
      <c r="A42" s="472"/>
      <c r="B42" s="422" t="s">
        <v>2566</v>
      </c>
      <c r="C42" s="2616"/>
      <c r="D42" s="435">
        <v>100</v>
      </c>
      <c r="E42" s="2617"/>
      <c r="F42" s="461">
        <f>SUMIF(122:122,E42,123:123)-SUMIF(122:122,C42,123:123)+100</f>
        <v>100</v>
      </c>
      <c r="G42" s="2616"/>
      <c r="H42" s="435">
        <f>SUMIF(122:122,G42,123:123)-SUMIF(122:122,C42,123:123)+100</f>
        <v>100</v>
      </c>
      <c r="I42" s="2617"/>
      <c r="J42" s="435">
        <f>SUMIF(122:122,I42,123:123)-SUMIF(122:122,C42,123:123)+100</f>
        <v>100</v>
      </c>
      <c r="K42" s="426"/>
      <c r="L42" s="1143"/>
      <c r="M42" s="1134"/>
      <c r="N42" s="1134"/>
      <c r="O42" s="1134"/>
      <c r="P42" s="3217"/>
      <c r="Q42" s="1813" t="str">
        <f t="shared" si="11"/>
        <v>内部装修</v>
      </c>
      <c r="R42" s="774" t="s">
        <v>21</v>
      </c>
      <c r="S42" s="775">
        <f t="shared" si="12"/>
        <v>100</v>
      </c>
      <c r="T42" s="774" t="s">
        <v>21</v>
      </c>
      <c r="U42" s="775">
        <f t="shared" si="13"/>
        <v>100</v>
      </c>
      <c r="V42" s="774" t="s">
        <v>21</v>
      </c>
      <c r="W42" s="775">
        <f t="shared" si="14"/>
        <v>100</v>
      </c>
      <c r="X42" s="1816"/>
      <c r="Y42" s="3219"/>
      <c r="Z42" s="1817" t="str">
        <f t="shared" si="18"/>
        <v>内部装修</v>
      </c>
      <c r="AA42" s="1814">
        <f t="shared" si="15"/>
        <v>1</v>
      </c>
      <c r="AB42" s="1814">
        <f t="shared" si="16"/>
        <v>1</v>
      </c>
      <c r="AC42" s="1814">
        <f t="shared" si="17"/>
        <v>1</v>
      </c>
    </row>
    <row r="43" spans="1:29" ht="15">
      <c r="A43" s="472"/>
      <c r="B43" s="422" t="s">
        <v>2567</v>
      </c>
      <c r="C43" s="2616"/>
      <c r="D43" s="435">
        <v>100</v>
      </c>
      <c r="E43" s="2617"/>
      <c r="F43" s="461">
        <f>SUMIF(124:124,E43,125:125)-SUMIF(124:124,C43,125:125)+100</f>
        <v>100</v>
      </c>
      <c r="G43" s="2616"/>
      <c r="H43" s="435">
        <f>SUMIF(124:124,G43,125:125)-SUMIF(124:124,C43,125:125)+100</f>
        <v>100</v>
      </c>
      <c r="I43" s="2617"/>
      <c r="J43" s="435">
        <f>SUMIF(124:124,I43,125:125)-SUMIF(124:124,C43,125:125)+100</f>
        <v>100</v>
      </c>
      <c r="K43" s="426"/>
      <c r="L43" s="1143"/>
      <c r="M43" s="1134"/>
      <c r="N43" s="1134"/>
      <c r="O43" s="1134"/>
      <c r="P43" s="3217"/>
      <c r="Q43" s="1813" t="str">
        <f t="shared" si="11"/>
        <v>内部装修维护情况</v>
      </c>
      <c r="R43" s="774" t="s">
        <v>21</v>
      </c>
      <c r="S43" s="775">
        <f t="shared" si="12"/>
        <v>100</v>
      </c>
      <c r="T43" s="774" t="s">
        <v>21</v>
      </c>
      <c r="U43" s="775">
        <f t="shared" si="13"/>
        <v>100</v>
      </c>
      <c r="V43" s="774" t="s">
        <v>21</v>
      </c>
      <c r="W43" s="775">
        <f t="shared" si="14"/>
        <v>100</v>
      </c>
      <c r="X43" s="1816"/>
      <c r="Y43" s="3219"/>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4"/>
      <c r="L44" s="1135"/>
      <c r="M44" s="1136"/>
      <c r="N44" s="1136"/>
      <c r="O44" s="1136"/>
      <c r="P44" s="3217"/>
      <c r="Q44" s="1798">
        <f t="shared" si="11"/>
        <v>111</v>
      </c>
      <c r="R44" s="770" t="s">
        <v>21</v>
      </c>
      <c r="S44" s="771">
        <f t="shared" si="12"/>
        <v>100</v>
      </c>
      <c r="T44" s="770" t="s">
        <v>21</v>
      </c>
      <c r="U44" s="771">
        <f t="shared" si="13"/>
        <v>100</v>
      </c>
      <c r="V44" s="770" t="s">
        <v>21</v>
      </c>
      <c r="W44" s="771">
        <f t="shared" si="14"/>
        <v>100</v>
      </c>
      <c r="X44" s="772"/>
      <c r="Y44" s="3219"/>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4"/>
      <c r="L45" s="1143"/>
      <c r="M45" s="1134"/>
      <c r="N45" s="1134"/>
      <c r="O45" s="1134"/>
      <c r="P45" s="3217"/>
      <c r="Q45" s="1813">
        <f t="shared" si="11"/>
        <v>111</v>
      </c>
      <c r="R45" s="774" t="s">
        <v>21</v>
      </c>
      <c r="S45" s="775">
        <f t="shared" si="12"/>
        <v>100</v>
      </c>
      <c r="T45" s="774" t="s">
        <v>21</v>
      </c>
      <c r="U45" s="775">
        <f t="shared" si="13"/>
        <v>100</v>
      </c>
      <c r="V45" s="774" t="s">
        <v>21</v>
      </c>
      <c r="W45" s="775">
        <f t="shared" si="14"/>
        <v>100</v>
      </c>
      <c r="X45" s="1816"/>
      <c r="Y45" s="3219"/>
      <c r="Z45" s="1817">
        <f t="shared" si="18"/>
        <v>111</v>
      </c>
      <c r="AA45" s="1814">
        <f t="shared" si="15"/>
        <v>1</v>
      </c>
      <c r="AB45" s="1814">
        <f t="shared" si="16"/>
        <v>1</v>
      </c>
      <c r="AC45" s="1814">
        <f t="shared" si="17"/>
        <v>1</v>
      </c>
    </row>
    <row r="46" spans="1:29" ht="15.75" thickBot="1">
      <c r="A46" s="478"/>
      <c r="B46" s="2605">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4"/>
      <c r="L46" s="1143"/>
      <c r="M46" s="1134"/>
      <c r="N46" s="1134"/>
      <c r="O46" s="1134"/>
      <c r="P46" s="3218"/>
      <c r="Q46" s="1813">
        <f t="shared" si="11"/>
        <v>111</v>
      </c>
      <c r="R46" s="774" t="s">
        <v>20</v>
      </c>
      <c r="S46" s="775">
        <f t="shared" si="12"/>
        <v>100</v>
      </c>
      <c r="T46" s="774" t="s">
        <v>20</v>
      </c>
      <c r="U46" s="775">
        <f t="shared" si="13"/>
        <v>100</v>
      </c>
      <c r="V46" s="774" t="s">
        <v>20</v>
      </c>
      <c r="W46" s="775">
        <f t="shared" si="14"/>
        <v>100</v>
      </c>
      <c r="X46" s="1816"/>
      <c r="Y46" s="3220"/>
      <c r="Z46" s="1817">
        <f t="shared" si="18"/>
        <v>111</v>
      </c>
      <c r="AA46" s="1814">
        <f t="shared" si="15"/>
        <v>1</v>
      </c>
      <c r="AB46" s="1814">
        <f t="shared" si="16"/>
        <v>1</v>
      </c>
      <c r="AC46" s="1814">
        <f t="shared" si="17"/>
        <v>1</v>
      </c>
    </row>
    <row r="47" spans="1:29" ht="15">
      <c r="A47" s="479" t="s">
        <v>2568</v>
      </c>
      <c r="B47" s="480"/>
      <c r="C47" s="1410" t="s">
        <v>19</v>
      </c>
      <c r="D47" s="1411"/>
      <c r="E47" s="1412"/>
      <c r="F47" s="1413"/>
      <c r="G47" s="1414"/>
      <c r="H47" s="1415"/>
      <c r="I47" s="1412"/>
      <c r="J47" s="1415"/>
      <c r="K47" s="2624"/>
      <c r="L47" s="1146"/>
      <c r="M47" s="1147"/>
      <c r="N47" s="1134"/>
      <c r="O47" s="1147"/>
      <c r="P47" s="3212" t="str">
        <f>A47</f>
        <v>成交单价（元/平方米）</v>
      </c>
      <c r="Q47" s="3212"/>
      <c r="R47" s="3213">
        <f>E47</f>
        <v>0</v>
      </c>
      <c r="S47" s="3213"/>
      <c r="T47" s="3213">
        <f>G47</f>
        <v>0</v>
      </c>
      <c r="U47" s="3213"/>
      <c r="V47" s="3213">
        <f>I47</f>
        <v>0</v>
      </c>
      <c r="W47" s="3213"/>
      <c r="X47" s="759"/>
      <c r="Y47" s="781"/>
      <c r="Z47" s="759"/>
      <c r="AA47" s="759"/>
      <c r="AB47" s="759"/>
      <c r="AC47" s="759"/>
    </row>
    <row r="48" spans="1:29" ht="15.75" thickBot="1">
      <c r="A48" s="486" t="s">
        <v>2569</v>
      </c>
      <c r="B48" s="487"/>
      <c r="C48" s="1416" t="e">
        <f>R49</f>
        <v>#DIV/0!</v>
      </c>
      <c r="D48" s="1417"/>
      <c r="E48" s="1418" t="e">
        <f>R48</f>
        <v>#DIV/0!</v>
      </c>
      <c r="F48" s="1418"/>
      <c r="G48" s="1416" t="e">
        <f>T48</f>
        <v>#DIV/0!</v>
      </c>
      <c r="H48" s="1417"/>
      <c r="I48" s="1418" t="e">
        <f>V48</f>
        <v>#DIV/0!</v>
      </c>
      <c r="J48" s="1417"/>
      <c r="K48" s="2625"/>
      <c r="L48" s="1146"/>
      <c r="M48" s="1147"/>
      <c r="N48" s="1147"/>
      <c r="O48" s="1147"/>
      <c r="P48" s="3212" t="str">
        <f>A48</f>
        <v>比较价值（元/平方米）</v>
      </c>
      <c r="Q48" s="3212"/>
      <c r="R48" s="3213" t="e">
        <f>IF(F1="售价",ROUND(PRODUCT(R47,AA7:AA46),0),ROUND(PRODUCT(R47,AA7:AA46),1))</f>
        <v>#DIV/0!</v>
      </c>
      <c r="S48" s="3213"/>
      <c r="T48" s="3213" t="e">
        <f>IF(F1="售价",ROUND(PRODUCT(T47,AB7:AB46),0),ROUND(PRODUCT(T47,AB7:AB46),1))</f>
        <v>#DIV/0!</v>
      </c>
      <c r="U48" s="3213"/>
      <c r="V48" s="3213" t="e">
        <f>IF(F1="售价",ROUND(PRODUCT(V47,AC7:AC46),0),ROUND(PRODUCT(V47,AC7:AC46),1))</f>
        <v>#DIV/0!</v>
      </c>
      <c r="W48" s="3213"/>
      <c r="X48" s="759"/>
      <c r="Y48" s="759"/>
      <c r="Z48" s="759"/>
      <c r="AA48" s="759"/>
      <c r="AB48" s="759"/>
      <c r="AC48" s="759"/>
    </row>
    <row r="49" spans="1:29" ht="15.75" thickBot="1">
      <c r="A49" s="492" t="s">
        <v>2570</v>
      </c>
      <c r="B49" s="493"/>
      <c r="C49" s="1419" t="e">
        <f>R49</f>
        <v>#DIV/0!</v>
      </c>
      <c r="D49" s="1420"/>
      <c r="E49" s="1420"/>
      <c r="F49" s="1420"/>
      <c r="G49" s="1420"/>
      <c r="H49" s="1420"/>
      <c r="I49" s="1420"/>
      <c r="J49" s="1420"/>
      <c r="K49" s="2626"/>
      <c r="L49" s="1146"/>
      <c r="M49" s="1147"/>
      <c r="N49" s="1147"/>
      <c r="O49" s="1147"/>
      <c r="P49" s="3209" t="str">
        <f>A49</f>
        <v>估价对象XX用房的比较价值（楼面单价，元/平方米）</v>
      </c>
      <c r="Q49" s="3210"/>
      <c r="R49" s="3211" t="e">
        <f>IF(F1="售价",ROUND(AVERAGE(R48:V48),0),ROUND(AVERAGE(R48:V48),1))</f>
        <v>#DIV/0!</v>
      </c>
      <c r="S49" s="3211"/>
      <c r="T49" s="3211"/>
      <c r="U49" s="3211"/>
      <c r="V49" s="3211"/>
      <c r="W49" s="3211"/>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2571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2572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2573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8"/>
    </row>
    <row r="55" spans="1:29" s="502" customFormat="1">
      <c r="A55" s="1148"/>
      <c r="B55" s="1149"/>
      <c r="C55" s="1153"/>
      <c r="D55" s="1148"/>
      <c r="E55" s="1148"/>
      <c r="F55" s="1148"/>
      <c r="G55" s="1148"/>
      <c r="H55" s="1148"/>
      <c r="I55" s="1148"/>
      <c r="J55" s="1148"/>
      <c r="K55" s="1151"/>
      <c r="L55" s="1152"/>
      <c r="M55" s="1148"/>
      <c r="N55" s="1148"/>
      <c r="O55" s="1148"/>
      <c r="P55" s="2628"/>
    </row>
    <row r="56" spans="1:29">
      <c r="A56" s="1147"/>
      <c r="B56" s="1149"/>
      <c r="C56" s="1153"/>
      <c r="D56" s="1147"/>
      <c r="E56" s="1147"/>
      <c r="F56" s="1147"/>
      <c r="G56" s="1147"/>
      <c r="H56" s="1147"/>
      <c r="I56" s="1147"/>
      <c r="J56" s="1147"/>
      <c r="K56" s="1108"/>
      <c r="L56" s="1109"/>
      <c r="M56" s="1147"/>
      <c r="N56" s="1147"/>
      <c r="O56" s="1147"/>
    </row>
    <row r="57" spans="1:29" ht="21.75" thickBot="1">
      <c r="A57" s="763" t="s">
        <v>2574</v>
      </c>
      <c r="B57" s="759"/>
      <c r="C57" s="764"/>
      <c r="D57" s="764"/>
      <c r="E57" s="764"/>
      <c r="F57" s="765"/>
      <c r="G57" s="765"/>
      <c r="H57" s="764"/>
      <c r="I57" s="764"/>
      <c r="J57" s="764"/>
      <c r="K57" s="1163"/>
      <c r="L57" s="1164"/>
      <c r="M57" s="1162"/>
      <c r="N57" s="1162"/>
      <c r="O57" s="1162"/>
      <c r="P57" s="2629"/>
      <c r="Q57" s="504"/>
    </row>
    <row r="58" spans="1:29" s="508" customFormat="1" ht="15">
      <c r="A58" s="505" t="s">
        <v>2575</v>
      </c>
      <c r="B58" s="506"/>
      <c r="C58" s="1579" t="str">
        <f>YEAR(C7)&amp;"-"&amp;MONTH(C7)</f>
        <v>2019-3</v>
      </c>
      <c r="D58" s="1578">
        <f>EDATE(C58,-1)</f>
        <v>43497</v>
      </c>
      <c r="E58" s="1578">
        <f>EDATE(D58,-1)</f>
        <v>43466</v>
      </c>
      <c r="F58" s="1578">
        <f t="shared" ref="F58:O58" si="19">EDATE(E58,-1)</f>
        <v>43435</v>
      </c>
      <c r="G58" s="1578">
        <f t="shared" si="19"/>
        <v>43405</v>
      </c>
      <c r="H58" s="1578">
        <f t="shared" si="19"/>
        <v>43374</v>
      </c>
      <c r="I58" s="1578">
        <f t="shared" si="19"/>
        <v>43344</v>
      </c>
      <c r="J58" s="1578">
        <f t="shared" si="19"/>
        <v>43313</v>
      </c>
      <c r="K58" s="1578">
        <f t="shared" si="19"/>
        <v>43282</v>
      </c>
      <c r="L58" s="1578">
        <f t="shared" si="19"/>
        <v>43252</v>
      </c>
      <c r="M58" s="1578">
        <f t="shared" si="19"/>
        <v>43221</v>
      </c>
      <c r="N58" s="1578">
        <f t="shared" si="19"/>
        <v>43191</v>
      </c>
      <c r="O58" s="1578">
        <f t="shared" si="19"/>
        <v>43160</v>
      </c>
      <c r="P58" s="1573"/>
    </row>
    <row r="59" spans="1:29" s="117" customFormat="1" ht="15">
      <c r="A59" s="509"/>
      <c r="B59" s="2630"/>
      <c r="C59" s="1576">
        <v>100</v>
      </c>
      <c r="D59" s="511"/>
      <c r="E59" s="512"/>
      <c r="F59" s="512"/>
      <c r="G59" s="512"/>
      <c r="H59" s="512"/>
      <c r="I59" s="512"/>
      <c r="J59" s="512"/>
      <c r="K59" s="512"/>
      <c r="L59" s="512"/>
      <c r="M59" s="513"/>
      <c r="N59" s="512"/>
      <c r="O59" s="513"/>
      <c r="P59" s="2631"/>
    </row>
    <row r="60" spans="1:29" s="117" customFormat="1" ht="15.75" thickBot="1">
      <c r="A60" s="515" t="s">
        <v>2576</v>
      </c>
      <c r="B60" s="516"/>
      <c r="C60" s="517"/>
      <c r="D60" s="518"/>
      <c r="E60" s="518"/>
      <c r="F60" s="518"/>
      <c r="G60" s="518"/>
      <c r="H60" s="518"/>
      <c r="I60" s="518"/>
      <c r="J60" s="518"/>
      <c r="K60" s="518"/>
      <c r="L60" s="518"/>
      <c r="M60" s="519"/>
      <c r="N60" s="518"/>
      <c r="O60" s="519"/>
      <c r="P60" s="2631"/>
      <c r="Q60" s="504"/>
    </row>
    <row r="61" spans="1:29" s="117" customFormat="1" ht="15">
      <c r="A61" s="521" t="s">
        <v>2577</v>
      </c>
      <c r="B61" s="510"/>
      <c r="C61" s="522" t="s">
        <v>2578</v>
      </c>
      <c r="D61" s="523"/>
      <c r="E61" s="523"/>
      <c r="F61" s="523"/>
      <c r="G61" s="523"/>
      <c r="H61" s="523"/>
      <c r="I61" s="523"/>
      <c r="J61" s="523"/>
      <c r="K61" s="523"/>
      <c r="L61" s="524"/>
      <c r="M61" s="525"/>
      <c r="N61" s="1154"/>
      <c r="O61" s="1154"/>
      <c r="P61" s="2632"/>
      <c r="Q61" s="504"/>
    </row>
    <row r="62" spans="1:29" s="117" customFormat="1" ht="15.75" thickBot="1">
      <c r="A62" s="521"/>
      <c r="B62" s="510"/>
      <c r="C62" s="511">
        <v>100</v>
      </c>
      <c r="D62" s="512"/>
      <c r="E62" s="512"/>
      <c r="F62" s="512"/>
      <c r="G62" s="512"/>
      <c r="H62" s="512"/>
      <c r="I62" s="512"/>
      <c r="J62" s="512"/>
      <c r="K62" s="512"/>
      <c r="L62" s="512"/>
      <c r="M62" s="514"/>
      <c r="N62" s="1154"/>
      <c r="O62" s="1154"/>
      <c r="P62" s="2631"/>
      <c r="Q62" s="504"/>
    </row>
    <row r="63" spans="1:29">
      <c r="A63" s="527" t="s">
        <v>2579</v>
      </c>
      <c r="B63" s="528" t="s">
        <v>2545</v>
      </c>
      <c r="C63" s="529">
        <f>C9</f>
        <v>0</v>
      </c>
      <c r="D63" s="530"/>
      <c r="E63" s="530"/>
      <c r="F63" s="530"/>
      <c r="G63" s="530"/>
      <c r="H63" s="530"/>
      <c r="I63" s="530"/>
      <c r="J63" s="530"/>
      <c r="K63" s="531"/>
      <c r="L63" s="532"/>
      <c r="M63" s="533"/>
      <c r="N63" s="1155"/>
      <c r="O63" s="1155"/>
      <c r="P63" s="2633"/>
      <c r="Q63" s="504"/>
    </row>
    <row r="64" spans="1:29" ht="15.75" thickBot="1">
      <c r="A64" s="534"/>
      <c r="B64" s="535"/>
      <c r="C64" s="536">
        <v>100</v>
      </c>
      <c r="D64" s="536"/>
      <c r="E64" s="536"/>
      <c r="F64" s="536"/>
      <c r="G64" s="536"/>
      <c r="H64" s="536"/>
      <c r="I64" s="536"/>
      <c r="J64" s="536"/>
      <c r="K64" s="536"/>
      <c r="L64" s="536"/>
      <c r="M64" s="537"/>
      <c r="N64" s="1156"/>
      <c r="O64" s="1156"/>
      <c r="P64" s="2633"/>
      <c r="Q64" s="504"/>
    </row>
    <row r="65" spans="1:17" ht="27.75" thickTop="1">
      <c r="A65" s="534"/>
      <c r="B65" s="538" t="s">
        <v>2548</v>
      </c>
      <c r="C65" s="539" t="s">
        <v>2580</v>
      </c>
      <c r="D65" s="539" t="s">
        <v>2581</v>
      </c>
      <c r="E65" s="539" t="s">
        <v>2582</v>
      </c>
      <c r="F65" s="539" t="s">
        <v>2583</v>
      </c>
      <c r="G65" s="539" t="s">
        <v>2584</v>
      </c>
      <c r="H65" s="539" t="s">
        <v>2585</v>
      </c>
      <c r="I65" s="539" t="s">
        <v>2586</v>
      </c>
      <c r="J65" s="539"/>
      <c r="K65" s="540"/>
      <c r="L65" s="541"/>
      <c r="M65" s="542"/>
      <c r="N65" s="1155"/>
      <c r="O65" s="1155"/>
      <c r="P65" s="2633"/>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3"/>
      <c r="Q66" s="504"/>
    </row>
    <row r="67" spans="1:17" ht="15.75" thickTop="1">
      <c r="A67" s="534"/>
      <c r="B67" s="546" t="s">
        <v>2549</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3"/>
      <c r="Q67" s="504"/>
    </row>
    <row r="68" spans="1:17" ht="15">
      <c r="A68" s="534"/>
      <c r="B68" s="548"/>
      <c r="C68" s="549"/>
      <c r="D68" s="549"/>
      <c r="E68" s="549"/>
      <c r="F68" s="549"/>
      <c r="G68" s="549"/>
      <c r="H68" s="549"/>
      <c r="I68" s="549"/>
      <c r="J68" s="549"/>
      <c r="K68" s="550"/>
      <c r="L68" s="551"/>
      <c r="M68" s="552"/>
      <c r="N68" s="1155"/>
      <c r="O68" s="1155"/>
      <c r="P68" s="2633"/>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3"/>
      <c r="Q69" s="504"/>
    </row>
    <row r="70" spans="1:17" s="471" customFormat="1" ht="15.75" thickTop="1">
      <c r="A70" s="553"/>
      <c r="B70" s="538">
        <f>B12</f>
        <v>111</v>
      </c>
      <c r="C70" s="554"/>
      <c r="D70" s="554"/>
      <c r="E70" s="554"/>
      <c r="F70" s="554"/>
      <c r="G70" s="554"/>
      <c r="H70" s="555"/>
      <c r="I70" s="555"/>
      <c r="J70" s="555"/>
      <c r="K70" s="555"/>
      <c r="L70" s="556"/>
      <c r="M70" s="557"/>
      <c r="N70" s="1157"/>
      <c r="O70" s="1157"/>
      <c r="P70" s="2634"/>
      <c r="Q70" s="559"/>
    </row>
    <row r="71" spans="1:17" s="471" customFormat="1" ht="15.75" thickBot="1">
      <c r="A71" s="553"/>
      <c r="B71" s="543"/>
      <c r="C71" s="560"/>
      <c r="D71" s="536"/>
      <c r="E71" s="536"/>
      <c r="F71" s="536"/>
      <c r="G71" s="536"/>
      <c r="H71" s="536"/>
      <c r="I71" s="536"/>
      <c r="J71" s="536"/>
      <c r="K71" s="536"/>
      <c r="L71" s="536"/>
      <c r="M71" s="537"/>
      <c r="N71" s="1156"/>
      <c r="O71" s="1156"/>
      <c r="P71" s="2634"/>
      <c r="Q71" s="559"/>
    </row>
    <row r="72" spans="1:17" s="471" customFormat="1" ht="15.75" thickTop="1">
      <c r="A72" s="553"/>
      <c r="B72" s="538">
        <f>B13</f>
        <v>111</v>
      </c>
      <c r="C72" s="554"/>
      <c r="D72" s="554"/>
      <c r="E72" s="554"/>
      <c r="F72" s="554"/>
      <c r="G72" s="554"/>
      <c r="H72" s="555"/>
      <c r="I72" s="555"/>
      <c r="J72" s="555"/>
      <c r="K72" s="555"/>
      <c r="L72" s="556"/>
      <c r="M72" s="557"/>
      <c r="N72" s="1157"/>
      <c r="O72" s="1157"/>
      <c r="P72" s="2635"/>
      <c r="Q72" s="561"/>
    </row>
    <row r="73" spans="1:17" s="471" customFormat="1" ht="15.75" thickBot="1">
      <c r="A73" s="553"/>
      <c r="B73" s="543"/>
      <c r="C73" s="560"/>
      <c r="D73" s="560"/>
      <c r="E73" s="560"/>
      <c r="F73" s="560"/>
      <c r="G73" s="560"/>
      <c r="H73" s="562"/>
      <c r="I73" s="562"/>
      <c r="J73" s="562"/>
      <c r="K73" s="562"/>
      <c r="L73" s="562"/>
      <c r="M73" s="563"/>
      <c r="N73" s="1157"/>
      <c r="O73" s="1157"/>
      <c r="P73" s="2634"/>
      <c r="Q73" s="559"/>
    </row>
    <row r="74" spans="1:17" s="471" customFormat="1" ht="15.75" thickTop="1">
      <c r="A74" s="553"/>
      <c r="B74" s="546">
        <f>B14</f>
        <v>111</v>
      </c>
      <c r="C74" s="554"/>
      <c r="D74" s="554"/>
      <c r="E74" s="554"/>
      <c r="F74" s="554"/>
      <c r="G74" s="523"/>
      <c r="H74" s="564"/>
      <c r="I74" s="564"/>
      <c r="J74" s="564"/>
      <c r="K74" s="564"/>
      <c r="L74" s="565"/>
      <c r="M74" s="566"/>
      <c r="N74" s="1157"/>
      <c r="O74" s="1157"/>
      <c r="P74" s="2636"/>
      <c r="Q74" s="559"/>
    </row>
    <row r="75" spans="1:17" s="471" customFormat="1" ht="15.75" thickBot="1">
      <c r="A75" s="568"/>
      <c r="B75" s="569"/>
      <c r="C75" s="570"/>
      <c r="D75" s="570"/>
      <c r="E75" s="570"/>
      <c r="F75" s="570"/>
      <c r="G75" s="570"/>
      <c r="H75" s="571"/>
      <c r="I75" s="571"/>
      <c r="J75" s="571"/>
      <c r="K75" s="571"/>
      <c r="L75" s="571"/>
      <c r="M75" s="572"/>
      <c r="N75" s="1157"/>
      <c r="O75" s="1157"/>
      <c r="P75" s="2634"/>
      <c r="Q75" s="559"/>
    </row>
    <row r="76" spans="1:17">
      <c r="A76" s="527" t="s">
        <v>2550</v>
      </c>
      <c r="B76" s="528" t="s">
        <v>2587</v>
      </c>
      <c r="C76" s="573" t="s">
        <v>2588</v>
      </c>
      <c r="D76" s="573" t="s">
        <v>2589</v>
      </c>
      <c r="E76" s="573" t="s">
        <v>2590</v>
      </c>
      <c r="F76" s="573" t="s">
        <v>2591</v>
      </c>
      <c r="G76" s="573" t="s">
        <v>2592</v>
      </c>
      <c r="H76" s="529"/>
      <c r="I76" s="529"/>
      <c r="J76" s="529"/>
      <c r="K76" s="574"/>
      <c r="L76" s="575"/>
      <c r="M76" s="576"/>
      <c r="N76" s="1155"/>
      <c r="O76" s="1155"/>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3"/>
      <c r="Q77" s="504"/>
    </row>
    <row r="78" spans="1:17" ht="15.75" thickTop="1">
      <c r="A78" s="534"/>
      <c r="B78" s="538" t="s">
        <v>2593</v>
      </c>
      <c r="C78" s="578" t="s">
        <v>2588</v>
      </c>
      <c r="D78" s="578" t="s">
        <v>2589</v>
      </c>
      <c r="E78" s="578" t="s">
        <v>2590</v>
      </c>
      <c r="F78" s="578" t="s">
        <v>2591</v>
      </c>
      <c r="G78" s="578" t="s">
        <v>2592</v>
      </c>
      <c r="H78" s="539"/>
      <c r="I78" s="539"/>
      <c r="J78" s="539"/>
      <c r="K78" s="540"/>
      <c r="L78" s="541"/>
      <c r="M78" s="542"/>
      <c r="N78" s="1155"/>
      <c r="O78" s="1155"/>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3"/>
      <c r="Q79" s="504"/>
    </row>
    <row r="80" spans="1:17" ht="15.75" thickTop="1">
      <c r="A80" s="534"/>
      <c r="B80" s="538" t="s">
        <v>2594</v>
      </c>
      <c r="C80" s="578" t="s">
        <v>2588</v>
      </c>
      <c r="D80" s="578" t="s">
        <v>2589</v>
      </c>
      <c r="E80" s="578" t="s">
        <v>2590</v>
      </c>
      <c r="F80" s="578" t="s">
        <v>2591</v>
      </c>
      <c r="G80" s="578" t="s">
        <v>2592</v>
      </c>
      <c r="H80" s="539"/>
      <c r="I80" s="539"/>
      <c r="J80" s="539"/>
      <c r="K80" s="540"/>
      <c r="L80" s="541"/>
      <c r="M80" s="542"/>
      <c r="N80" s="1155"/>
      <c r="O80" s="1155"/>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3"/>
      <c r="Q81" s="504"/>
    </row>
    <row r="82" spans="1:17" ht="15.75" thickTop="1">
      <c r="A82" s="534"/>
      <c r="B82" s="546" t="s">
        <v>2091</v>
      </c>
      <c r="C82" s="539" t="s">
        <v>2595</v>
      </c>
      <c r="D82" s="539" t="s">
        <v>2596</v>
      </c>
      <c r="E82" s="539" t="s">
        <v>2597</v>
      </c>
      <c r="F82" s="539" t="s">
        <v>2598</v>
      </c>
      <c r="G82" s="539" t="s">
        <v>2599</v>
      </c>
      <c r="H82" s="539"/>
      <c r="I82" s="539"/>
      <c r="J82" s="539"/>
      <c r="K82" s="539"/>
      <c r="L82" s="539"/>
      <c r="M82" s="1385"/>
      <c r="N82" s="1156"/>
      <c r="O82" s="1156"/>
      <c r="P82" s="2633"/>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3"/>
      <c r="Q83" s="504"/>
    </row>
    <row r="84" spans="1:17" ht="15.75" thickTop="1">
      <c r="A84" s="534"/>
      <c r="B84" s="538" t="s">
        <v>2600</v>
      </c>
      <c r="C84" s="578" t="s">
        <v>2588</v>
      </c>
      <c r="D84" s="578" t="s">
        <v>2589</v>
      </c>
      <c r="E84" s="578" t="s">
        <v>2590</v>
      </c>
      <c r="F84" s="578" t="s">
        <v>2591</v>
      </c>
      <c r="G84" s="578" t="s">
        <v>2592</v>
      </c>
      <c r="H84" s="539"/>
      <c r="I84" s="539"/>
      <c r="J84" s="539"/>
      <c r="K84" s="540"/>
      <c r="L84" s="541"/>
      <c r="M84" s="542"/>
      <c r="N84" s="1155"/>
      <c r="O84" s="1155"/>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3"/>
      <c r="Q85" s="504"/>
    </row>
    <row r="86" spans="1:17" s="117" customFormat="1" ht="15.75" thickTop="1">
      <c r="A86" s="579"/>
      <c r="B86" s="538" t="s">
        <v>2601</v>
      </c>
      <c r="C86" s="554"/>
      <c r="D86" s="554"/>
      <c r="E86" s="554"/>
      <c r="F86" s="554"/>
      <c r="G86" s="554"/>
      <c r="H86" s="554"/>
      <c r="I86" s="554"/>
      <c r="J86" s="554"/>
      <c r="K86" s="554"/>
      <c r="L86" s="580"/>
      <c r="M86" s="581"/>
      <c r="N86" s="1154"/>
      <c r="O86" s="1154"/>
      <c r="P86" s="2633"/>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3"/>
      <c r="Q87" s="504"/>
    </row>
    <row r="88" spans="1:17" s="117" customFormat="1" ht="15.75" thickTop="1">
      <c r="A88" s="579"/>
      <c r="B88" s="538" t="s">
        <v>2602</v>
      </c>
      <c r="C88" s="554"/>
      <c r="D88" s="554"/>
      <c r="E88" s="554"/>
      <c r="F88" s="2638"/>
      <c r="G88" s="554"/>
      <c r="H88" s="554"/>
      <c r="I88" s="554"/>
      <c r="J88" s="554"/>
      <c r="K88" s="554"/>
      <c r="L88" s="554"/>
      <c r="M88" s="581"/>
      <c r="N88" s="1154"/>
      <c r="O88" s="1154"/>
      <c r="P88" s="2633"/>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3"/>
      <c r="Q89" s="504"/>
    </row>
    <row r="90" spans="1:17" s="471" customFormat="1" ht="15.75" thickTop="1">
      <c r="A90" s="553"/>
      <c r="B90" s="538">
        <f>B27</f>
        <v>111</v>
      </c>
      <c r="C90" s="554"/>
      <c r="D90" s="554"/>
      <c r="E90" s="554"/>
      <c r="F90" s="554"/>
      <c r="G90" s="554"/>
      <c r="H90" s="555"/>
      <c r="I90" s="555"/>
      <c r="J90" s="555"/>
      <c r="K90" s="555"/>
      <c r="L90" s="556"/>
      <c r="M90" s="557"/>
      <c r="N90" s="1157"/>
      <c r="O90" s="1157"/>
      <c r="P90" s="2634"/>
      <c r="Q90" s="559"/>
    </row>
    <row r="91" spans="1:17" s="471" customFormat="1" ht="15.75" thickBot="1">
      <c r="A91" s="553"/>
      <c r="B91" s="543"/>
      <c r="C91" s="560"/>
      <c r="D91" s="560"/>
      <c r="E91" s="560"/>
      <c r="F91" s="560"/>
      <c r="G91" s="560"/>
      <c r="H91" s="562"/>
      <c r="I91" s="562"/>
      <c r="J91" s="562"/>
      <c r="K91" s="562"/>
      <c r="L91" s="562"/>
      <c r="M91" s="563"/>
      <c r="N91" s="1157"/>
      <c r="O91" s="1157"/>
      <c r="P91" s="2634"/>
      <c r="Q91" s="559"/>
    </row>
    <row r="92" spans="1:17" ht="15.75" thickTop="1">
      <c r="A92" s="534"/>
      <c r="B92" s="538">
        <f>B28</f>
        <v>111</v>
      </c>
      <c r="C92" s="554"/>
      <c r="D92" s="554"/>
      <c r="E92" s="554"/>
      <c r="F92" s="554"/>
      <c r="G92" s="583"/>
      <c r="H92" s="583"/>
      <c r="I92" s="583"/>
      <c r="J92" s="583"/>
      <c r="K92" s="584"/>
      <c r="L92" s="585"/>
      <c r="M92" s="586"/>
      <c r="N92" s="1155"/>
      <c r="O92" s="1155"/>
      <c r="P92" s="2633"/>
      <c r="Q92" s="504"/>
    </row>
    <row r="93" spans="1:17" ht="15.75" thickBot="1">
      <c r="A93" s="534"/>
      <c r="B93" s="543"/>
      <c r="C93" s="560"/>
      <c r="D93" s="536"/>
      <c r="E93" s="536"/>
      <c r="F93" s="536"/>
      <c r="G93" s="536"/>
      <c r="H93" s="536"/>
      <c r="I93" s="536"/>
      <c r="J93" s="536"/>
      <c r="K93" s="536"/>
      <c r="L93" s="536"/>
      <c r="M93" s="537"/>
      <c r="N93" s="1156"/>
      <c r="O93" s="1156"/>
      <c r="P93" s="2633"/>
      <c r="Q93" s="504"/>
    </row>
    <row r="94" spans="1:17" ht="15.75" thickTop="1">
      <c r="A94" s="534"/>
      <c r="B94" s="538">
        <f>B29</f>
        <v>111</v>
      </c>
      <c r="C94" s="554"/>
      <c r="D94" s="554"/>
      <c r="E94" s="554"/>
      <c r="F94" s="554"/>
      <c r="G94" s="583"/>
      <c r="H94" s="583"/>
      <c r="I94" s="583"/>
      <c r="J94" s="583"/>
      <c r="K94" s="584"/>
      <c r="L94" s="585"/>
      <c r="M94" s="586"/>
      <c r="N94" s="1155"/>
      <c r="O94" s="1155"/>
      <c r="P94" s="2633"/>
      <c r="Q94" s="504"/>
    </row>
    <row r="95" spans="1:17" ht="15.75" thickBot="1">
      <c r="A95" s="534"/>
      <c r="B95" s="543"/>
      <c r="C95" s="560"/>
      <c r="D95" s="560"/>
      <c r="E95" s="560"/>
      <c r="F95" s="560"/>
      <c r="G95" s="536"/>
      <c r="H95" s="536"/>
      <c r="I95" s="536"/>
      <c r="J95" s="536"/>
      <c r="K95" s="536"/>
      <c r="L95" s="536"/>
      <c r="M95" s="537"/>
      <c r="N95" s="1156"/>
      <c r="O95" s="1156"/>
      <c r="P95" s="2633"/>
      <c r="Q95" s="504"/>
    </row>
    <row r="96" spans="1:17" ht="15.75" thickTop="1">
      <c r="A96" s="534"/>
      <c r="B96" s="538">
        <f>B30</f>
        <v>111</v>
      </c>
      <c r="C96" s="554"/>
      <c r="D96" s="554"/>
      <c r="E96" s="554"/>
      <c r="F96" s="554"/>
      <c r="G96" s="583"/>
      <c r="H96" s="583"/>
      <c r="I96" s="583"/>
      <c r="J96" s="583"/>
      <c r="K96" s="584"/>
      <c r="L96" s="585"/>
      <c r="M96" s="586"/>
      <c r="N96" s="1155"/>
      <c r="O96" s="1155"/>
      <c r="P96" s="2633"/>
      <c r="Q96" s="504"/>
    </row>
    <row r="97" spans="1:17" ht="15.75" thickBot="1">
      <c r="A97" s="534"/>
      <c r="B97" s="543"/>
      <c r="C97" s="570"/>
      <c r="D97" s="570"/>
      <c r="E97" s="570"/>
      <c r="F97" s="570"/>
      <c r="G97" s="536"/>
      <c r="H97" s="536"/>
      <c r="I97" s="536"/>
      <c r="J97" s="536"/>
      <c r="K97" s="536"/>
      <c r="L97" s="536"/>
      <c r="M97" s="537"/>
      <c r="N97" s="1156"/>
      <c r="O97" s="1156"/>
      <c r="P97" s="2633"/>
      <c r="Q97" s="504"/>
    </row>
    <row r="98" spans="1:17" ht="15.75" thickTop="1">
      <c r="A98" s="534"/>
      <c r="B98" s="546">
        <f>B31</f>
        <v>111</v>
      </c>
      <c r="C98" s="587"/>
      <c r="D98" s="587"/>
      <c r="E98" s="587"/>
      <c r="F98" s="587"/>
      <c r="G98" s="587"/>
      <c r="H98" s="587"/>
      <c r="I98" s="587"/>
      <c r="J98" s="587"/>
      <c r="K98" s="588"/>
      <c r="L98" s="589"/>
      <c r="M98" s="590"/>
      <c r="N98" s="1155"/>
      <c r="O98" s="1155"/>
      <c r="P98" s="2633"/>
      <c r="Q98" s="504"/>
    </row>
    <row r="99" spans="1:17" ht="15.75" thickBot="1">
      <c r="A99" s="2639"/>
      <c r="B99" s="569"/>
      <c r="C99" s="591"/>
      <c r="D99" s="591"/>
      <c r="E99" s="591"/>
      <c r="F99" s="591"/>
      <c r="G99" s="591"/>
      <c r="H99" s="591"/>
      <c r="I99" s="591"/>
      <c r="J99" s="591"/>
      <c r="K99" s="591"/>
      <c r="L99" s="591"/>
      <c r="M99" s="592"/>
      <c r="N99" s="1156"/>
      <c r="O99" s="1156"/>
      <c r="P99" s="2633"/>
      <c r="Q99" s="504"/>
    </row>
    <row r="100" spans="1:17">
      <c r="A100" s="527" t="s">
        <v>2554</v>
      </c>
      <c r="B100" s="528" t="s">
        <v>2603</v>
      </c>
      <c r="C100" s="530"/>
      <c r="D100" s="530"/>
      <c r="E100" s="530"/>
      <c r="F100" s="530"/>
      <c r="G100" s="530"/>
      <c r="H100" s="530"/>
      <c r="I100" s="530"/>
      <c r="J100" s="530"/>
      <c r="K100" s="531"/>
      <c r="L100" s="532"/>
      <c r="M100" s="533"/>
      <c r="N100" s="1155"/>
      <c r="O100" s="1155"/>
      <c r="P100" s="2633"/>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3"/>
      <c r="Q101" s="504"/>
    </row>
    <row r="102" spans="1:17" ht="15.75" thickTop="1">
      <c r="A102" s="534"/>
      <c r="B102" s="538" t="s">
        <v>2604</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3"/>
      <c r="Q102" s="504"/>
    </row>
    <row r="103" spans="1:17" s="471" customFormat="1">
      <c r="A103" s="593"/>
      <c r="B103" s="594"/>
      <c r="C103" s="595"/>
      <c r="D103" s="595"/>
      <c r="E103" s="595"/>
      <c r="F103" s="595"/>
      <c r="G103" s="595"/>
      <c r="H103" s="595"/>
      <c r="I103" s="595"/>
      <c r="J103" s="596"/>
      <c r="K103" s="596"/>
      <c r="L103" s="597"/>
      <c r="M103" s="598"/>
      <c r="N103" s="1157"/>
      <c r="O103" s="1157"/>
      <c r="P103" s="2634"/>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4"/>
      <c r="Q104" s="559"/>
    </row>
    <row r="105" spans="1:17" ht="15" thickTop="1">
      <c r="A105" s="599"/>
      <c r="B105" s="538" t="s">
        <v>2605</v>
      </c>
      <c r="C105" s="554"/>
      <c r="D105" s="554"/>
      <c r="E105" s="583"/>
      <c r="F105" s="583"/>
      <c r="G105" s="583"/>
      <c r="H105" s="583"/>
      <c r="I105" s="583"/>
      <c r="J105" s="583"/>
      <c r="K105" s="584"/>
      <c r="L105" s="585"/>
      <c r="M105" s="586"/>
      <c r="N105" s="1155"/>
      <c r="O105" s="1155"/>
      <c r="P105" s="2633"/>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3"/>
      <c r="Q106" s="504"/>
    </row>
    <row r="107" spans="1:17" ht="15" thickTop="1">
      <c r="A107" s="599"/>
      <c r="B107" s="538" t="s">
        <v>2606</v>
      </c>
      <c r="C107" s="583"/>
      <c r="D107" s="583"/>
      <c r="E107" s="583"/>
      <c r="F107" s="583"/>
      <c r="G107" s="583"/>
      <c r="H107" s="583"/>
      <c r="I107" s="583"/>
      <c r="J107" s="583"/>
      <c r="K107" s="584"/>
      <c r="L107" s="585"/>
      <c r="M107" s="586"/>
      <c r="N107" s="1155"/>
      <c r="O107" s="1155"/>
      <c r="P107" s="2633"/>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3"/>
      <c r="Q108" s="504"/>
    </row>
    <row r="109" spans="1:17" ht="15" thickTop="1">
      <c r="A109" s="599"/>
      <c r="B109" s="538" t="s">
        <v>2607</v>
      </c>
      <c r="C109" s="554"/>
      <c r="D109" s="554"/>
      <c r="E109" s="554"/>
      <c r="F109" s="583"/>
      <c r="G109" s="583"/>
      <c r="H109" s="583"/>
      <c r="I109" s="583"/>
      <c r="J109" s="583"/>
      <c r="K109" s="584"/>
      <c r="L109" s="585"/>
      <c r="M109" s="586"/>
      <c r="N109" s="1155"/>
      <c r="O109" s="1155"/>
      <c r="P109" s="2633"/>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3"/>
      <c r="Q110" s="504"/>
    </row>
    <row r="111" spans="1:17" s="471" customFormat="1" ht="15" thickTop="1">
      <c r="A111" s="593"/>
      <c r="B111" s="538" t="s">
        <v>1988</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4"/>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4"/>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4"/>
      <c r="Q113" s="559"/>
    </row>
    <row r="114" spans="1:17" ht="15" thickTop="1">
      <c r="A114" s="599"/>
      <c r="B114" s="538" t="s">
        <v>2608</v>
      </c>
      <c r="C114" s="554"/>
      <c r="D114" s="554"/>
      <c r="E114" s="583"/>
      <c r="F114" s="583"/>
      <c r="G114" s="583"/>
      <c r="H114" s="583"/>
      <c r="I114" s="583"/>
      <c r="J114" s="583"/>
      <c r="K114" s="584"/>
      <c r="L114" s="585"/>
      <c r="M114" s="586"/>
      <c r="N114" s="1155"/>
      <c r="O114" s="1155"/>
      <c r="P114" s="2633"/>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3"/>
      <c r="Q115" s="504"/>
    </row>
    <row r="116" spans="1:17" ht="15" thickTop="1">
      <c r="A116" s="599"/>
      <c r="B116" s="538" t="s">
        <v>2609</v>
      </c>
      <c r="C116" s="554"/>
      <c r="D116" s="554"/>
      <c r="E116" s="554"/>
      <c r="F116" s="554"/>
      <c r="G116" s="554"/>
      <c r="H116" s="583"/>
      <c r="I116" s="583"/>
      <c r="J116" s="583"/>
      <c r="K116" s="584"/>
      <c r="L116" s="585"/>
      <c r="M116" s="586"/>
      <c r="N116" s="1155"/>
      <c r="O116" s="1155"/>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3"/>
      <c r="Q117" s="504"/>
    </row>
    <row r="118" spans="1:17" ht="15" thickTop="1">
      <c r="A118" s="599"/>
      <c r="B118" s="538" t="s">
        <v>2610</v>
      </c>
      <c r="C118" s="583"/>
      <c r="D118" s="583"/>
      <c r="E118" s="583"/>
      <c r="F118" s="583"/>
      <c r="G118" s="583"/>
      <c r="H118" s="583"/>
      <c r="I118" s="583"/>
      <c r="J118" s="583"/>
      <c r="K118" s="584"/>
      <c r="L118" s="585"/>
      <c r="M118" s="586"/>
      <c r="N118" s="1155"/>
      <c r="O118" s="1155"/>
      <c r="P118" s="2633"/>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3"/>
      <c r="Q119" s="504"/>
    </row>
    <row r="120" spans="1:17" s="471" customFormat="1" ht="28.5" thickTop="1">
      <c r="A120" s="593"/>
      <c r="B120" s="538" t="s">
        <v>2565</v>
      </c>
      <c r="C120" s="554"/>
      <c r="D120" s="554"/>
      <c r="E120" s="554"/>
      <c r="F120" s="554"/>
      <c r="G120" s="554"/>
      <c r="H120" s="554"/>
      <c r="I120" s="554"/>
      <c r="J120" s="554"/>
      <c r="K120" s="554"/>
      <c r="L120" s="580"/>
      <c r="M120" s="581"/>
      <c r="N120" s="1157"/>
      <c r="O120" s="1157"/>
      <c r="P120" s="2634"/>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4"/>
      <c r="Q121" s="559"/>
    </row>
    <row r="122" spans="1:17" ht="15" thickTop="1">
      <c r="A122" s="599"/>
      <c r="B122" s="538" t="s">
        <v>2611</v>
      </c>
      <c r="C122" s="554"/>
      <c r="D122" s="554"/>
      <c r="E122" s="554"/>
      <c r="F122" s="583"/>
      <c r="G122" s="583"/>
      <c r="H122" s="583"/>
      <c r="I122" s="583"/>
      <c r="J122" s="583"/>
      <c r="K122" s="584"/>
      <c r="L122" s="585"/>
      <c r="M122" s="586"/>
      <c r="N122" s="1155"/>
      <c r="O122" s="1155"/>
      <c r="P122" s="2633"/>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3"/>
      <c r="Q123" s="504"/>
    </row>
    <row r="124" spans="1:17" ht="15" thickTop="1">
      <c r="A124" s="599"/>
      <c r="B124" s="538" t="s">
        <v>2612</v>
      </c>
      <c r="C124" s="578" t="s">
        <v>2588</v>
      </c>
      <c r="D124" s="578" t="s">
        <v>2589</v>
      </c>
      <c r="E124" s="578" t="s">
        <v>2590</v>
      </c>
      <c r="F124" s="578" t="s">
        <v>2591</v>
      </c>
      <c r="G124" s="578" t="s">
        <v>2592</v>
      </c>
      <c r="H124" s="539"/>
      <c r="I124" s="539"/>
      <c r="J124" s="539"/>
      <c r="K124" s="540"/>
      <c r="L124" s="541"/>
      <c r="M124" s="542"/>
      <c r="N124" s="1155"/>
      <c r="O124" s="1155"/>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3"/>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4"/>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4"/>
      <c r="Q127" s="559"/>
    </row>
    <row r="128" spans="1:17" ht="15" thickTop="1">
      <c r="A128" s="599"/>
      <c r="B128" s="538">
        <f>B45</f>
        <v>111</v>
      </c>
      <c r="C128" s="554"/>
      <c r="D128" s="554"/>
      <c r="E128" s="554"/>
      <c r="F128" s="554"/>
      <c r="G128" s="583"/>
      <c r="H128" s="583"/>
      <c r="I128" s="583"/>
      <c r="J128" s="583"/>
      <c r="K128" s="584"/>
      <c r="L128" s="585"/>
      <c r="M128" s="586"/>
      <c r="N128" s="1155"/>
      <c r="O128" s="1155"/>
      <c r="P128" s="2633"/>
      <c r="Q128" s="504"/>
    </row>
    <row r="129" spans="1:17" ht="15.75" thickBot="1">
      <c r="A129" s="534"/>
      <c r="B129" s="543"/>
      <c r="C129" s="560"/>
      <c r="D129" s="560"/>
      <c r="E129" s="560"/>
      <c r="F129" s="560"/>
      <c r="G129" s="536"/>
      <c r="H129" s="536"/>
      <c r="I129" s="536"/>
      <c r="J129" s="536"/>
      <c r="K129" s="536"/>
      <c r="L129" s="536"/>
      <c r="M129" s="537"/>
      <c r="N129" s="1156"/>
      <c r="O129" s="1156"/>
      <c r="P129" s="2633"/>
      <c r="Q129" s="504"/>
    </row>
    <row r="130" spans="1:17" ht="15" thickTop="1">
      <c r="A130" s="599"/>
      <c r="B130" s="546">
        <f>B46</f>
        <v>111</v>
      </c>
      <c r="C130" s="554"/>
      <c r="D130" s="554"/>
      <c r="E130" s="554"/>
      <c r="F130" s="554"/>
      <c r="G130" s="587"/>
      <c r="H130" s="587"/>
      <c r="I130" s="587"/>
      <c r="J130" s="587"/>
      <c r="K130" s="523"/>
      <c r="L130" s="524"/>
      <c r="M130" s="590"/>
      <c r="N130" s="1155"/>
      <c r="O130" s="1155"/>
      <c r="P130" s="2633"/>
      <c r="Q130" s="504"/>
    </row>
    <row r="131" spans="1:17" ht="15.75" thickBot="1">
      <c r="A131" s="2639"/>
      <c r="B131" s="569"/>
      <c r="C131" s="570"/>
      <c r="D131" s="570"/>
      <c r="E131" s="570"/>
      <c r="F131" s="570"/>
      <c r="G131" s="591"/>
      <c r="H131" s="591"/>
      <c r="I131" s="591"/>
      <c r="J131" s="591"/>
      <c r="K131" s="591"/>
      <c r="L131" s="591"/>
      <c r="M131" s="592"/>
      <c r="N131" s="1156"/>
      <c r="O131" s="1156"/>
      <c r="P131" s="2633"/>
      <c r="Q131" s="504"/>
    </row>
    <row r="136" spans="1:17" ht="15" thickBot="1">
      <c r="B136" s="2640" t="s">
        <v>2613</v>
      </c>
    </row>
    <row r="137" spans="1:17" ht="15">
      <c r="B137" s="2641" t="s">
        <v>2614</v>
      </c>
      <c r="C137" s="2642"/>
      <c r="D137" s="2642"/>
      <c r="E137" s="2642"/>
      <c r="F137" s="2642"/>
      <c r="G137" s="2643"/>
      <c r="H137" s="2644"/>
      <c r="I137" s="2645" t="s">
        <v>2615</v>
      </c>
      <c r="J137" s="2642"/>
      <c r="K137" s="2646"/>
    </row>
    <row r="138" spans="1:17" ht="15">
      <c r="B138" s="2647"/>
      <c r="C138" s="146" t="s">
        <v>2616</v>
      </c>
      <c r="D138" s="146" t="s">
        <v>2617</v>
      </c>
      <c r="E138" s="2648" t="s">
        <v>2618</v>
      </c>
      <c r="F138" s="2649" t="s">
        <v>2619</v>
      </c>
      <c r="G138" s="146" t="s">
        <v>2617</v>
      </c>
      <c r="H138" s="147" t="s">
        <v>2618</v>
      </c>
      <c r="I138" s="2650"/>
      <c r="J138" s="146" t="s">
        <v>2620</v>
      </c>
      <c r="K138" s="147" t="s">
        <v>2621</v>
      </c>
    </row>
    <row r="139" spans="1:17" ht="15">
      <c r="B139" s="1087">
        <v>6</v>
      </c>
      <c r="C139" s="1088">
        <v>96</v>
      </c>
      <c r="D139" s="2651" t="s">
        <v>2622</v>
      </c>
      <c r="E139" s="1089">
        <v>100</v>
      </c>
      <c r="F139" s="1090">
        <v>102.5</v>
      </c>
      <c r="G139" s="2651" t="s">
        <v>2622</v>
      </c>
      <c r="H139" s="1091">
        <v>105</v>
      </c>
      <c r="I139" s="2652" t="s">
        <v>2623</v>
      </c>
      <c r="J139" s="1088">
        <v>20</v>
      </c>
      <c r="K139" s="1092">
        <f>C145/(J139-2)</f>
        <v>4.0555555555555553E-3</v>
      </c>
    </row>
    <row r="140" spans="1:17" ht="15">
      <c r="B140" s="1093">
        <v>5</v>
      </c>
      <c r="C140" s="1094">
        <v>100</v>
      </c>
      <c r="D140" s="1094"/>
      <c r="E140" s="1095"/>
      <c r="F140" s="1096">
        <v>102</v>
      </c>
      <c r="G140" s="1094"/>
      <c r="H140" s="1097"/>
      <c r="I140" s="2653" t="s">
        <v>2624</v>
      </c>
      <c r="J140" s="315">
        <f>ROUNDUP((J139-1)/2,0)</f>
        <v>10</v>
      </c>
      <c r="K140" s="1098">
        <v>100</v>
      </c>
    </row>
    <row r="141" spans="1:17" ht="15">
      <c r="B141" s="1093">
        <v>4</v>
      </c>
      <c r="C141" s="1094">
        <v>102</v>
      </c>
      <c r="D141" s="1094"/>
      <c r="E141" s="1095"/>
      <c r="F141" s="1096">
        <v>101.5</v>
      </c>
      <c r="G141" s="1094"/>
      <c r="H141" s="1097"/>
      <c r="I141" s="2653" t="s">
        <v>2625</v>
      </c>
      <c r="J141" s="315">
        <v>1</v>
      </c>
      <c r="K141" s="1099">
        <f>ROUND(100+(J141-J140)*K139*100,1)</f>
        <v>96.4</v>
      </c>
    </row>
    <row r="142" spans="1:17" ht="15">
      <c r="B142" s="1093">
        <v>3</v>
      </c>
      <c r="C142" s="1094">
        <v>103</v>
      </c>
      <c r="D142" s="1094"/>
      <c r="E142" s="1095"/>
      <c r="F142" s="1096">
        <v>101</v>
      </c>
      <c r="G142" s="1094"/>
      <c r="H142" s="1097"/>
      <c r="I142" s="2653" t="s">
        <v>2626</v>
      </c>
      <c r="J142" s="315">
        <f>J139</f>
        <v>20</v>
      </c>
      <c r="K142" s="1100">
        <v>95</v>
      </c>
    </row>
    <row r="143" spans="1:17" ht="15">
      <c r="B143" s="1093">
        <v>2</v>
      </c>
      <c r="C143" s="1094">
        <v>100</v>
      </c>
      <c r="D143" s="1094"/>
      <c r="E143" s="1095"/>
      <c r="F143" s="1096">
        <v>100.5</v>
      </c>
      <c r="G143" s="1094"/>
      <c r="H143" s="1097"/>
      <c r="I143" s="2653" t="s">
        <v>2627</v>
      </c>
      <c r="J143" s="1094">
        <v>15</v>
      </c>
      <c r="K143" s="1099">
        <f>ROUND(100+(J143-J140)*K139*100,1)</f>
        <v>102</v>
      </c>
    </row>
    <row r="144" spans="1:17" ht="15">
      <c r="B144" s="1093">
        <v>1</v>
      </c>
      <c r="C144" s="1094">
        <v>98</v>
      </c>
      <c r="D144" s="2654" t="s">
        <v>2628</v>
      </c>
      <c r="E144" s="1095">
        <v>102</v>
      </c>
      <c r="F144" s="1101">
        <v>100</v>
      </c>
      <c r="G144" s="2654" t="s">
        <v>2628</v>
      </c>
      <c r="H144" s="1097">
        <v>105</v>
      </c>
      <c r="I144" s="2653" t="s">
        <v>2627</v>
      </c>
      <c r="J144" s="1094">
        <v>18</v>
      </c>
      <c r="K144" s="1099">
        <f>ROUND(100+(J144-J140)*K139*100,1)</f>
        <v>103.2</v>
      </c>
    </row>
    <row r="145" spans="2:11" ht="15.75" thickBot="1">
      <c r="B145" s="2655" t="s">
        <v>2629</v>
      </c>
      <c r="C145" s="1102">
        <f>ROUND(MAX(C139:C144)/MIN(C139:C144)-1,3)</f>
        <v>7.2999999999999995E-2</v>
      </c>
      <c r="D145" s="1103"/>
      <c r="E145" s="1103"/>
      <c r="F145" s="2656" t="s">
        <v>2630</v>
      </c>
      <c r="G145" s="2657"/>
      <c r="H145" s="2658"/>
      <c r="I145" s="2659" t="s">
        <v>2627</v>
      </c>
      <c r="J145" s="1104">
        <v>8</v>
      </c>
      <c r="K145" s="1105">
        <f>ROUND(100+(J145-J140)*K139*100,1)</f>
        <v>99.2</v>
      </c>
    </row>
    <row r="147" spans="2:11">
      <c r="B147" s="2640" t="s">
        <v>2631</v>
      </c>
    </row>
    <row r="148" spans="2:11">
      <c r="B148" s="2640" t="s">
        <v>2632</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AN6" sqref="AN6"/>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2519</v>
      </c>
      <c r="B1" s="2585" t="s">
        <v>2633</v>
      </c>
      <c r="C1" s="1637" t="s">
        <v>2521</v>
      </c>
      <c r="D1" s="1624"/>
      <c r="E1" s="2660"/>
      <c r="F1" s="2587"/>
      <c r="G1" s="1634" t="s">
        <v>2634</v>
      </c>
      <c r="H1" s="1633"/>
      <c r="I1" s="1633"/>
      <c r="J1" s="1633"/>
      <c r="K1" s="1635"/>
      <c r="L1" s="1636"/>
      <c r="M1" s="1637"/>
      <c r="N1" s="1637"/>
      <c r="O1" s="1637"/>
      <c r="P1" s="2661"/>
      <c r="Q1" s="2662"/>
      <c r="R1" s="2662"/>
      <c r="S1" s="2662"/>
      <c r="T1" s="2662"/>
      <c r="U1" s="2662"/>
      <c r="V1" s="2662"/>
      <c r="W1" s="2662"/>
      <c r="X1" s="2662"/>
      <c r="Y1" s="2662"/>
      <c r="Z1" s="2662"/>
      <c r="AA1" s="2662"/>
      <c r="AB1" s="2662"/>
      <c r="AC1" s="2663"/>
    </row>
    <row r="2" spans="1:29" s="398" customFormat="1" ht="28.5" customHeight="1" thickTop="1">
      <c r="A2" s="1620" t="s">
        <v>2318</v>
      </c>
      <c r="B2" s="1421" t="e">
        <f ca="1">IF(C2="——",ROUND(C49*D3/10000,0),ROUND(C49*D3/10000,0)-D2)</f>
        <v>#DIV/0!</v>
      </c>
      <c r="C2" s="2589"/>
      <c r="D2" s="1368" t="e">
        <f ca="1">SUMIF(INDIRECT("'"&amp;F2&amp;"'"&amp;"!A:A"),"承租人权益价值",INDIRECT("'"&amp;F2&amp;"'"&amp;"!c:c"))</f>
        <v>#REF!</v>
      </c>
      <c r="E2" s="2590" t="s">
        <v>2319</v>
      </c>
      <c r="F2" s="2591"/>
      <c r="G2" s="1128"/>
      <c r="H2" s="1128"/>
      <c r="I2" s="1128"/>
      <c r="J2" s="1128"/>
      <c r="K2" s="1128"/>
      <c r="L2" s="1131"/>
      <c r="M2" s="1132"/>
      <c r="N2" s="1132"/>
      <c r="O2" s="1132"/>
      <c r="P2" s="2664"/>
      <c r="Q2" s="1132"/>
      <c r="R2" s="1132"/>
      <c r="S2" s="1132"/>
      <c r="T2" s="1132"/>
      <c r="U2" s="1132"/>
      <c r="V2" s="1132"/>
      <c r="W2" s="1132"/>
      <c r="X2" s="1132"/>
      <c r="Y2" s="1132"/>
      <c r="Z2" s="1132"/>
      <c r="AA2" s="1132"/>
      <c r="AB2" s="1132"/>
      <c r="AC2" s="2665"/>
    </row>
    <row r="3" spans="1:29" s="398" customFormat="1" ht="28.5" customHeight="1" thickBot="1">
      <c r="A3" s="247" t="s">
        <v>2320</v>
      </c>
      <c r="B3" s="609" t="e">
        <f ca="1">IF(C2="——",C49,ROUND(B2*10000/D3,0))</f>
        <v>#DIV/0!</v>
      </c>
      <c r="C3" s="400" t="s">
        <v>2635</v>
      </c>
      <c r="D3" s="399">
        <f>IF(D1="",'数据-汇总表'!E3,SUMIF('数据-汇总表'!$C19:$C33,D1,'数据-汇总表'!$E19:$E33))</f>
        <v>134490.28</v>
      </c>
      <c r="E3" s="2666"/>
      <c r="F3" s="1129"/>
      <c r="G3" s="1128"/>
      <c r="H3" s="1128"/>
      <c r="I3" s="1128"/>
      <c r="J3" s="1128"/>
      <c r="K3" s="1130"/>
      <c r="L3" s="1131"/>
      <c r="M3" s="1132"/>
      <c r="N3" s="1132"/>
      <c r="O3" s="1132"/>
      <c r="P3" s="2664"/>
      <c r="Q3" s="1132"/>
      <c r="R3" s="1132"/>
      <c r="S3" s="1132"/>
      <c r="T3" s="1132"/>
      <c r="U3" s="1132"/>
      <c r="V3" s="1132"/>
      <c r="W3" s="1132"/>
      <c r="X3" s="1132"/>
      <c r="Y3" s="1132"/>
      <c r="Z3" s="1132"/>
      <c r="AA3" s="1132"/>
      <c r="AB3" s="1132"/>
      <c r="AC3" s="2666"/>
    </row>
    <row r="4" spans="1:29" ht="15">
      <c r="A4" s="401" t="s">
        <v>2636</v>
      </c>
      <c r="B4" s="402"/>
      <c r="C4" s="3227" t="s">
        <v>2637</v>
      </c>
      <c r="D4" s="3228"/>
      <c r="E4" s="3229" t="s">
        <v>2638</v>
      </c>
      <c r="F4" s="3230"/>
      <c r="G4" s="3227" t="s">
        <v>2639</v>
      </c>
      <c r="H4" s="3228"/>
      <c r="I4" s="3227" t="s">
        <v>2640</v>
      </c>
      <c r="J4" s="3228"/>
      <c r="K4" s="610" t="s">
        <v>2641</v>
      </c>
      <c r="L4" s="1133"/>
      <c r="M4" s="1134"/>
      <c r="N4" s="1134"/>
      <c r="O4" s="1134"/>
      <c r="P4" s="3231" t="s">
        <v>2642</v>
      </c>
      <c r="Q4" s="3232"/>
      <c r="R4" s="3237" t="s">
        <v>2638</v>
      </c>
      <c r="S4" s="3238"/>
      <c r="T4" s="3237" t="s">
        <v>2639</v>
      </c>
      <c r="U4" s="3238"/>
      <c r="V4" s="3243" t="s">
        <v>2640</v>
      </c>
      <c r="W4" s="3243"/>
      <c r="X4" s="1816"/>
      <c r="Y4" s="3237" t="s">
        <v>2642</v>
      </c>
      <c r="Z4" s="3238"/>
      <c r="AA4" s="3224" t="s">
        <v>2638</v>
      </c>
      <c r="AB4" s="3243" t="s">
        <v>2639</v>
      </c>
      <c r="AC4" s="3224" t="s">
        <v>2640</v>
      </c>
    </row>
    <row r="5" spans="1:29" ht="15">
      <c r="A5" s="404"/>
      <c r="B5" s="405"/>
      <c r="C5" s="3246" t="s">
        <v>2533</v>
      </c>
      <c r="D5" s="3247"/>
      <c r="E5" s="3253" t="s">
        <v>2534</v>
      </c>
      <c r="F5" s="3254"/>
      <c r="G5" s="3246" t="s">
        <v>2535</v>
      </c>
      <c r="H5" s="3247"/>
      <c r="I5" s="3246" t="s">
        <v>2536</v>
      </c>
      <c r="J5" s="3247"/>
      <c r="K5" s="610"/>
      <c r="L5" s="1133"/>
      <c r="M5" s="1134"/>
      <c r="N5" s="1134"/>
      <c r="O5" s="1134"/>
      <c r="P5" s="3233"/>
      <c r="Q5" s="3234"/>
      <c r="R5" s="3239"/>
      <c r="S5" s="3240"/>
      <c r="T5" s="3239"/>
      <c r="U5" s="3240"/>
      <c r="V5" s="3243"/>
      <c r="W5" s="3243"/>
      <c r="X5" s="1816"/>
      <c r="Y5" s="3239"/>
      <c r="Z5" s="3240"/>
      <c r="AA5" s="3225"/>
      <c r="AB5" s="3243"/>
      <c r="AC5" s="3225"/>
    </row>
    <row r="6" spans="1:29" ht="15.75" thickBot="1">
      <c r="A6" s="406"/>
      <c r="B6" s="407"/>
      <c r="C6" s="3244" t="s">
        <v>2537</v>
      </c>
      <c r="D6" s="3245"/>
      <c r="E6" s="3251" t="s">
        <v>2537</v>
      </c>
      <c r="F6" s="3252"/>
      <c r="G6" s="3244" t="s">
        <v>2537</v>
      </c>
      <c r="H6" s="3245"/>
      <c r="I6" s="3244" t="s">
        <v>2537</v>
      </c>
      <c r="J6" s="3245"/>
      <c r="K6" s="610" t="s">
        <v>2538</v>
      </c>
      <c r="L6" s="1133"/>
      <c r="M6" s="1134"/>
      <c r="N6" s="1134"/>
      <c r="O6" s="1134"/>
      <c r="P6" s="3235"/>
      <c r="Q6" s="3236"/>
      <c r="R6" s="3239"/>
      <c r="S6" s="3240"/>
      <c r="T6" s="3241"/>
      <c r="U6" s="3242"/>
      <c r="V6" s="3243"/>
      <c r="W6" s="3243"/>
      <c r="X6" s="1816"/>
      <c r="Y6" s="3241"/>
      <c r="Z6" s="3242"/>
      <c r="AA6" s="3226"/>
      <c r="AB6" s="3243"/>
      <c r="AC6" s="3226"/>
    </row>
    <row r="7" spans="1:29" s="117" customFormat="1" ht="15.75" thickBot="1">
      <c r="A7" s="408" t="s">
        <v>2539</v>
      </c>
      <c r="B7" s="409"/>
      <c r="C7" s="410">
        <f>'数据-取费表'!B2</f>
        <v>43528</v>
      </c>
      <c r="D7" s="411">
        <v>100</v>
      </c>
      <c r="E7" s="412"/>
      <c r="F7" s="413">
        <f>SUMIF(58:58,YEAR(E7)&amp;"-"&amp;MONTH(E7),59:59)</f>
        <v>0</v>
      </c>
      <c r="G7" s="412"/>
      <c r="H7" s="411">
        <f>SUMIF(58:58,YEAR(G7)&amp;"-"&amp;MONTH(G7),59:59)</f>
        <v>0</v>
      </c>
      <c r="I7" s="412"/>
      <c r="J7" s="411">
        <f>SUMIF(58:58,YEAR(I7)&amp;"-"&amp;MONTH(I7),59:59)</f>
        <v>0</v>
      </c>
      <c r="K7" s="611"/>
      <c r="L7" s="1135"/>
      <c r="M7" s="1136"/>
      <c r="N7" s="1136"/>
      <c r="O7" s="1136"/>
      <c r="P7" s="3248" t="s">
        <v>2540</v>
      </c>
      <c r="Q7" s="3250"/>
      <c r="R7" s="770" t="s">
        <v>17</v>
      </c>
      <c r="S7" s="771">
        <f t="shared" ref="S7:S15" si="0">F7</f>
        <v>0</v>
      </c>
      <c r="T7" s="770" t="s">
        <v>17</v>
      </c>
      <c r="U7" s="771">
        <f t="shared" ref="U7:U15" si="1">H7</f>
        <v>0</v>
      </c>
      <c r="V7" s="770" t="s">
        <v>17</v>
      </c>
      <c r="W7" s="771">
        <f t="shared" ref="W7:W15" si="2">J7</f>
        <v>0</v>
      </c>
      <c r="X7" s="772"/>
      <c r="Y7" s="3248" t="s">
        <v>2540</v>
      </c>
      <c r="Z7" s="3249"/>
      <c r="AA7" s="773" t="e">
        <f>D7/F7</f>
        <v>#DIV/0!</v>
      </c>
      <c r="AB7" s="773" t="e">
        <f>D7/H7</f>
        <v>#DIV/0!</v>
      </c>
      <c r="AC7" s="773" t="e">
        <f>D7/J7</f>
        <v>#DIV/0!</v>
      </c>
    </row>
    <row r="8" spans="1:29" s="117" customFormat="1" ht="15.75" thickBot="1">
      <c r="A8" s="408" t="s">
        <v>2541</v>
      </c>
      <c r="B8" s="409"/>
      <c r="C8" s="414" t="s">
        <v>2643</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248" t="s">
        <v>2543</v>
      </c>
      <c r="Q8" s="3249"/>
      <c r="R8" s="770" t="s">
        <v>17</v>
      </c>
      <c r="S8" s="771">
        <f t="shared" si="0"/>
        <v>0</v>
      </c>
      <c r="T8" s="770" t="s">
        <v>17</v>
      </c>
      <c r="U8" s="771">
        <f t="shared" si="1"/>
        <v>0</v>
      </c>
      <c r="V8" s="770" t="s">
        <v>17</v>
      </c>
      <c r="W8" s="771">
        <f t="shared" si="2"/>
        <v>0</v>
      </c>
      <c r="X8" s="772"/>
      <c r="Y8" s="3248" t="s">
        <v>2543</v>
      </c>
      <c r="Z8" s="3249"/>
      <c r="AA8" s="773" t="e">
        <f t="shared" ref="AA8:AA46" si="3">D8/F8</f>
        <v>#DIV/0!</v>
      </c>
      <c r="AB8" s="773" t="e">
        <f t="shared" ref="AB8:AB46" si="4">D8/H8</f>
        <v>#DIV/0!</v>
      </c>
      <c r="AC8" s="773" t="e">
        <f t="shared" ref="AC8:AC46" si="5">D8/J8</f>
        <v>#DIV/0!</v>
      </c>
    </row>
    <row r="9" spans="1:29" s="117" customFormat="1">
      <c r="A9" s="415" t="s">
        <v>2544</v>
      </c>
      <c r="B9" s="71" t="s">
        <v>2545</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223" t="s">
        <v>2546</v>
      </c>
      <c r="Q9" s="1798" t="str">
        <f t="shared" ref="Q9:Q15" si="6">B9</f>
        <v>用途</v>
      </c>
      <c r="R9" s="770" t="s">
        <v>17</v>
      </c>
      <c r="S9" s="771">
        <f t="shared" si="0"/>
        <v>100</v>
      </c>
      <c r="T9" s="770" t="s">
        <v>17</v>
      </c>
      <c r="U9" s="771">
        <f t="shared" si="1"/>
        <v>100</v>
      </c>
      <c r="V9" s="770" t="s">
        <v>17</v>
      </c>
      <c r="W9" s="771">
        <f t="shared" si="2"/>
        <v>100</v>
      </c>
      <c r="X9" s="772"/>
      <c r="Y9" s="3037" t="s">
        <v>2547</v>
      </c>
      <c r="Z9" s="55" t="str">
        <f t="shared" ref="Z9:Z15" si="7">Q9</f>
        <v>用途</v>
      </c>
      <c r="AA9" s="773">
        <f t="shared" si="3"/>
        <v>1</v>
      </c>
      <c r="AB9" s="773">
        <f t="shared" si="4"/>
        <v>1</v>
      </c>
      <c r="AC9" s="773">
        <f t="shared" si="5"/>
        <v>1</v>
      </c>
    </row>
    <row r="10" spans="1:29" s="427" customFormat="1" ht="27">
      <c r="A10" s="421"/>
      <c r="B10" s="422" t="s">
        <v>2548</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223"/>
      <c r="Q10" s="1798"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773">
        <f t="shared" si="5"/>
        <v>1</v>
      </c>
    </row>
    <row r="11" spans="1:29" ht="15">
      <c r="A11" s="428"/>
      <c r="B11" s="422" t="s">
        <v>2549</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223"/>
      <c r="Q11" s="1798" t="str">
        <f t="shared" si="6"/>
        <v>容积率</v>
      </c>
      <c r="R11" s="770" t="s">
        <v>17</v>
      </c>
      <c r="S11" s="771" t="e">
        <f t="shared" si="0"/>
        <v>#N/A</v>
      </c>
      <c r="T11" s="770" t="s">
        <v>17</v>
      </c>
      <c r="U11" s="771" t="e">
        <f t="shared" si="1"/>
        <v>#N/A</v>
      </c>
      <c r="V11" s="770" t="s">
        <v>17</v>
      </c>
      <c r="W11" s="771" t="e">
        <f t="shared" si="2"/>
        <v>#N/A</v>
      </c>
      <c r="X11" s="772"/>
      <c r="Y11" s="3037"/>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23"/>
      <c r="Q12" s="1798">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23"/>
      <c r="Q13" s="1798">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773">
        <f t="shared" si="5"/>
        <v>1</v>
      </c>
    </row>
    <row r="14" spans="1:29" ht="15.75" thickBot="1">
      <c r="A14" s="436"/>
      <c r="B14" s="2605">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23"/>
      <c r="Q14" s="1798">
        <f t="shared" si="6"/>
        <v>111</v>
      </c>
      <c r="R14" s="770" t="s">
        <v>17</v>
      </c>
      <c r="S14" s="771">
        <f t="shared" si="0"/>
        <v>100</v>
      </c>
      <c r="T14" s="770" t="s">
        <v>17</v>
      </c>
      <c r="U14" s="771">
        <f t="shared" si="1"/>
        <v>100</v>
      </c>
      <c r="V14" s="770" t="s">
        <v>17</v>
      </c>
      <c r="W14" s="771">
        <f t="shared" si="2"/>
        <v>100</v>
      </c>
      <c r="X14" s="772"/>
      <c r="Y14" s="3037"/>
      <c r="Z14" s="55">
        <f t="shared" si="7"/>
        <v>111</v>
      </c>
      <c r="AA14" s="773">
        <f t="shared" si="3"/>
        <v>1</v>
      </c>
      <c r="AB14" s="773">
        <f t="shared" si="4"/>
        <v>1</v>
      </c>
      <c r="AC14" s="773">
        <f t="shared" si="5"/>
        <v>1</v>
      </c>
    </row>
    <row r="15" spans="1:29" ht="71.25">
      <c r="A15" s="440" t="s">
        <v>2550</v>
      </c>
      <c r="B15" s="69" t="s">
        <v>2644</v>
      </c>
      <c r="C15" s="2606"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21" t="s">
        <v>2551</v>
      </c>
      <c r="Q15" s="1813" t="str">
        <f t="shared" si="6"/>
        <v>商业繁华度</v>
      </c>
      <c r="R15" s="774" t="s">
        <v>17</v>
      </c>
      <c r="S15" s="775">
        <f t="shared" si="0"/>
        <v>100</v>
      </c>
      <c r="T15" s="774" t="s">
        <v>17</v>
      </c>
      <c r="U15" s="775">
        <f t="shared" si="1"/>
        <v>100</v>
      </c>
      <c r="V15" s="774" t="s">
        <v>17</v>
      </c>
      <c r="W15" s="775">
        <f t="shared" si="2"/>
        <v>100</v>
      </c>
      <c r="X15" s="1816"/>
      <c r="Y15" s="3214" t="s">
        <v>2551</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222"/>
      <c r="Q16" s="1813"/>
      <c r="R16" s="774"/>
      <c r="S16" s="775"/>
      <c r="T16" s="774"/>
      <c r="U16" s="775"/>
      <c r="V16" s="774"/>
      <c r="W16" s="775"/>
      <c r="X16" s="1816"/>
      <c r="Y16" s="3215"/>
      <c r="Z16" s="1817"/>
      <c r="AA16" s="1814">
        <v>1</v>
      </c>
      <c r="AB16" s="1814">
        <v>1</v>
      </c>
      <c r="AC16" s="1814">
        <v>1</v>
      </c>
    </row>
    <row r="17" spans="1:29" ht="85.5">
      <c r="A17" s="428"/>
      <c r="B17" s="451" t="s">
        <v>2090</v>
      </c>
      <c r="C17" s="2610"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22"/>
      <c r="Q17" s="1813" t="str">
        <f>B17</f>
        <v>交通便捷度</v>
      </c>
      <c r="R17" s="774" t="s">
        <v>17</v>
      </c>
      <c r="S17" s="775">
        <f>F17</f>
        <v>100</v>
      </c>
      <c r="T17" s="774" t="s">
        <v>17</v>
      </c>
      <c r="U17" s="775">
        <f>H17</f>
        <v>100</v>
      </c>
      <c r="V17" s="774" t="s">
        <v>17</v>
      </c>
      <c r="W17" s="775">
        <f>J17</f>
        <v>100</v>
      </c>
      <c r="X17" s="1816"/>
      <c r="Y17" s="3215"/>
      <c r="Z17" s="1817" t="str">
        <f>Q17</f>
        <v>交通便捷度</v>
      </c>
      <c r="AA17" s="1814">
        <f t="shared" si="3"/>
        <v>1</v>
      </c>
      <c r="AB17" s="1814">
        <f t="shared" si="4"/>
        <v>1</v>
      </c>
      <c r="AC17" s="1814">
        <f t="shared" si="5"/>
        <v>1</v>
      </c>
    </row>
    <row r="18" spans="1:29" ht="15">
      <c r="A18" s="428"/>
      <c r="B18" s="456"/>
      <c r="C18" s="2611"/>
      <c r="D18" s="450"/>
      <c r="E18" s="2613"/>
      <c r="F18" s="453"/>
      <c r="G18" s="2612"/>
      <c r="H18" s="448"/>
      <c r="I18" s="2613"/>
      <c r="J18" s="448"/>
      <c r="K18" s="615"/>
      <c r="L18" s="1143"/>
      <c r="M18" s="1134"/>
      <c r="N18" s="1134"/>
      <c r="O18" s="1134"/>
      <c r="P18" s="3222"/>
      <c r="Q18" s="1813"/>
      <c r="R18" s="774"/>
      <c r="S18" s="775"/>
      <c r="T18" s="774"/>
      <c r="U18" s="775"/>
      <c r="V18" s="774"/>
      <c r="W18" s="775"/>
      <c r="X18" s="1816"/>
      <c r="Y18" s="3215"/>
      <c r="Z18" s="1817"/>
      <c r="AA18" s="1814">
        <v>1</v>
      </c>
      <c r="AB18" s="1814">
        <v>1</v>
      </c>
      <c r="AC18" s="1814">
        <v>1</v>
      </c>
    </row>
    <row r="19" spans="1:29" ht="42.75">
      <c r="A19" s="428"/>
      <c r="B19" s="451" t="s">
        <v>2645</v>
      </c>
      <c r="C19" s="2610"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22"/>
      <c r="Q19" s="1813" t="str">
        <f>B19</f>
        <v>公共配套设施</v>
      </c>
      <c r="R19" s="774" t="s">
        <v>17</v>
      </c>
      <c r="S19" s="775">
        <f>F19</f>
        <v>100</v>
      </c>
      <c r="T19" s="774" t="s">
        <v>17</v>
      </c>
      <c r="U19" s="775">
        <f>H19</f>
        <v>100</v>
      </c>
      <c r="V19" s="774" t="s">
        <v>17</v>
      </c>
      <c r="W19" s="775">
        <f>J19</f>
        <v>100</v>
      </c>
      <c r="X19" s="1816"/>
      <c r="Y19" s="3215"/>
      <c r="Z19" s="1817" t="str">
        <f>Q19</f>
        <v>公共配套设施</v>
      </c>
      <c r="AA19" s="1814">
        <f t="shared" si="3"/>
        <v>1</v>
      </c>
      <c r="AB19" s="1814">
        <f t="shared" si="4"/>
        <v>1</v>
      </c>
      <c r="AC19" s="1814">
        <f t="shared" si="5"/>
        <v>1</v>
      </c>
    </row>
    <row r="20" spans="1:29" ht="15">
      <c r="A20" s="428"/>
      <c r="B20" s="456"/>
      <c r="C20" s="447"/>
      <c r="D20" s="448"/>
      <c r="E20" s="2608"/>
      <c r="F20" s="449"/>
      <c r="G20" s="2607"/>
      <c r="H20" s="448"/>
      <c r="I20" s="2608"/>
      <c r="J20" s="448"/>
      <c r="K20" s="615"/>
      <c r="L20" s="1143"/>
      <c r="M20" s="1134"/>
      <c r="N20" s="1134"/>
      <c r="O20" s="1134"/>
      <c r="P20" s="3222"/>
      <c r="Q20" s="1813"/>
      <c r="R20" s="774"/>
      <c r="S20" s="775"/>
      <c r="T20" s="774"/>
      <c r="U20" s="775"/>
      <c r="V20" s="774"/>
      <c r="W20" s="775"/>
      <c r="X20" s="1816"/>
      <c r="Y20" s="3215"/>
      <c r="Z20" s="1817"/>
      <c r="AA20" s="1814">
        <v>1</v>
      </c>
      <c r="AB20" s="1814">
        <v>1</v>
      </c>
      <c r="AC20" s="1814">
        <v>1</v>
      </c>
    </row>
    <row r="21" spans="1:29" ht="28.5">
      <c r="A21" s="428"/>
      <c r="B21" s="1387" t="s">
        <v>2646</v>
      </c>
      <c r="C21" s="2610"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22"/>
      <c r="Q21" s="1813" t="str">
        <f>B21</f>
        <v>基础设施水平</v>
      </c>
      <c r="R21" s="774" t="s">
        <v>17</v>
      </c>
      <c r="S21" s="775">
        <f>F21</f>
        <v>100</v>
      </c>
      <c r="T21" s="774" t="s">
        <v>17</v>
      </c>
      <c r="U21" s="775">
        <f>H21</f>
        <v>100</v>
      </c>
      <c r="V21" s="774" t="s">
        <v>17</v>
      </c>
      <c r="W21" s="775">
        <f>J21</f>
        <v>100</v>
      </c>
      <c r="X21" s="1816"/>
      <c r="Y21" s="3215"/>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9"/>
      <c r="G22" s="447"/>
      <c r="H22" s="448"/>
      <c r="I22" s="447"/>
      <c r="J22" s="448"/>
      <c r="K22" s="1386"/>
      <c r="L22" s="1143"/>
      <c r="M22" s="1134"/>
      <c r="N22" s="1134"/>
      <c r="O22" s="1134"/>
      <c r="P22" s="3222"/>
      <c r="Q22" s="1813"/>
      <c r="R22" s="774"/>
      <c r="S22" s="775"/>
      <c r="T22" s="774"/>
      <c r="U22" s="775"/>
      <c r="V22" s="774"/>
      <c r="W22" s="775"/>
      <c r="X22" s="1816"/>
      <c r="Y22" s="3215"/>
      <c r="Z22" s="1817"/>
      <c r="AA22" s="1814">
        <v>1</v>
      </c>
      <c r="AB22" s="1814">
        <v>1</v>
      </c>
      <c r="AC22" s="1814">
        <v>1</v>
      </c>
    </row>
    <row r="23" spans="1:29" ht="57">
      <c r="A23" s="428"/>
      <c r="B23" s="451" t="s">
        <v>2095</v>
      </c>
      <c r="C23" s="2667"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22"/>
      <c r="Q23" s="1813" t="str">
        <f>B23</f>
        <v>自然及人文环境</v>
      </c>
      <c r="R23" s="774" t="s">
        <v>17</v>
      </c>
      <c r="S23" s="775">
        <f>F23</f>
        <v>100</v>
      </c>
      <c r="T23" s="774" t="s">
        <v>17</v>
      </c>
      <c r="U23" s="775">
        <f>H23</f>
        <v>100</v>
      </c>
      <c r="V23" s="774" t="s">
        <v>17</v>
      </c>
      <c r="W23" s="775">
        <f>J23</f>
        <v>100</v>
      </c>
      <c r="X23" s="1816"/>
      <c r="Y23" s="3215"/>
      <c r="Z23" s="1817" t="str">
        <f>Q23</f>
        <v>自然及人文环境</v>
      </c>
      <c r="AA23" s="1814">
        <f t="shared" si="3"/>
        <v>1</v>
      </c>
      <c r="AB23" s="1814">
        <f t="shared" si="4"/>
        <v>1</v>
      </c>
      <c r="AC23" s="1814">
        <f t="shared" si="5"/>
        <v>1</v>
      </c>
    </row>
    <row r="24" spans="1:29" ht="15">
      <c r="A24" s="428"/>
      <c r="B24" s="456"/>
      <c r="C24" s="447"/>
      <c r="D24" s="448"/>
      <c r="E24" s="2608"/>
      <c r="F24" s="449"/>
      <c r="G24" s="2607"/>
      <c r="H24" s="448"/>
      <c r="I24" s="2608"/>
      <c r="J24" s="448"/>
      <c r="K24" s="615"/>
      <c r="L24" s="1143"/>
      <c r="M24" s="1134"/>
      <c r="N24" s="1134"/>
      <c r="O24" s="1134"/>
      <c r="P24" s="3222"/>
      <c r="Q24" s="1813"/>
      <c r="R24" s="774"/>
      <c r="S24" s="775"/>
      <c r="T24" s="774"/>
      <c r="U24" s="775"/>
      <c r="V24" s="774"/>
      <c r="W24" s="775"/>
      <c r="X24" s="1816"/>
      <c r="Y24" s="3215"/>
      <c r="Z24" s="1817"/>
      <c r="AA24" s="1814">
        <v>1</v>
      </c>
      <c r="AB24" s="1814">
        <v>1</v>
      </c>
      <c r="AC24" s="1814">
        <v>1</v>
      </c>
    </row>
    <row r="25" spans="1:29" ht="15">
      <c r="A25" s="428"/>
      <c r="B25" s="422" t="s">
        <v>2647</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22"/>
      <c r="Q25" s="1813" t="str">
        <f t="shared" ref="Q25:Q46" si="11">B25</f>
        <v>临街状况</v>
      </c>
      <c r="R25" s="774" t="s">
        <v>17</v>
      </c>
      <c r="S25" s="775">
        <f>F25</f>
        <v>100</v>
      </c>
      <c r="T25" s="774" t="s">
        <v>17</v>
      </c>
      <c r="U25" s="775">
        <f>H25</f>
        <v>100</v>
      </c>
      <c r="V25" s="774" t="s">
        <v>17</v>
      </c>
      <c r="W25" s="775">
        <f>J25</f>
        <v>100</v>
      </c>
      <c r="X25" s="1816"/>
      <c r="Y25" s="3215"/>
      <c r="Z25" s="1817" t="str">
        <f>Q25</f>
        <v>临街状况</v>
      </c>
      <c r="AA25" s="1814">
        <f t="shared" si="3"/>
        <v>1</v>
      </c>
      <c r="AB25" s="1814">
        <f t="shared" si="4"/>
        <v>1</v>
      </c>
      <c r="AC25" s="1814">
        <f t="shared" si="5"/>
        <v>1</v>
      </c>
    </row>
    <row r="26" spans="1:29" ht="15">
      <c r="A26" s="428"/>
      <c r="B26" s="1389" t="s">
        <v>2648</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22"/>
      <c r="Q26" s="1813" t="str">
        <f t="shared" si="11"/>
        <v>平面位置/可视性</v>
      </c>
      <c r="R26" s="774" t="s">
        <v>17</v>
      </c>
      <c r="S26" s="775">
        <f>F26</f>
        <v>100</v>
      </c>
      <c r="T26" s="774" t="s">
        <v>17</v>
      </c>
      <c r="U26" s="775">
        <f>H26</f>
        <v>100</v>
      </c>
      <c r="V26" s="774" t="s">
        <v>17</v>
      </c>
      <c r="W26" s="775">
        <f>J26</f>
        <v>100</v>
      </c>
      <c r="X26" s="1816"/>
      <c r="Y26" s="3215"/>
      <c r="Z26" s="1817" t="str">
        <f>Q26</f>
        <v>平面位置/可视性</v>
      </c>
      <c r="AA26" s="1814">
        <f t="shared" si="3"/>
        <v>1</v>
      </c>
      <c r="AB26" s="1814">
        <f t="shared" si="4"/>
        <v>1</v>
      </c>
      <c r="AC26" s="1814">
        <f t="shared" si="5"/>
        <v>1</v>
      </c>
    </row>
    <row r="27" spans="1:29" s="117" customFormat="1" ht="15">
      <c r="A27" s="431"/>
      <c r="B27" s="451" t="s">
        <v>2649</v>
      </c>
      <c r="C27" s="2668"/>
      <c r="D27" s="462">
        <v>100</v>
      </c>
      <c r="E27" s="2668"/>
      <c r="F27" s="464">
        <f>SUMIF(90:90,E27,91:91)-SUMIF(90:90,C27,91:91)+100</f>
        <v>100</v>
      </c>
      <c r="G27" s="2668"/>
      <c r="H27" s="462">
        <f>SUMIF(90:90,G27,91:91)-SUMIF(90:90,C27,91:91)+100</f>
        <v>100</v>
      </c>
      <c r="I27" s="2668"/>
      <c r="J27" s="462">
        <f>SUMIF(90:90,I27,91:91)-SUMIF(90:90,C27,91:91)+100</f>
        <v>100</v>
      </c>
      <c r="K27" s="612"/>
      <c r="L27" s="1135"/>
      <c r="M27" s="1136"/>
      <c r="N27" s="1136"/>
      <c r="O27" s="1136"/>
      <c r="P27" s="3222"/>
      <c r="Q27" s="1798" t="str">
        <f t="shared" si="11"/>
        <v>人流量</v>
      </c>
      <c r="R27" s="770" t="s">
        <v>17</v>
      </c>
      <c r="S27" s="771">
        <f>F27</f>
        <v>100</v>
      </c>
      <c r="T27" s="770" t="s">
        <v>17</v>
      </c>
      <c r="U27" s="771">
        <f>H27</f>
        <v>100</v>
      </c>
      <c r="V27" s="770" t="s">
        <v>17</v>
      </c>
      <c r="W27" s="771">
        <f>J27</f>
        <v>100</v>
      </c>
      <c r="X27" s="772"/>
      <c r="Y27" s="3215"/>
      <c r="Z27" s="55" t="str">
        <f>Q27</f>
        <v>人流量</v>
      </c>
      <c r="AA27" s="1814">
        <f>D27/F27</f>
        <v>1</v>
      </c>
      <c r="AB27" s="1814">
        <f>D27/H27</f>
        <v>1</v>
      </c>
      <c r="AC27" s="1814">
        <f>D27/J27</f>
        <v>1</v>
      </c>
    </row>
    <row r="28" spans="1:29" ht="15">
      <c r="A28" s="428"/>
      <c r="B28" s="422" t="s">
        <v>2650</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22"/>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215"/>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22"/>
      <c r="Q29" s="1813">
        <f t="shared" si="11"/>
        <v>111</v>
      </c>
      <c r="R29" s="774" t="s">
        <v>17</v>
      </c>
      <c r="S29" s="775">
        <f t="shared" si="12"/>
        <v>100</v>
      </c>
      <c r="T29" s="774" t="s">
        <v>17</v>
      </c>
      <c r="U29" s="775">
        <f t="shared" si="13"/>
        <v>100</v>
      </c>
      <c r="V29" s="774" t="s">
        <v>17</v>
      </c>
      <c r="W29" s="775">
        <f t="shared" si="14"/>
        <v>100</v>
      </c>
      <c r="X29" s="1816"/>
      <c r="Y29" s="3215"/>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22"/>
      <c r="Q30" s="1813">
        <f t="shared" si="11"/>
        <v>111</v>
      </c>
      <c r="R30" s="774" t="s">
        <v>17</v>
      </c>
      <c r="S30" s="775">
        <f t="shared" si="12"/>
        <v>100</v>
      </c>
      <c r="T30" s="774" t="s">
        <v>17</v>
      </c>
      <c r="U30" s="775">
        <f t="shared" si="13"/>
        <v>100</v>
      </c>
      <c r="V30" s="774" t="s">
        <v>17</v>
      </c>
      <c r="W30" s="775">
        <f t="shared" si="14"/>
        <v>100</v>
      </c>
      <c r="X30" s="1816"/>
      <c r="Y30" s="3215"/>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22"/>
      <c r="Q31" s="1813">
        <f t="shared" si="11"/>
        <v>111</v>
      </c>
      <c r="R31" s="774" t="s">
        <v>17</v>
      </c>
      <c r="S31" s="775">
        <f t="shared" si="12"/>
        <v>100</v>
      </c>
      <c r="T31" s="774" t="s">
        <v>17</v>
      </c>
      <c r="U31" s="775">
        <f t="shared" si="13"/>
        <v>100</v>
      </c>
      <c r="V31" s="774" t="s">
        <v>17</v>
      </c>
      <c r="W31" s="775">
        <f t="shared" si="14"/>
        <v>100</v>
      </c>
      <c r="X31" s="1816"/>
      <c r="Y31" s="3215"/>
      <c r="Z31" s="1817">
        <f t="shared" si="15"/>
        <v>111</v>
      </c>
      <c r="AA31" s="1814">
        <f t="shared" si="3"/>
        <v>1</v>
      </c>
      <c r="AB31" s="1814">
        <f t="shared" si="4"/>
        <v>1</v>
      </c>
      <c r="AC31" s="1814">
        <f t="shared" si="5"/>
        <v>1</v>
      </c>
    </row>
    <row r="32" spans="1:29" ht="15">
      <c r="A32" s="440" t="s">
        <v>2554</v>
      </c>
      <c r="B32" s="71" t="s">
        <v>2651</v>
      </c>
      <c r="C32" s="2620"/>
      <c r="D32" s="467">
        <v>100</v>
      </c>
      <c r="E32" s="2620"/>
      <c r="F32" s="461">
        <f>SUMIF(100:100,E32,101:101)-SUMIF(100:100,C32,101:101)+100</f>
        <v>100</v>
      </c>
      <c r="G32" s="2620"/>
      <c r="H32" s="435">
        <f>SUMIF(100:100,G32,101:101)-SUMIF(100:100,C32,101:101)+100</f>
        <v>100</v>
      </c>
      <c r="I32" s="2620"/>
      <c r="J32" s="467">
        <f>SUMIF(100:100,I32,101:101)-SUMIF(100:100,C32,101:101)+100</f>
        <v>100</v>
      </c>
      <c r="K32" s="612"/>
      <c r="L32" s="1143"/>
      <c r="M32" s="1134"/>
      <c r="N32" s="1134"/>
      <c r="O32" s="1134"/>
      <c r="P32" s="3216" t="s">
        <v>2556</v>
      </c>
      <c r="Q32" s="1813" t="str">
        <f t="shared" si="11"/>
        <v>商业类型</v>
      </c>
      <c r="R32" s="774" t="s">
        <v>17</v>
      </c>
      <c r="S32" s="775">
        <f t="shared" si="12"/>
        <v>100</v>
      </c>
      <c r="T32" s="774" t="s">
        <v>17</v>
      </c>
      <c r="U32" s="775">
        <f t="shared" si="13"/>
        <v>100</v>
      </c>
      <c r="V32" s="774" t="s">
        <v>17</v>
      </c>
      <c r="W32" s="775">
        <f t="shared" si="14"/>
        <v>100</v>
      </c>
      <c r="X32" s="1816"/>
      <c r="Y32" s="3219" t="s">
        <v>2556</v>
      </c>
      <c r="Z32" s="1817" t="str">
        <f t="shared" si="15"/>
        <v>商业类型</v>
      </c>
      <c r="AA32" s="1814">
        <f t="shared" si="3"/>
        <v>1</v>
      </c>
      <c r="AB32" s="1814">
        <f t="shared" si="4"/>
        <v>1</v>
      </c>
      <c r="AC32" s="1814">
        <f t="shared" si="5"/>
        <v>1</v>
      </c>
    </row>
    <row r="33" spans="1:29" s="471" customFormat="1" ht="15">
      <c r="A33" s="468"/>
      <c r="B33" s="422" t="s">
        <v>2557</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17"/>
      <c r="Q33" s="776" t="str">
        <f t="shared" si="11"/>
        <v>项目建筑规模</v>
      </c>
      <c r="R33" s="777" t="s">
        <v>17</v>
      </c>
      <c r="S33" s="778" t="e">
        <f t="shared" si="12"/>
        <v>#N/A</v>
      </c>
      <c r="T33" s="777" t="s">
        <v>17</v>
      </c>
      <c r="U33" s="778" t="e">
        <f t="shared" si="13"/>
        <v>#N/A</v>
      </c>
      <c r="V33" s="777" t="s">
        <v>17</v>
      </c>
      <c r="W33" s="778" t="e">
        <f t="shared" si="14"/>
        <v>#N/A</v>
      </c>
      <c r="X33" s="779"/>
      <c r="Y33" s="3219"/>
      <c r="Z33" s="780" t="str">
        <f t="shared" si="15"/>
        <v>项目建筑规模</v>
      </c>
      <c r="AA33" s="1814" t="e">
        <f t="shared" si="3"/>
        <v>#N/A</v>
      </c>
      <c r="AB33" s="1814" t="e">
        <f t="shared" si="4"/>
        <v>#N/A</v>
      </c>
      <c r="AC33" s="1814" t="e">
        <f t="shared" si="5"/>
        <v>#N/A</v>
      </c>
    </row>
    <row r="34" spans="1:29" ht="15">
      <c r="A34" s="472"/>
      <c r="B34" s="422" t="s">
        <v>2558</v>
      </c>
      <c r="C34" s="2622"/>
      <c r="D34" s="435">
        <v>100</v>
      </c>
      <c r="E34" s="2622"/>
      <c r="F34" s="461">
        <f>SUMIF(105:105,E34,106:106)-SUMIF(105:105,C34,106:106)+100</f>
        <v>100</v>
      </c>
      <c r="G34" s="2622"/>
      <c r="H34" s="435">
        <f>SUMIF(105:105,G34,106:106)-SUMIF(105:105,C34,106:106)+100</f>
        <v>100</v>
      </c>
      <c r="I34" s="2622"/>
      <c r="J34" s="435">
        <f>SUMIF(105:105,I34,106:106)-SUMIF(105:105,C34,106:106)+100</f>
        <v>100</v>
      </c>
      <c r="K34" s="612"/>
      <c r="L34" s="1143"/>
      <c r="M34" s="1134"/>
      <c r="N34" s="1134"/>
      <c r="O34" s="1134"/>
      <c r="P34" s="3217"/>
      <c r="Q34" s="1813" t="str">
        <f t="shared" si="11"/>
        <v>建筑结构</v>
      </c>
      <c r="R34" s="774" t="s">
        <v>17</v>
      </c>
      <c r="S34" s="775">
        <f t="shared" si="12"/>
        <v>100</v>
      </c>
      <c r="T34" s="774" t="s">
        <v>17</v>
      </c>
      <c r="U34" s="775">
        <f t="shared" si="13"/>
        <v>100</v>
      </c>
      <c r="V34" s="774" t="s">
        <v>17</v>
      </c>
      <c r="W34" s="775">
        <f t="shared" si="14"/>
        <v>100</v>
      </c>
      <c r="X34" s="1816"/>
      <c r="Y34" s="3219"/>
      <c r="Z34" s="1817" t="str">
        <f t="shared" si="15"/>
        <v>建筑结构</v>
      </c>
      <c r="AA34" s="1814">
        <f t="shared" si="3"/>
        <v>1</v>
      </c>
      <c r="AB34" s="1814">
        <f t="shared" si="4"/>
        <v>1</v>
      </c>
      <c r="AC34" s="1814">
        <f t="shared" si="5"/>
        <v>1</v>
      </c>
    </row>
    <row r="35" spans="1:29" ht="15">
      <c r="A35" s="472"/>
      <c r="B35" s="422" t="s">
        <v>2652</v>
      </c>
      <c r="C35" s="2616"/>
      <c r="D35" s="435">
        <v>100</v>
      </c>
      <c r="E35" s="2616"/>
      <c r="F35" s="461">
        <f>SUMIF(107:107,E35,108:108)-SUMIF(107:107,C35,108:108)+100</f>
        <v>100</v>
      </c>
      <c r="G35" s="2616"/>
      <c r="H35" s="435">
        <f>SUMIF(107:107,G35,108:108)-SUMIF(107:107,C35,108:108)+100</f>
        <v>100</v>
      </c>
      <c r="I35" s="2616"/>
      <c r="J35" s="435">
        <f>SUMIF(107:107,I35,108:108)-SUMIF(107:107,C35,108:108)+100</f>
        <v>100</v>
      </c>
      <c r="K35" s="612"/>
      <c r="L35" s="1143"/>
      <c r="M35" s="1134"/>
      <c r="N35" s="1134"/>
      <c r="O35" s="1134"/>
      <c r="P35" s="3217"/>
      <c r="Q35" s="1813" t="str">
        <f t="shared" si="11"/>
        <v>公共部分装修</v>
      </c>
      <c r="R35" s="774" t="s">
        <v>17</v>
      </c>
      <c r="S35" s="775">
        <f t="shared" si="12"/>
        <v>100</v>
      </c>
      <c r="T35" s="774" t="s">
        <v>17</v>
      </c>
      <c r="U35" s="775">
        <f t="shared" si="13"/>
        <v>100</v>
      </c>
      <c r="V35" s="774" t="s">
        <v>17</v>
      </c>
      <c r="W35" s="775">
        <f t="shared" si="14"/>
        <v>100</v>
      </c>
      <c r="X35" s="1816"/>
      <c r="Y35" s="3219"/>
      <c r="Z35" s="1817" t="str">
        <f t="shared" si="15"/>
        <v>公共部分装修</v>
      </c>
      <c r="AA35" s="1814">
        <f t="shared" si="3"/>
        <v>1</v>
      </c>
      <c r="AB35" s="1814">
        <f t="shared" si="4"/>
        <v>1</v>
      </c>
      <c r="AC35" s="1814">
        <f t="shared" si="5"/>
        <v>1</v>
      </c>
    </row>
    <row r="36" spans="1:29" ht="15">
      <c r="A36" s="472"/>
      <c r="B36" s="422" t="s">
        <v>2653</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17"/>
      <c r="Q36" s="1813" t="str">
        <f t="shared" si="11"/>
        <v>成新度</v>
      </c>
      <c r="R36" s="774" t="s">
        <v>17</v>
      </c>
      <c r="S36" s="775" t="e">
        <f t="shared" si="12"/>
        <v>#N/A</v>
      </c>
      <c r="T36" s="774" t="s">
        <v>17</v>
      </c>
      <c r="U36" s="775" t="e">
        <f t="shared" si="13"/>
        <v>#N/A</v>
      </c>
      <c r="V36" s="774" t="s">
        <v>17</v>
      </c>
      <c r="W36" s="775" t="e">
        <f t="shared" si="14"/>
        <v>#N/A</v>
      </c>
      <c r="X36" s="1816"/>
      <c r="Y36" s="3219"/>
      <c r="Z36" s="1817" t="str">
        <f t="shared" si="15"/>
        <v>成新度</v>
      </c>
      <c r="AA36" s="1814" t="e">
        <f t="shared" si="3"/>
        <v>#N/A</v>
      </c>
      <c r="AB36" s="1814" t="e">
        <f t="shared" si="4"/>
        <v>#N/A</v>
      </c>
      <c r="AC36" s="1814" t="e">
        <f t="shared" si="5"/>
        <v>#N/A</v>
      </c>
    </row>
    <row r="37" spans="1:29" s="117" customFormat="1" ht="15">
      <c r="A37" s="473"/>
      <c r="B37" s="422" t="s">
        <v>2654</v>
      </c>
      <c r="C37" s="2616"/>
      <c r="D37" s="136">
        <v>100</v>
      </c>
      <c r="E37" s="2616"/>
      <c r="F37" s="461">
        <f>SUMIF(112:112,E37,113:113)-SUMIF(112:112,C37,113:113)+100</f>
        <v>100</v>
      </c>
      <c r="G37" s="2616"/>
      <c r="H37" s="435">
        <f>SUMIF(112:112,G37,113:113)-SUMIF(112:112,C37,113:113)+100</f>
        <v>100</v>
      </c>
      <c r="I37" s="2616"/>
      <c r="J37" s="435">
        <f>SUMIF(112:112,I37,113:113)-SUMIF(112:112,C37,113:113)+100</f>
        <v>100</v>
      </c>
      <c r="K37" s="612"/>
      <c r="L37" s="1135"/>
      <c r="M37" s="1136"/>
      <c r="N37" s="1136"/>
      <c r="O37" s="1136"/>
      <c r="P37" s="3217"/>
      <c r="Q37" s="1798" t="str">
        <f t="shared" si="11"/>
        <v>市政基础设施</v>
      </c>
      <c r="R37" s="770" t="s">
        <v>17</v>
      </c>
      <c r="S37" s="771">
        <f t="shared" si="12"/>
        <v>100</v>
      </c>
      <c r="T37" s="770" t="s">
        <v>17</v>
      </c>
      <c r="U37" s="771">
        <f t="shared" si="13"/>
        <v>100</v>
      </c>
      <c r="V37" s="770" t="s">
        <v>17</v>
      </c>
      <c r="W37" s="771">
        <f t="shared" si="14"/>
        <v>100</v>
      </c>
      <c r="X37" s="772"/>
      <c r="Y37" s="3219"/>
      <c r="Z37" s="55" t="str">
        <f t="shared" si="15"/>
        <v>市政基础设施</v>
      </c>
      <c r="AA37" s="773">
        <f t="shared" si="3"/>
        <v>1</v>
      </c>
      <c r="AB37" s="773">
        <f t="shared" si="4"/>
        <v>1</v>
      </c>
      <c r="AC37" s="773">
        <f t="shared" si="5"/>
        <v>1</v>
      </c>
    </row>
    <row r="38" spans="1:29" ht="15">
      <c r="A38" s="472"/>
      <c r="B38" s="422" t="s">
        <v>2655</v>
      </c>
      <c r="C38" s="2616"/>
      <c r="D38" s="435">
        <v>100</v>
      </c>
      <c r="E38" s="2616"/>
      <c r="F38" s="461">
        <f>SUMIF(114:114,E38,115:115)-SUMIF(114:114,C38,115:115)+100</f>
        <v>100</v>
      </c>
      <c r="G38" s="2616"/>
      <c r="H38" s="435">
        <f>SUMIF(114:114,G38,115:115)-SUMIF(114:114,C38,115:115)+100</f>
        <v>100</v>
      </c>
      <c r="I38" s="2616"/>
      <c r="J38" s="435">
        <f>SUMIF(114:114,I38,115:115)-SUMIF(114:114,C38,115:115)+100</f>
        <v>100</v>
      </c>
      <c r="K38" s="612"/>
      <c r="L38" s="1143"/>
      <c r="M38" s="1134"/>
      <c r="N38" s="1134"/>
      <c r="O38" s="1134"/>
      <c r="P38" s="3217" t="s">
        <v>2556</v>
      </c>
      <c r="Q38" s="1813" t="str">
        <f t="shared" si="11"/>
        <v>业态</v>
      </c>
      <c r="R38" s="774" t="s">
        <v>17</v>
      </c>
      <c r="S38" s="775">
        <f t="shared" si="12"/>
        <v>100</v>
      </c>
      <c r="T38" s="774" t="s">
        <v>17</v>
      </c>
      <c r="U38" s="775">
        <f t="shared" si="13"/>
        <v>100</v>
      </c>
      <c r="V38" s="774" t="s">
        <v>17</v>
      </c>
      <c r="W38" s="775">
        <f t="shared" si="14"/>
        <v>100</v>
      </c>
      <c r="X38" s="1816"/>
      <c r="Y38" s="3219" t="s">
        <v>2556</v>
      </c>
      <c r="Z38" s="1817" t="str">
        <f t="shared" si="15"/>
        <v>业态</v>
      </c>
      <c r="AA38" s="1814">
        <f t="shared" si="3"/>
        <v>1</v>
      </c>
      <c r="AB38" s="1814">
        <f t="shared" si="4"/>
        <v>1</v>
      </c>
      <c r="AC38" s="1814">
        <f t="shared" si="5"/>
        <v>1</v>
      </c>
    </row>
    <row r="39" spans="1:29" ht="15">
      <c r="A39" s="472"/>
      <c r="B39" s="422" t="s">
        <v>2656</v>
      </c>
      <c r="C39" s="2616"/>
      <c r="D39" s="435">
        <v>100</v>
      </c>
      <c r="E39" s="2616"/>
      <c r="F39" s="461">
        <f>SUMIF(116:116,E39,117:117)-SUMIF(116:116,C39,117:117)+100</f>
        <v>100</v>
      </c>
      <c r="G39" s="2616"/>
      <c r="H39" s="435">
        <f>SUMIF(116:116,G39,117:117)-SUMIF(116:116,C39,117:117)+100</f>
        <v>100</v>
      </c>
      <c r="I39" s="2616"/>
      <c r="J39" s="435">
        <f>SUMIF(116:116,I39,117:117)-SUMIF(116:116,C39,117:117)+100</f>
        <v>100</v>
      </c>
      <c r="K39" s="612"/>
      <c r="L39" s="1143"/>
      <c r="M39" s="1134"/>
      <c r="N39" s="1134"/>
      <c r="O39" s="1134"/>
      <c r="P39" s="3217"/>
      <c r="Q39" s="1813" t="str">
        <f t="shared" si="11"/>
        <v>层高</v>
      </c>
      <c r="R39" s="774" t="s">
        <v>17</v>
      </c>
      <c r="S39" s="775">
        <f t="shared" si="12"/>
        <v>100</v>
      </c>
      <c r="T39" s="774" t="s">
        <v>17</v>
      </c>
      <c r="U39" s="775">
        <f t="shared" si="13"/>
        <v>100</v>
      </c>
      <c r="V39" s="774" t="s">
        <v>17</v>
      </c>
      <c r="W39" s="775">
        <f t="shared" si="14"/>
        <v>100</v>
      </c>
      <c r="X39" s="1816"/>
      <c r="Y39" s="3219"/>
      <c r="Z39" s="1817" t="str">
        <f t="shared" si="15"/>
        <v>层高</v>
      </c>
      <c r="AA39" s="1814">
        <f t="shared" si="3"/>
        <v>1</v>
      </c>
      <c r="AB39" s="1814">
        <f t="shared" si="4"/>
        <v>1</v>
      </c>
      <c r="AC39" s="1814">
        <f t="shared" si="5"/>
        <v>1</v>
      </c>
    </row>
    <row r="40" spans="1:29" ht="15">
      <c r="A40" s="472"/>
      <c r="B40" s="422" t="s">
        <v>2657</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17"/>
      <c r="Q40" s="1813" t="str">
        <f t="shared" si="11"/>
        <v>单套建筑面积</v>
      </c>
      <c r="R40" s="774" t="s">
        <v>17</v>
      </c>
      <c r="S40" s="775">
        <f t="shared" si="12"/>
        <v>100</v>
      </c>
      <c r="T40" s="774" t="s">
        <v>17</v>
      </c>
      <c r="U40" s="775">
        <f t="shared" si="13"/>
        <v>100</v>
      </c>
      <c r="V40" s="774" t="s">
        <v>17</v>
      </c>
      <c r="W40" s="775">
        <f t="shared" si="14"/>
        <v>100</v>
      </c>
      <c r="X40" s="1816"/>
      <c r="Y40" s="3219"/>
      <c r="Z40" s="1817" t="str">
        <f t="shared" si="15"/>
        <v>单套建筑面积</v>
      </c>
      <c r="AA40" s="1814">
        <f t="shared" si="3"/>
        <v>1</v>
      </c>
      <c r="AB40" s="1814">
        <f t="shared" si="4"/>
        <v>1</v>
      </c>
      <c r="AC40" s="1814">
        <f t="shared" si="5"/>
        <v>1</v>
      </c>
    </row>
    <row r="41" spans="1:29" s="471" customFormat="1" ht="15">
      <c r="A41" s="468"/>
      <c r="B41" s="1815" t="s">
        <v>2658</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17"/>
      <c r="Q41" s="776" t="str">
        <f t="shared" si="11"/>
        <v>进深比</v>
      </c>
      <c r="R41" s="777" t="s">
        <v>17</v>
      </c>
      <c r="S41" s="778">
        <f t="shared" si="12"/>
        <v>100</v>
      </c>
      <c r="T41" s="777" t="s">
        <v>17</v>
      </c>
      <c r="U41" s="778">
        <f t="shared" si="13"/>
        <v>100</v>
      </c>
      <c r="V41" s="777" t="s">
        <v>17</v>
      </c>
      <c r="W41" s="778">
        <f t="shared" si="14"/>
        <v>100</v>
      </c>
      <c r="X41" s="779"/>
      <c r="Y41" s="3219"/>
      <c r="Z41" s="780" t="str">
        <f t="shared" si="15"/>
        <v>进深比</v>
      </c>
      <c r="AA41" s="1814">
        <f t="shared" si="3"/>
        <v>1</v>
      </c>
      <c r="AB41" s="1814">
        <f t="shared" si="4"/>
        <v>1</v>
      </c>
      <c r="AC41" s="1814">
        <f t="shared" si="5"/>
        <v>1</v>
      </c>
    </row>
    <row r="42" spans="1:29" ht="15">
      <c r="A42" s="472"/>
      <c r="B42" s="422" t="s">
        <v>2659</v>
      </c>
      <c r="C42" s="2616"/>
      <c r="D42" s="435">
        <v>100</v>
      </c>
      <c r="E42" s="2616"/>
      <c r="F42" s="461">
        <f>SUMIF(122:122,E42,123:123)-SUMIF(122:122,C42,123:123)+100</f>
        <v>100</v>
      </c>
      <c r="G42" s="2616"/>
      <c r="H42" s="435">
        <f>SUMIF(122:122,G42,123:123)-SUMIF(122:122,C42,123:123)+100</f>
        <v>100</v>
      </c>
      <c r="I42" s="2616"/>
      <c r="J42" s="435">
        <f>SUMIF(122:122,I42,123:123)-SUMIF(122:122,C42,123:123)+100</f>
        <v>100</v>
      </c>
      <c r="K42" s="612"/>
      <c r="L42" s="1143"/>
      <c r="M42" s="1134"/>
      <c r="N42" s="1134"/>
      <c r="O42" s="1134"/>
      <c r="P42" s="3217"/>
      <c r="Q42" s="1813" t="str">
        <f t="shared" si="11"/>
        <v>内部装修</v>
      </c>
      <c r="R42" s="774" t="s">
        <v>17</v>
      </c>
      <c r="S42" s="775">
        <f t="shared" si="12"/>
        <v>100</v>
      </c>
      <c r="T42" s="774" t="s">
        <v>17</v>
      </c>
      <c r="U42" s="775">
        <f t="shared" si="13"/>
        <v>100</v>
      </c>
      <c r="V42" s="774" t="s">
        <v>17</v>
      </c>
      <c r="W42" s="775">
        <f t="shared" si="14"/>
        <v>100</v>
      </c>
      <c r="X42" s="1816"/>
      <c r="Y42" s="3219"/>
      <c r="Z42" s="1817" t="str">
        <f t="shared" si="15"/>
        <v>内部装修</v>
      </c>
      <c r="AA42" s="1814">
        <f t="shared" si="3"/>
        <v>1</v>
      </c>
      <c r="AB42" s="1814">
        <f t="shared" si="4"/>
        <v>1</v>
      </c>
      <c r="AC42" s="1814">
        <f t="shared" si="5"/>
        <v>1</v>
      </c>
    </row>
    <row r="43" spans="1:29" ht="15">
      <c r="A43" s="472"/>
      <c r="B43" s="422" t="s">
        <v>2567</v>
      </c>
      <c r="C43" s="2616"/>
      <c r="D43" s="435">
        <v>100</v>
      </c>
      <c r="E43" s="2616"/>
      <c r="F43" s="461">
        <f>SUMIF(124:124,E43,125:125)-SUMIF(124:124,C43,125:125)+100</f>
        <v>100</v>
      </c>
      <c r="G43" s="2616"/>
      <c r="H43" s="435">
        <f>SUMIF(124:124,G43,125:125)-SUMIF(124:124,C43,125:125)+100</f>
        <v>100</v>
      </c>
      <c r="I43" s="2616"/>
      <c r="J43" s="435">
        <f>SUMIF(124:124,I43,125:125)-SUMIF(124:124,C43,125:125)+100</f>
        <v>100</v>
      </c>
      <c r="K43" s="612"/>
      <c r="L43" s="1143"/>
      <c r="M43" s="1134"/>
      <c r="N43" s="1134"/>
      <c r="O43" s="1134"/>
      <c r="P43" s="3217"/>
      <c r="Q43" s="1813" t="str">
        <f t="shared" si="11"/>
        <v>内部装修维护情况</v>
      </c>
      <c r="R43" s="774" t="s">
        <v>17</v>
      </c>
      <c r="S43" s="775">
        <f t="shared" si="12"/>
        <v>100</v>
      </c>
      <c r="T43" s="774" t="s">
        <v>17</v>
      </c>
      <c r="U43" s="775">
        <f t="shared" si="13"/>
        <v>100</v>
      </c>
      <c r="V43" s="774" t="s">
        <v>17</v>
      </c>
      <c r="W43" s="775">
        <f t="shared" si="14"/>
        <v>100</v>
      </c>
      <c r="X43" s="1816"/>
      <c r="Y43" s="3219"/>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17"/>
      <c r="Q44" s="1798">
        <f t="shared" si="11"/>
        <v>111</v>
      </c>
      <c r="R44" s="770" t="s">
        <v>17</v>
      </c>
      <c r="S44" s="771">
        <f t="shared" si="12"/>
        <v>100</v>
      </c>
      <c r="T44" s="770" t="s">
        <v>17</v>
      </c>
      <c r="U44" s="771">
        <f t="shared" si="13"/>
        <v>100</v>
      </c>
      <c r="V44" s="770" t="s">
        <v>17</v>
      </c>
      <c r="W44" s="771">
        <f t="shared" si="14"/>
        <v>100</v>
      </c>
      <c r="X44" s="772"/>
      <c r="Y44" s="3219"/>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17"/>
      <c r="Q45" s="1813">
        <f t="shared" si="11"/>
        <v>111</v>
      </c>
      <c r="R45" s="774" t="s">
        <v>17</v>
      </c>
      <c r="S45" s="775">
        <f t="shared" si="12"/>
        <v>100</v>
      </c>
      <c r="T45" s="774" t="s">
        <v>17</v>
      </c>
      <c r="U45" s="775">
        <f t="shared" si="13"/>
        <v>100</v>
      </c>
      <c r="V45" s="774" t="s">
        <v>17</v>
      </c>
      <c r="W45" s="775">
        <f t="shared" si="14"/>
        <v>100</v>
      </c>
      <c r="X45" s="1816"/>
      <c r="Y45" s="3219"/>
      <c r="Z45" s="1817">
        <f t="shared" si="15"/>
        <v>111</v>
      </c>
      <c r="AA45" s="1814">
        <f t="shared" si="3"/>
        <v>1</v>
      </c>
      <c r="AB45" s="1814">
        <f t="shared" si="4"/>
        <v>1</v>
      </c>
      <c r="AC45" s="1814">
        <f t="shared" si="5"/>
        <v>1</v>
      </c>
    </row>
    <row r="46" spans="1:29" ht="15.75" thickBot="1">
      <c r="A46" s="478"/>
      <c r="B46" s="2605">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18"/>
      <c r="Q46" s="1813">
        <f t="shared" si="11"/>
        <v>111</v>
      </c>
      <c r="R46" s="774" t="s">
        <v>17</v>
      </c>
      <c r="S46" s="775">
        <f t="shared" si="12"/>
        <v>100</v>
      </c>
      <c r="T46" s="774" t="s">
        <v>17</v>
      </c>
      <c r="U46" s="775">
        <f t="shared" si="13"/>
        <v>100</v>
      </c>
      <c r="V46" s="774" t="s">
        <v>17</v>
      </c>
      <c r="W46" s="775">
        <f t="shared" si="14"/>
        <v>100</v>
      </c>
      <c r="X46" s="1816"/>
      <c r="Y46" s="3220"/>
      <c r="Z46" s="1817">
        <f t="shared" si="15"/>
        <v>111</v>
      </c>
      <c r="AA46" s="1814">
        <f t="shared" si="3"/>
        <v>1</v>
      </c>
      <c r="AB46" s="1814">
        <f t="shared" si="4"/>
        <v>1</v>
      </c>
      <c r="AC46" s="1814">
        <f t="shared" si="5"/>
        <v>1</v>
      </c>
    </row>
    <row r="47" spans="1:29" ht="15">
      <c r="A47" s="479" t="s">
        <v>2568</v>
      </c>
      <c r="B47" s="480"/>
      <c r="C47" s="1410" t="s">
        <v>1</v>
      </c>
      <c r="D47" s="1411"/>
      <c r="E47" s="1412"/>
      <c r="F47" s="1413"/>
      <c r="G47" s="1414"/>
      <c r="H47" s="1415"/>
      <c r="I47" s="1412"/>
      <c r="J47" s="1415"/>
      <c r="K47" s="783"/>
      <c r="L47" s="1146"/>
      <c r="M47" s="1147"/>
      <c r="N47" s="1134"/>
      <c r="O47" s="1147"/>
      <c r="P47" s="3212" t="str">
        <f>A47</f>
        <v>成交单价（元/平方米）</v>
      </c>
      <c r="Q47" s="3212"/>
      <c r="R47" s="3243">
        <f>E47</f>
        <v>0</v>
      </c>
      <c r="S47" s="3243"/>
      <c r="T47" s="3243">
        <f>G47</f>
        <v>0</v>
      </c>
      <c r="U47" s="3243"/>
      <c r="V47" s="3243">
        <f>I47</f>
        <v>0</v>
      </c>
      <c r="W47" s="3243"/>
      <c r="X47" s="759"/>
      <c r="Y47" s="781"/>
      <c r="Z47" s="759"/>
      <c r="AA47" s="759"/>
      <c r="AB47" s="759"/>
      <c r="AC47" s="759"/>
    </row>
    <row r="48" spans="1:29" ht="15.75" thickBot="1">
      <c r="A48" s="486" t="s">
        <v>2660</v>
      </c>
      <c r="B48" s="487"/>
      <c r="C48" s="1416" t="e">
        <f>R49</f>
        <v>#DIV/0!</v>
      </c>
      <c r="D48" s="1417"/>
      <c r="E48" s="1418" t="e">
        <f>R48</f>
        <v>#DIV/0!</v>
      </c>
      <c r="F48" s="1418"/>
      <c r="G48" s="1416" t="e">
        <f>T48</f>
        <v>#DIV/0!</v>
      </c>
      <c r="H48" s="1417"/>
      <c r="I48" s="1418" t="e">
        <f>V48</f>
        <v>#DIV/0!</v>
      </c>
      <c r="J48" s="1417"/>
      <c r="K48" s="784"/>
      <c r="L48" s="1146"/>
      <c r="M48" s="1147"/>
      <c r="N48" s="1134"/>
      <c r="O48" s="1147"/>
      <c r="P48" s="3212" t="str">
        <f>A48</f>
        <v>比较价值（元/平方米）</v>
      </c>
      <c r="Q48" s="3212"/>
      <c r="R48" s="3213" t="e">
        <f>IF(F1="售价",ROUND(PRODUCT(R47,AA7:AA46),0),ROUND(PRODUCT(R47,AA7:AA46),1))</f>
        <v>#DIV/0!</v>
      </c>
      <c r="S48" s="3213"/>
      <c r="T48" s="3213" t="e">
        <f>IF(F1="售价",ROUND(PRODUCT(T47,AB7:AB46),0),ROUND(PRODUCT(T47,AB7:AB46),1))</f>
        <v>#DIV/0!</v>
      </c>
      <c r="U48" s="3213"/>
      <c r="V48" s="3213" t="e">
        <f>IF(F1="售价",ROUND(PRODUCT(V47,AC7:AC46),0),ROUND(PRODUCT(V47,AC7:AC46),1))</f>
        <v>#DIV/0!</v>
      </c>
      <c r="W48" s="3213"/>
      <c r="X48" s="759"/>
      <c r="Y48" s="759"/>
      <c r="Z48" s="759"/>
      <c r="AA48" s="759"/>
      <c r="AB48" s="759"/>
      <c r="AC48" s="759"/>
    </row>
    <row r="49" spans="1:29" ht="15.75" thickBot="1">
      <c r="A49" s="492" t="s">
        <v>2661</v>
      </c>
      <c r="B49" s="493"/>
      <c r="C49" s="1420" t="e">
        <f>R49</f>
        <v>#DIV/0!</v>
      </c>
      <c r="D49" s="1420"/>
      <c r="E49" s="1420"/>
      <c r="F49" s="1420"/>
      <c r="G49" s="1420"/>
      <c r="H49" s="1420"/>
      <c r="I49" s="1420"/>
      <c r="J49" s="1420"/>
      <c r="K49" s="785"/>
      <c r="L49" s="1146"/>
      <c r="M49" s="1147"/>
      <c r="N49" s="1134"/>
      <c r="O49" s="1147"/>
      <c r="P49" s="3209" t="str">
        <f>A49</f>
        <v>估价对象XX用房的比较价值（楼面单价，元/平方米）</v>
      </c>
      <c r="Q49" s="3210"/>
      <c r="R49" s="3211" t="e">
        <f>IF(F1="售价",ROUND(AVERAGE(R48:V48),0),ROUND(AVERAGE(R48:V48),1))</f>
        <v>#DIV/0!</v>
      </c>
      <c r="S49" s="3211"/>
      <c r="T49" s="3211"/>
      <c r="U49" s="3211"/>
      <c r="V49" s="3211"/>
      <c r="W49" s="3211"/>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2662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2663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2664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9"/>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9"/>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2665</v>
      </c>
      <c r="B57" s="759"/>
      <c r="C57" s="764"/>
      <c r="D57" s="764"/>
      <c r="E57" s="764"/>
      <c r="F57" s="765"/>
      <c r="G57" s="765"/>
      <c r="H57" s="764"/>
      <c r="I57" s="764"/>
      <c r="J57" s="764"/>
      <c r="K57" s="766"/>
      <c r="L57" s="1164"/>
      <c r="M57" s="1162"/>
      <c r="N57" s="1162"/>
      <c r="O57" s="1162"/>
      <c r="P57" s="2670"/>
      <c r="Q57" s="2671"/>
      <c r="R57" s="759"/>
      <c r="S57" s="759"/>
      <c r="T57" s="759"/>
      <c r="U57" s="759"/>
      <c r="V57" s="759"/>
      <c r="W57" s="759"/>
      <c r="X57" s="759"/>
      <c r="Y57" s="759"/>
      <c r="Z57" s="759"/>
      <c r="AA57" s="759"/>
      <c r="AB57" s="759"/>
      <c r="AC57" s="759"/>
    </row>
    <row r="58" spans="1:29" s="508" customFormat="1" ht="15">
      <c r="A58" s="505" t="s">
        <v>2539</v>
      </c>
      <c r="B58" s="506"/>
      <c r="C58" s="1577" t="str">
        <f>YEAR(C7)&amp;"-"&amp;MONTH(C7)</f>
        <v>2019-3</v>
      </c>
      <c r="D58" s="1578">
        <f>EDATE(C58,-1)</f>
        <v>43497</v>
      </c>
      <c r="E58" s="1578">
        <f t="shared" ref="E58:N58" si="16">EDATE(D58,-1)</f>
        <v>43466</v>
      </c>
      <c r="F58" s="1578">
        <f t="shared" si="16"/>
        <v>43435</v>
      </c>
      <c r="G58" s="1578">
        <f t="shared" si="16"/>
        <v>43405</v>
      </c>
      <c r="H58" s="1578">
        <f t="shared" si="16"/>
        <v>43374</v>
      </c>
      <c r="I58" s="1578">
        <f t="shared" si="16"/>
        <v>43344</v>
      </c>
      <c r="J58" s="1578">
        <f t="shared" si="16"/>
        <v>43313</v>
      </c>
      <c r="K58" s="1578">
        <f t="shared" si="16"/>
        <v>43282</v>
      </c>
      <c r="L58" s="1578">
        <f t="shared" si="16"/>
        <v>43252</v>
      </c>
      <c r="M58" s="1578">
        <f t="shared" si="16"/>
        <v>43221</v>
      </c>
      <c r="N58" s="1578">
        <f t="shared" si="16"/>
        <v>43191</v>
      </c>
      <c r="O58" s="1578">
        <f>EDATE(N58,-1)</f>
        <v>43160</v>
      </c>
      <c r="P58" s="1573"/>
    </row>
    <row r="59" spans="1:29" s="117" customFormat="1" ht="15">
      <c r="A59" s="509"/>
      <c r="B59" s="510"/>
      <c r="C59" s="1576">
        <v>100</v>
      </c>
      <c r="D59" s="512"/>
      <c r="E59" s="512"/>
      <c r="F59" s="512"/>
      <c r="G59" s="512"/>
      <c r="H59" s="512"/>
      <c r="I59" s="512"/>
      <c r="J59" s="512"/>
      <c r="K59" s="512"/>
      <c r="L59" s="512"/>
      <c r="M59" s="513"/>
      <c r="N59" s="512"/>
      <c r="O59" s="513"/>
      <c r="P59" s="2631"/>
    </row>
    <row r="60" spans="1:29" s="117" customFormat="1" ht="15.75" thickBot="1">
      <c r="A60" s="515" t="s">
        <v>2576</v>
      </c>
      <c r="B60" s="516"/>
      <c r="C60" s="517"/>
      <c r="D60" s="518"/>
      <c r="E60" s="518"/>
      <c r="F60" s="518"/>
      <c r="G60" s="518"/>
      <c r="H60" s="518"/>
      <c r="I60" s="518"/>
      <c r="J60" s="518"/>
      <c r="K60" s="518"/>
      <c r="L60" s="518"/>
      <c r="M60" s="519"/>
      <c r="N60" s="518"/>
      <c r="O60" s="519"/>
      <c r="P60" s="2631"/>
      <c r="Q60" s="504"/>
    </row>
    <row r="61" spans="1:29" s="117" customFormat="1" ht="15">
      <c r="A61" s="521" t="s">
        <v>2541</v>
      </c>
      <c r="B61" s="510"/>
      <c r="C61" s="522" t="s">
        <v>2643</v>
      </c>
      <c r="D61" s="523"/>
      <c r="E61" s="523"/>
      <c r="F61" s="523"/>
      <c r="G61" s="523"/>
      <c r="H61" s="523"/>
      <c r="I61" s="523"/>
      <c r="J61" s="523"/>
      <c r="K61" s="523"/>
      <c r="L61" s="524"/>
      <c r="M61" s="525"/>
      <c r="N61" s="1154"/>
      <c r="O61" s="1154"/>
      <c r="P61" s="2632"/>
      <c r="Q61" s="504"/>
    </row>
    <row r="62" spans="1:29" s="117" customFormat="1" ht="15.75" thickBot="1">
      <c r="A62" s="521"/>
      <c r="B62" s="510"/>
      <c r="C62" s="511">
        <v>100</v>
      </c>
      <c r="D62" s="512"/>
      <c r="E62" s="512"/>
      <c r="F62" s="512"/>
      <c r="G62" s="512"/>
      <c r="H62" s="512"/>
      <c r="I62" s="512"/>
      <c r="J62" s="512"/>
      <c r="K62" s="512"/>
      <c r="L62" s="512"/>
      <c r="M62" s="514"/>
      <c r="N62" s="1154"/>
      <c r="O62" s="1154"/>
      <c r="P62" s="2631"/>
      <c r="Q62" s="504"/>
    </row>
    <row r="63" spans="1:29">
      <c r="A63" s="527" t="s">
        <v>2579</v>
      </c>
      <c r="B63" s="528" t="s">
        <v>2545</v>
      </c>
      <c r="C63" s="529">
        <f>C9</f>
        <v>0</v>
      </c>
      <c r="D63" s="530"/>
      <c r="E63" s="530"/>
      <c r="F63" s="530"/>
      <c r="G63" s="530"/>
      <c r="H63" s="530"/>
      <c r="I63" s="530"/>
      <c r="J63" s="530"/>
      <c r="K63" s="531"/>
      <c r="L63" s="532"/>
      <c r="M63" s="533"/>
      <c r="N63" s="1155"/>
      <c r="O63" s="1155"/>
      <c r="P63" s="2633"/>
      <c r="Q63" s="504"/>
    </row>
    <row r="64" spans="1:29" ht="15.75" thickBot="1">
      <c r="A64" s="534"/>
      <c r="B64" s="535"/>
      <c r="C64" s="536">
        <v>100</v>
      </c>
      <c r="D64" s="536"/>
      <c r="E64" s="536"/>
      <c r="F64" s="536"/>
      <c r="G64" s="536"/>
      <c r="H64" s="536"/>
      <c r="I64" s="536"/>
      <c r="J64" s="536"/>
      <c r="K64" s="536"/>
      <c r="L64" s="536"/>
      <c r="M64" s="537"/>
      <c r="N64" s="1156"/>
      <c r="O64" s="1156"/>
      <c r="P64" s="2633"/>
      <c r="Q64" s="504"/>
    </row>
    <row r="65" spans="1:17" ht="27.75" thickTop="1">
      <c r="A65" s="534"/>
      <c r="B65" s="538" t="s">
        <v>2548</v>
      </c>
      <c r="C65" s="539" t="s">
        <v>2580</v>
      </c>
      <c r="D65" s="539" t="s">
        <v>2581</v>
      </c>
      <c r="E65" s="539" t="s">
        <v>2582</v>
      </c>
      <c r="F65" s="539" t="s">
        <v>2583</v>
      </c>
      <c r="G65" s="539" t="s">
        <v>2584</v>
      </c>
      <c r="H65" s="539" t="s">
        <v>2585</v>
      </c>
      <c r="I65" s="539" t="s">
        <v>2586</v>
      </c>
      <c r="J65" s="539"/>
      <c r="K65" s="540"/>
      <c r="L65" s="541"/>
      <c r="M65" s="542"/>
      <c r="N65" s="1155"/>
      <c r="O65" s="1155"/>
      <c r="P65" s="2633"/>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3"/>
      <c r="Q66" s="504"/>
    </row>
    <row r="67" spans="1:17" ht="15.75" thickTop="1">
      <c r="A67" s="534"/>
      <c r="B67" s="546" t="s">
        <v>2549</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3"/>
      <c r="Q67" s="504"/>
    </row>
    <row r="68" spans="1:17" ht="15">
      <c r="A68" s="534"/>
      <c r="B68" s="548"/>
      <c r="C68" s="549"/>
      <c r="D68" s="549"/>
      <c r="E68" s="549"/>
      <c r="F68" s="549"/>
      <c r="G68" s="549"/>
      <c r="H68" s="549"/>
      <c r="I68" s="549"/>
      <c r="J68" s="549"/>
      <c r="K68" s="550"/>
      <c r="L68" s="551"/>
      <c r="M68" s="552"/>
      <c r="N68" s="1155"/>
      <c r="O68" s="1155"/>
      <c r="P68" s="2633"/>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3"/>
      <c r="Q69" s="504"/>
    </row>
    <row r="70" spans="1:17" s="471" customFormat="1" ht="15.75" thickTop="1">
      <c r="A70" s="553"/>
      <c r="B70" s="538">
        <f>B12</f>
        <v>111</v>
      </c>
      <c r="C70" s="554"/>
      <c r="D70" s="554"/>
      <c r="E70" s="554"/>
      <c r="F70" s="554"/>
      <c r="G70" s="554"/>
      <c r="H70" s="555"/>
      <c r="I70" s="555"/>
      <c r="J70" s="555"/>
      <c r="K70" s="555"/>
      <c r="L70" s="556"/>
      <c r="M70" s="557"/>
      <c r="N70" s="1157"/>
      <c r="O70" s="1157"/>
      <c r="P70" s="2634"/>
      <c r="Q70" s="559"/>
    </row>
    <row r="71" spans="1:17" s="471" customFormat="1" ht="15.75" thickBot="1">
      <c r="A71" s="553"/>
      <c r="B71" s="543"/>
      <c r="C71" s="560"/>
      <c r="D71" s="536"/>
      <c r="E71" s="536"/>
      <c r="F71" s="536"/>
      <c r="G71" s="536"/>
      <c r="H71" s="536"/>
      <c r="I71" s="536"/>
      <c r="J71" s="536"/>
      <c r="K71" s="536"/>
      <c r="L71" s="536"/>
      <c r="M71" s="537"/>
      <c r="N71" s="1156"/>
      <c r="O71" s="1156"/>
      <c r="P71" s="2634"/>
      <c r="Q71" s="559"/>
    </row>
    <row r="72" spans="1:17" s="471" customFormat="1" ht="15.75" thickTop="1">
      <c r="A72" s="553"/>
      <c r="B72" s="538">
        <f>B13</f>
        <v>111</v>
      </c>
      <c r="C72" s="554"/>
      <c r="D72" s="554"/>
      <c r="E72" s="554"/>
      <c r="F72" s="554"/>
      <c r="G72" s="554"/>
      <c r="H72" s="555"/>
      <c r="I72" s="555"/>
      <c r="J72" s="555"/>
      <c r="K72" s="555"/>
      <c r="L72" s="556"/>
      <c r="M72" s="557"/>
      <c r="N72" s="1157"/>
      <c r="O72" s="1157"/>
      <c r="P72" s="2635"/>
      <c r="Q72" s="561"/>
    </row>
    <row r="73" spans="1:17" s="471" customFormat="1" ht="15.75" thickBot="1">
      <c r="A73" s="553"/>
      <c r="B73" s="543"/>
      <c r="C73" s="560"/>
      <c r="D73" s="536"/>
      <c r="E73" s="536"/>
      <c r="F73" s="536"/>
      <c r="G73" s="560"/>
      <c r="H73" s="562"/>
      <c r="I73" s="562"/>
      <c r="J73" s="562"/>
      <c r="K73" s="562"/>
      <c r="L73" s="562"/>
      <c r="M73" s="563"/>
      <c r="N73" s="1157"/>
      <c r="O73" s="1157"/>
      <c r="P73" s="2634"/>
      <c r="Q73" s="559"/>
    </row>
    <row r="74" spans="1:17" s="471" customFormat="1" ht="15.75" thickTop="1">
      <c r="A74" s="553"/>
      <c r="B74" s="546">
        <f>B14</f>
        <v>111</v>
      </c>
      <c r="C74" s="554"/>
      <c r="D74" s="554"/>
      <c r="E74" s="554"/>
      <c r="F74" s="554"/>
      <c r="G74" s="523"/>
      <c r="H74" s="564"/>
      <c r="I74" s="564"/>
      <c r="J74" s="564"/>
      <c r="K74" s="564"/>
      <c r="L74" s="565"/>
      <c r="M74" s="566"/>
      <c r="N74" s="1157"/>
      <c r="O74" s="1157"/>
      <c r="P74" s="2636"/>
      <c r="Q74" s="559"/>
    </row>
    <row r="75" spans="1:17" s="471" customFormat="1" ht="15.75" thickBot="1">
      <c r="A75" s="568"/>
      <c r="B75" s="569"/>
      <c r="C75" s="570"/>
      <c r="D75" s="570"/>
      <c r="E75" s="570"/>
      <c r="F75" s="570"/>
      <c r="G75" s="570"/>
      <c r="H75" s="571"/>
      <c r="I75" s="571"/>
      <c r="J75" s="571"/>
      <c r="K75" s="571"/>
      <c r="L75" s="571"/>
      <c r="M75" s="572"/>
      <c r="N75" s="1157"/>
      <c r="O75" s="1157"/>
      <c r="P75" s="2634"/>
      <c r="Q75" s="559"/>
    </row>
    <row r="76" spans="1:17">
      <c r="A76" s="527" t="s">
        <v>2550</v>
      </c>
      <c r="B76" s="528" t="s">
        <v>2587</v>
      </c>
      <c r="C76" s="573" t="s">
        <v>2588</v>
      </c>
      <c r="D76" s="573" t="s">
        <v>2589</v>
      </c>
      <c r="E76" s="573" t="s">
        <v>2590</v>
      </c>
      <c r="F76" s="573" t="s">
        <v>2591</v>
      </c>
      <c r="G76" s="573" t="s">
        <v>2592</v>
      </c>
      <c r="H76" s="529"/>
      <c r="I76" s="529"/>
      <c r="J76" s="529"/>
      <c r="K76" s="574"/>
      <c r="L76" s="575"/>
      <c r="M76" s="576"/>
      <c r="N76" s="1155"/>
      <c r="O76" s="1155"/>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3"/>
      <c r="Q77" s="504"/>
    </row>
    <row r="78" spans="1:17" ht="15.75" thickTop="1">
      <c r="A78" s="534"/>
      <c r="B78" s="538" t="s">
        <v>2593</v>
      </c>
      <c r="C78" s="578" t="s">
        <v>2588</v>
      </c>
      <c r="D78" s="578" t="s">
        <v>2589</v>
      </c>
      <c r="E78" s="578" t="s">
        <v>2590</v>
      </c>
      <c r="F78" s="578" t="s">
        <v>2591</v>
      </c>
      <c r="G78" s="578" t="s">
        <v>2592</v>
      </c>
      <c r="H78" s="539"/>
      <c r="I78" s="539"/>
      <c r="J78" s="539"/>
      <c r="K78" s="540"/>
      <c r="L78" s="541"/>
      <c r="M78" s="542"/>
      <c r="N78" s="1155"/>
      <c r="O78" s="1155"/>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3"/>
      <c r="Q79" s="504"/>
    </row>
    <row r="80" spans="1:17" ht="15.75" thickTop="1">
      <c r="A80" s="534"/>
      <c r="B80" s="538" t="s">
        <v>2594</v>
      </c>
      <c r="C80" s="578" t="s">
        <v>2588</v>
      </c>
      <c r="D80" s="578" t="s">
        <v>2589</v>
      </c>
      <c r="E80" s="578" t="s">
        <v>2590</v>
      </c>
      <c r="F80" s="578" t="s">
        <v>2591</v>
      </c>
      <c r="G80" s="578" t="s">
        <v>2592</v>
      </c>
      <c r="H80" s="539"/>
      <c r="I80" s="539"/>
      <c r="J80" s="539"/>
      <c r="K80" s="540"/>
      <c r="L80" s="541"/>
      <c r="M80" s="542"/>
      <c r="N80" s="1155"/>
      <c r="O80" s="1155"/>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3"/>
      <c r="Q81" s="504"/>
    </row>
    <row r="82" spans="1:17" ht="15.75" thickTop="1">
      <c r="A82" s="534"/>
      <c r="B82" s="546" t="s">
        <v>2646</v>
      </c>
      <c r="C82" s="660" t="s">
        <v>2666</v>
      </c>
      <c r="D82" s="660" t="s">
        <v>2667</v>
      </c>
      <c r="E82" s="660" t="s">
        <v>2668</v>
      </c>
      <c r="F82" s="660" t="s">
        <v>2669</v>
      </c>
      <c r="G82" s="660" t="s">
        <v>2670</v>
      </c>
      <c r="H82" s="539"/>
      <c r="I82" s="539"/>
      <c r="J82" s="539"/>
      <c r="K82" s="539"/>
      <c r="L82" s="539"/>
      <c r="M82" s="1385"/>
      <c r="N82" s="1156"/>
      <c r="O82" s="1156"/>
      <c r="P82" s="2633"/>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3"/>
      <c r="Q83" s="504"/>
    </row>
    <row r="84" spans="1:17" ht="15.75" thickTop="1">
      <c r="A84" s="534"/>
      <c r="B84" s="538" t="s">
        <v>2600</v>
      </c>
      <c r="C84" s="578" t="s">
        <v>2588</v>
      </c>
      <c r="D84" s="578" t="s">
        <v>2589</v>
      </c>
      <c r="E84" s="578" t="s">
        <v>2590</v>
      </c>
      <c r="F84" s="578" t="s">
        <v>2591</v>
      </c>
      <c r="G84" s="578" t="s">
        <v>2592</v>
      </c>
      <c r="H84" s="539"/>
      <c r="I84" s="539"/>
      <c r="J84" s="539"/>
      <c r="K84" s="540"/>
      <c r="L84" s="541"/>
      <c r="M84" s="542"/>
      <c r="N84" s="1155"/>
      <c r="O84" s="1155"/>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3"/>
      <c r="Q85" s="504"/>
    </row>
    <row r="86" spans="1:17" s="117" customFormat="1" ht="15.75" thickTop="1">
      <c r="A86" s="579"/>
      <c r="B86" s="538" t="s">
        <v>2671</v>
      </c>
      <c r="C86" s="554"/>
      <c r="D86" s="554"/>
      <c r="E86" s="554"/>
      <c r="F86" s="554"/>
      <c r="G86" s="554"/>
      <c r="H86" s="554"/>
      <c r="I86" s="554"/>
      <c r="J86" s="554"/>
      <c r="K86" s="554"/>
      <c r="L86" s="580"/>
      <c r="M86" s="581"/>
      <c r="N86" s="1154"/>
      <c r="O86" s="1154"/>
      <c r="P86" s="2633"/>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3"/>
      <c r="Q87" s="504"/>
    </row>
    <row r="88" spans="1:17" s="117" customFormat="1" ht="15.75" thickTop="1">
      <c r="A88" s="579"/>
      <c r="B88" s="538" t="str">
        <f>B26</f>
        <v>平面位置/可视性</v>
      </c>
      <c r="C88" s="554"/>
      <c r="D88" s="554"/>
      <c r="E88" s="554"/>
      <c r="F88" s="2638"/>
      <c r="G88" s="554"/>
      <c r="H88" s="554"/>
      <c r="I88" s="554"/>
      <c r="J88" s="554"/>
      <c r="K88" s="554"/>
      <c r="L88" s="554"/>
      <c r="M88" s="581"/>
      <c r="N88" s="1154"/>
      <c r="O88" s="1154"/>
      <c r="P88" s="2633"/>
      <c r="Q88" s="504"/>
    </row>
    <row r="89" spans="1:17" s="117" customFormat="1" ht="15.75" thickBot="1">
      <c r="A89" s="579"/>
      <c r="B89" s="543"/>
      <c r="C89" s="560"/>
      <c r="D89" s="536"/>
      <c r="E89" s="536"/>
      <c r="F89" s="536"/>
      <c r="G89" s="536"/>
      <c r="H89" s="536"/>
      <c r="I89" s="536"/>
      <c r="J89" s="536"/>
      <c r="K89" s="536"/>
      <c r="L89" s="536"/>
      <c r="M89" s="536"/>
      <c r="N89" s="1156"/>
      <c r="O89" s="1156"/>
      <c r="P89" s="2633"/>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4"/>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4"/>
      <c r="Q91" s="559"/>
    </row>
    <row r="92" spans="1:17" ht="15.75" thickTop="1">
      <c r="A92" s="534"/>
      <c r="B92" s="538" t="str">
        <f>B28</f>
        <v>楼层</v>
      </c>
      <c r="C92" s="554"/>
      <c r="D92" s="554"/>
      <c r="E92" s="554"/>
      <c r="F92" s="554"/>
      <c r="G92" s="554"/>
      <c r="H92" s="554"/>
      <c r="I92" s="554"/>
      <c r="J92" s="554"/>
      <c r="K92" s="554"/>
      <c r="L92" s="580"/>
      <c r="M92" s="581"/>
      <c r="N92" s="1155"/>
      <c r="O92" s="1155"/>
      <c r="P92" s="2633"/>
      <c r="Q92" s="504"/>
    </row>
    <row r="93" spans="1:17" ht="15.75" thickBot="1">
      <c r="A93" s="534"/>
      <c r="B93" s="543"/>
      <c r="C93" s="536"/>
      <c r="D93" s="536"/>
      <c r="E93" s="536"/>
      <c r="F93" s="536"/>
      <c r="G93" s="536"/>
      <c r="H93" s="536"/>
      <c r="I93" s="536"/>
      <c r="J93" s="536"/>
      <c r="K93" s="536"/>
      <c r="L93" s="536"/>
      <c r="M93" s="537"/>
      <c r="N93" s="1156"/>
      <c r="O93" s="1156"/>
      <c r="P93" s="2633"/>
      <c r="Q93" s="504"/>
    </row>
    <row r="94" spans="1:17" ht="15.75" thickTop="1">
      <c r="A94" s="534"/>
      <c r="B94" s="538">
        <f>B29</f>
        <v>111</v>
      </c>
      <c r="C94" s="554"/>
      <c r="D94" s="554"/>
      <c r="E94" s="554"/>
      <c r="F94" s="554"/>
      <c r="G94" s="583"/>
      <c r="H94" s="583"/>
      <c r="I94" s="583"/>
      <c r="J94" s="583"/>
      <c r="K94" s="584"/>
      <c r="L94" s="585"/>
      <c r="M94" s="586"/>
      <c r="N94" s="1155"/>
      <c r="O94" s="1155"/>
      <c r="P94" s="2633"/>
      <c r="Q94" s="504"/>
    </row>
    <row r="95" spans="1:17" ht="15.75" thickBot="1">
      <c r="A95" s="534"/>
      <c r="B95" s="543"/>
      <c r="C95" s="560"/>
      <c r="D95" s="536"/>
      <c r="E95" s="536"/>
      <c r="F95" s="536"/>
      <c r="G95" s="536"/>
      <c r="H95" s="536"/>
      <c r="I95" s="536"/>
      <c r="J95" s="536"/>
      <c r="K95" s="536"/>
      <c r="L95" s="536"/>
      <c r="M95" s="537"/>
      <c r="N95" s="1156"/>
      <c r="O95" s="1156"/>
      <c r="P95" s="2633"/>
      <c r="Q95" s="504"/>
    </row>
    <row r="96" spans="1:17" ht="15.75" thickTop="1">
      <c r="A96" s="534"/>
      <c r="B96" s="538">
        <f>B30</f>
        <v>111</v>
      </c>
      <c r="C96" s="554"/>
      <c r="D96" s="554"/>
      <c r="E96" s="554"/>
      <c r="F96" s="554"/>
      <c r="G96" s="583"/>
      <c r="H96" s="583"/>
      <c r="I96" s="583"/>
      <c r="J96" s="583"/>
      <c r="K96" s="584"/>
      <c r="L96" s="585"/>
      <c r="M96" s="586"/>
      <c r="N96" s="1155"/>
      <c r="O96" s="1155"/>
      <c r="P96" s="2633"/>
      <c r="Q96" s="504"/>
    </row>
    <row r="97" spans="1:17" ht="15.75" thickBot="1">
      <c r="A97" s="534"/>
      <c r="B97" s="543"/>
      <c r="C97" s="560"/>
      <c r="D97" s="536"/>
      <c r="E97" s="536"/>
      <c r="F97" s="536"/>
      <c r="G97" s="536"/>
      <c r="H97" s="536"/>
      <c r="I97" s="536"/>
      <c r="J97" s="536"/>
      <c r="K97" s="536"/>
      <c r="L97" s="536"/>
      <c r="M97" s="537"/>
      <c r="N97" s="1156"/>
      <c r="O97" s="1156"/>
      <c r="P97" s="2633"/>
      <c r="Q97" s="504"/>
    </row>
    <row r="98" spans="1:17" ht="15.75" thickTop="1">
      <c r="A98" s="534"/>
      <c r="B98" s="546">
        <f>B31</f>
        <v>111</v>
      </c>
      <c r="C98" s="554"/>
      <c r="D98" s="554"/>
      <c r="E98" s="554"/>
      <c r="F98" s="554"/>
      <c r="G98" s="587"/>
      <c r="H98" s="587"/>
      <c r="I98" s="587"/>
      <c r="J98" s="587"/>
      <c r="K98" s="588"/>
      <c r="L98" s="589"/>
      <c r="M98" s="590"/>
      <c r="N98" s="1155"/>
      <c r="O98" s="1155"/>
      <c r="P98" s="2633"/>
      <c r="Q98" s="504"/>
    </row>
    <row r="99" spans="1:17" ht="15.75" thickBot="1">
      <c r="A99" s="2639"/>
      <c r="B99" s="569"/>
      <c r="C99" s="570"/>
      <c r="D99" s="570"/>
      <c r="E99" s="570"/>
      <c r="F99" s="570"/>
      <c r="G99" s="591"/>
      <c r="H99" s="591"/>
      <c r="I99" s="591"/>
      <c r="J99" s="591"/>
      <c r="K99" s="591"/>
      <c r="L99" s="591"/>
      <c r="M99" s="592"/>
      <c r="N99" s="1156"/>
      <c r="O99" s="1156"/>
      <c r="P99" s="2633"/>
      <c r="Q99" s="504"/>
    </row>
    <row r="100" spans="1:17">
      <c r="A100" s="527" t="s">
        <v>2554</v>
      </c>
      <c r="B100" s="528" t="s">
        <v>2672</v>
      </c>
      <c r="C100" s="530"/>
      <c r="D100" s="530"/>
      <c r="E100" s="530"/>
      <c r="F100" s="530"/>
      <c r="G100" s="530"/>
      <c r="H100" s="530"/>
      <c r="I100" s="530"/>
      <c r="J100" s="530"/>
      <c r="K100" s="531"/>
      <c r="L100" s="532"/>
      <c r="M100" s="533"/>
      <c r="N100" s="1155"/>
      <c r="O100" s="1155"/>
      <c r="P100" s="2633"/>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3"/>
      <c r="Q101" s="504"/>
    </row>
    <row r="102" spans="1:17" ht="15.75" thickTop="1">
      <c r="A102" s="534"/>
      <c r="B102" s="538" t="s">
        <v>2604</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3"/>
      <c r="Q102" s="504"/>
    </row>
    <row r="103" spans="1:17" s="471" customFormat="1">
      <c r="A103" s="593"/>
      <c r="B103" s="594"/>
      <c r="C103" s="595"/>
      <c r="D103" s="595"/>
      <c r="E103" s="595"/>
      <c r="F103" s="595"/>
      <c r="G103" s="595"/>
      <c r="H103" s="595"/>
      <c r="I103" s="595"/>
      <c r="J103" s="596"/>
      <c r="K103" s="596"/>
      <c r="L103" s="597"/>
      <c r="M103" s="598"/>
      <c r="N103" s="1157"/>
      <c r="O103" s="1157"/>
      <c r="P103" s="2634"/>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4"/>
      <c r="Q104" s="559"/>
    </row>
    <row r="105" spans="1:17" ht="15" thickTop="1">
      <c r="A105" s="599"/>
      <c r="B105" s="538" t="s">
        <v>2605</v>
      </c>
      <c r="C105" s="554"/>
      <c r="D105" s="554"/>
      <c r="E105" s="583"/>
      <c r="F105" s="583"/>
      <c r="G105" s="583"/>
      <c r="H105" s="583"/>
      <c r="I105" s="583"/>
      <c r="J105" s="583"/>
      <c r="K105" s="584"/>
      <c r="L105" s="585"/>
      <c r="M105" s="586"/>
      <c r="N105" s="1155"/>
      <c r="O105" s="1155"/>
      <c r="P105" s="2633"/>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3"/>
      <c r="Q106" s="504"/>
    </row>
    <row r="107" spans="1:17" ht="15" thickTop="1">
      <c r="A107" s="599"/>
      <c r="B107" s="538" t="s">
        <v>2607</v>
      </c>
      <c r="C107" s="554"/>
      <c r="D107" s="554"/>
      <c r="E107" s="554"/>
      <c r="F107" s="583"/>
      <c r="G107" s="583"/>
      <c r="H107" s="583"/>
      <c r="I107" s="583"/>
      <c r="J107" s="583"/>
      <c r="K107" s="584"/>
      <c r="L107" s="585"/>
      <c r="M107" s="586"/>
      <c r="N107" s="1155"/>
      <c r="O107" s="1155"/>
      <c r="P107" s="2633"/>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3"/>
      <c r="Q108" s="504"/>
    </row>
    <row r="109" spans="1:17" ht="15" thickTop="1">
      <c r="A109" s="599"/>
      <c r="B109" s="538" t="s">
        <v>1988</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3"/>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3"/>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3"/>
      <c r="Q111" s="504"/>
    </row>
    <row r="112" spans="1:17" s="471" customFormat="1" ht="15" thickTop="1">
      <c r="A112" s="593"/>
      <c r="B112" s="538" t="s">
        <v>2609</v>
      </c>
      <c r="C112" s="554"/>
      <c r="D112" s="554"/>
      <c r="E112" s="554"/>
      <c r="F112" s="554"/>
      <c r="G112" s="554"/>
      <c r="H112" s="583"/>
      <c r="I112" s="583"/>
      <c r="J112" s="583"/>
      <c r="K112" s="584"/>
      <c r="L112" s="585"/>
      <c r="M112" s="586"/>
      <c r="N112" s="1157"/>
      <c r="O112" s="1157"/>
      <c r="P112" s="2634"/>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4"/>
      <c r="Q113" s="559"/>
    </row>
    <row r="114" spans="1:17" ht="15" thickTop="1">
      <c r="A114" s="599"/>
      <c r="B114" s="538" t="s">
        <v>2673</v>
      </c>
      <c r="C114" s="554"/>
      <c r="D114" s="554"/>
      <c r="E114" s="583"/>
      <c r="F114" s="583"/>
      <c r="G114" s="583"/>
      <c r="H114" s="583"/>
      <c r="I114" s="583"/>
      <c r="J114" s="583"/>
      <c r="K114" s="584"/>
      <c r="L114" s="585"/>
      <c r="M114" s="586"/>
      <c r="N114" s="1155"/>
      <c r="O114" s="1155"/>
      <c r="P114" s="2633"/>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3"/>
      <c r="Q115" s="504"/>
    </row>
    <row r="116" spans="1:17" ht="15" thickTop="1">
      <c r="A116" s="599"/>
      <c r="B116" s="538" t="s">
        <v>2674</v>
      </c>
      <c r="C116" s="554"/>
      <c r="D116" s="554"/>
      <c r="E116" s="554"/>
      <c r="F116" s="554"/>
      <c r="G116" s="554"/>
      <c r="H116" s="583"/>
      <c r="I116" s="583"/>
      <c r="J116" s="583"/>
      <c r="K116" s="584"/>
      <c r="L116" s="585"/>
      <c r="M116" s="586"/>
      <c r="N116" s="1155"/>
      <c r="O116" s="1155"/>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3"/>
      <c r="Q117" s="504"/>
    </row>
    <row r="118" spans="1:17" ht="15" thickTop="1">
      <c r="A118" s="599"/>
      <c r="B118" s="538" t="s">
        <v>2675</v>
      </c>
      <c r="C118" s="627"/>
      <c r="D118" s="627"/>
      <c r="E118" s="627"/>
      <c r="F118" s="627"/>
      <c r="G118" s="627"/>
      <c r="H118" s="555"/>
      <c r="I118" s="555"/>
      <c r="J118" s="555"/>
      <c r="K118" s="555"/>
      <c r="L118" s="556"/>
      <c r="M118" s="557"/>
      <c r="N118" s="1155"/>
      <c r="O118" s="1155"/>
      <c r="P118" s="2633"/>
      <c r="Q118" s="504"/>
    </row>
    <row r="119" spans="1:17" ht="15.75" thickBot="1">
      <c r="A119" s="534"/>
      <c r="B119" s="543"/>
      <c r="C119" s="560"/>
      <c r="D119" s="536"/>
      <c r="E119" s="536"/>
      <c r="F119" s="536"/>
      <c r="G119" s="536"/>
      <c r="H119" s="536"/>
      <c r="I119" s="536"/>
      <c r="J119" s="536"/>
      <c r="K119" s="536"/>
      <c r="L119" s="536"/>
      <c r="M119" s="537"/>
      <c r="N119" s="1156"/>
      <c r="O119" s="1156"/>
      <c r="P119" s="2633"/>
      <c r="Q119" s="504"/>
    </row>
    <row r="120" spans="1:17" s="471" customFormat="1" ht="15" thickTop="1">
      <c r="A120" s="593"/>
      <c r="B120" s="538" t="s">
        <v>2676</v>
      </c>
      <c r="C120" s="583"/>
      <c r="D120" s="583"/>
      <c r="E120" s="583"/>
      <c r="F120" s="583"/>
      <c r="G120" s="555"/>
      <c r="H120" s="555"/>
      <c r="I120" s="555"/>
      <c r="J120" s="555"/>
      <c r="K120" s="555"/>
      <c r="L120" s="556"/>
      <c r="M120" s="557"/>
      <c r="N120" s="1157"/>
      <c r="O120" s="1157"/>
      <c r="P120" s="2634"/>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4"/>
      <c r="Q121" s="559"/>
    </row>
    <row r="122" spans="1:17" ht="15" thickTop="1">
      <c r="A122" s="599"/>
      <c r="B122" s="538" t="s">
        <v>2611</v>
      </c>
      <c r="C122" s="554"/>
      <c r="D122" s="554"/>
      <c r="E122" s="554"/>
      <c r="F122" s="583"/>
      <c r="G122" s="583"/>
      <c r="H122" s="583"/>
      <c r="I122" s="583"/>
      <c r="J122" s="583"/>
      <c r="K122" s="584"/>
      <c r="L122" s="585"/>
      <c r="M122" s="586"/>
      <c r="N122" s="1155"/>
      <c r="O122" s="1155"/>
      <c r="P122" s="2633"/>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3"/>
      <c r="Q123" s="504"/>
    </row>
    <row r="124" spans="1:17" ht="15" thickTop="1">
      <c r="A124" s="599"/>
      <c r="B124" s="538" t="s">
        <v>2612</v>
      </c>
      <c r="C124" s="578" t="s">
        <v>2588</v>
      </c>
      <c r="D124" s="578" t="s">
        <v>2589</v>
      </c>
      <c r="E124" s="578" t="s">
        <v>2590</v>
      </c>
      <c r="F124" s="578" t="s">
        <v>2591</v>
      </c>
      <c r="G124" s="578" t="s">
        <v>2592</v>
      </c>
      <c r="H124" s="539"/>
      <c r="I124" s="539"/>
      <c r="J124" s="539"/>
      <c r="K124" s="540"/>
      <c r="L124" s="541"/>
      <c r="M124" s="542"/>
      <c r="N124" s="1155"/>
      <c r="O124" s="1155"/>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3"/>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4"/>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4"/>
      <c r="Q127" s="559"/>
    </row>
    <row r="128" spans="1:17" ht="15" thickTop="1">
      <c r="A128" s="599"/>
      <c r="B128" s="538">
        <f>B45</f>
        <v>111</v>
      </c>
      <c r="C128" s="554"/>
      <c r="D128" s="554"/>
      <c r="E128" s="554"/>
      <c r="F128" s="554"/>
      <c r="G128" s="583"/>
      <c r="H128" s="583"/>
      <c r="I128" s="583"/>
      <c r="J128" s="583"/>
      <c r="K128" s="584"/>
      <c r="L128" s="585"/>
      <c r="M128" s="586"/>
      <c r="N128" s="1155"/>
      <c r="O128" s="1155"/>
      <c r="P128" s="2633"/>
      <c r="Q128" s="504"/>
    </row>
    <row r="129" spans="1:17" ht="15.75" thickBot="1">
      <c r="A129" s="534"/>
      <c r="B129" s="543"/>
      <c r="C129" s="560"/>
      <c r="D129" s="536"/>
      <c r="E129" s="536"/>
      <c r="F129" s="536"/>
      <c r="G129" s="536"/>
      <c r="H129" s="536"/>
      <c r="I129" s="536"/>
      <c r="J129" s="536"/>
      <c r="K129" s="536"/>
      <c r="L129" s="536"/>
      <c r="M129" s="537"/>
      <c r="N129" s="1156"/>
      <c r="O129" s="1156"/>
      <c r="P129" s="2633"/>
      <c r="Q129" s="504"/>
    </row>
    <row r="130" spans="1:17" ht="15" thickTop="1">
      <c r="A130" s="599"/>
      <c r="B130" s="546">
        <f>B46</f>
        <v>111</v>
      </c>
      <c r="C130" s="554"/>
      <c r="D130" s="554"/>
      <c r="E130" s="554"/>
      <c r="F130" s="554"/>
      <c r="G130" s="587"/>
      <c r="H130" s="587"/>
      <c r="I130" s="587"/>
      <c r="J130" s="587"/>
      <c r="K130" s="523"/>
      <c r="L130" s="524"/>
      <c r="M130" s="590"/>
      <c r="N130" s="1155"/>
      <c r="O130" s="1155"/>
      <c r="P130" s="2633"/>
      <c r="Q130" s="504"/>
    </row>
    <row r="131" spans="1:17" ht="15.75" thickBot="1">
      <c r="A131" s="2639"/>
      <c r="B131" s="569"/>
      <c r="C131" s="570"/>
      <c r="D131" s="570"/>
      <c r="E131" s="570"/>
      <c r="F131" s="570"/>
      <c r="G131" s="591"/>
      <c r="H131" s="591"/>
      <c r="I131" s="591"/>
      <c r="J131" s="591"/>
      <c r="K131" s="591"/>
      <c r="L131" s="591"/>
      <c r="M131" s="592"/>
      <c r="N131" s="1156"/>
      <c r="O131" s="1156"/>
      <c r="P131" s="2633"/>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N6" sqref="AN6"/>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2519</v>
      </c>
      <c r="B1" s="2672" t="s">
        <v>2677</v>
      </c>
      <c r="C1" s="1623" t="s">
        <v>2521</v>
      </c>
      <c r="D1" s="1624"/>
      <c r="E1" s="1633"/>
      <c r="F1" s="2587"/>
      <c r="G1" s="1634" t="s">
        <v>2634</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2318</v>
      </c>
      <c r="B2" s="1421" t="e">
        <f ca="1">IF(C2="——",ROUND(C50*D3/10000,0),ROUND(C50*D3/10000,0)-D2)</f>
        <v>#DIV/0!</v>
      </c>
      <c r="C2" s="2589"/>
      <c r="D2" s="1368" t="e">
        <f ca="1">SUMIF(INDIRECT("'"&amp;F2&amp;"'"&amp;"!A:A"),"承租人权益价值",INDIRECT("'"&amp;F2&amp;"'"&amp;"!c:c"))</f>
        <v>#REF!</v>
      </c>
      <c r="E2" s="2590" t="s">
        <v>2319</v>
      </c>
      <c r="F2" s="2591"/>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2320</v>
      </c>
      <c r="B3" s="609" t="e">
        <f ca="1">IF(C2="——",C50,ROUND(B2*10000/D3,0))</f>
        <v>#DIV/0!</v>
      </c>
      <c r="C3" s="400" t="s">
        <v>2635</v>
      </c>
      <c r="D3" s="399">
        <f>IF(D1="",'数据-汇总表'!E3,SUMIF('数据-汇总表'!$C19:$C33,D1,'数据-汇总表'!$E19:$E33))</f>
        <v>134490.28</v>
      </c>
      <c r="E3" s="2666"/>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2636</v>
      </c>
      <c r="B4" s="402"/>
      <c r="C4" s="3227" t="s">
        <v>2637</v>
      </c>
      <c r="D4" s="3228"/>
      <c r="E4" s="3229" t="s">
        <v>2638</v>
      </c>
      <c r="F4" s="3230"/>
      <c r="G4" s="3227" t="s">
        <v>2639</v>
      </c>
      <c r="H4" s="3228"/>
      <c r="I4" s="3227" t="s">
        <v>2640</v>
      </c>
      <c r="J4" s="3228"/>
      <c r="K4" s="610" t="s">
        <v>2641</v>
      </c>
      <c r="L4" s="1133"/>
      <c r="M4" s="1134"/>
      <c r="N4" s="1134"/>
      <c r="O4" s="1134"/>
      <c r="P4" s="3261" t="s">
        <v>2642</v>
      </c>
      <c r="Q4" s="3262"/>
      <c r="R4" s="3265" t="s">
        <v>2638</v>
      </c>
      <c r="S4" s="3266"/>
      <c r="T4" s="3265" t="s">
        <v>2639</v>
      </c>
      <c r="U4" s="3266"/>
      <c r="V4" s="3267" t="s">
        <v>2640</v>
      </c>
      <c r="W4" s="3267"/>
      <c r="X4" s="2673"/>
      <c r="Y4" s="3265" t="s">
        <v>2642</v>
      </c>
      <c r="Z4" s="3266"/>
      <c r="AA4" s="3269" t="s">
        <v>2638</v>
      </c>
      <c r="AB4" s="3269" t="s">
        <v>2639</v>
      </c>
      <c r="AC4" s="3258" t="s">
        <v>2640</v>
      </c>
    </row>
    <row r="5" spans="1:29" ht="15">
      <c r="A5" s="404"/>
      <c r="B5" s="405"/>
      <c r="C5" s="3246" t="s">
        <v>2533</v>
      </c>
      <c r="D5" s="3247"/>
      <c r="E5" s="3253" t="s">
        <v>2534</v>
      </c>
      <c r="F5" s="3254"/>
      <c r="G5" s="3246" t="s">
        <v>2535</v>
      </c>
      <c r="H5" s="3247"/>
      <c r="I5" s="3246" t="s">
        <v>2536</v>
      </c>
      <c r="J5" s="3247"/>
      <c r="K5" s="610"/>
      <c r="L5" s="1133"/>
      <c r="M5" s="1134"/>
      <c r="N5" s="1134"/>
      <c r="O5" s="1134"/>
      <c r="P5" s="3263"/>
      <c r="Q5" s="3234"/>
      <c r="R5" s="3239"/>
      <c r="S5" s="3240"/>
      <c r="T5" s="3239"/>
      <c r="U5" s="3240"/>
      <c r="V5" s="3243"/>
      <c r="W5" s="3243"/>
      <c r="X5" s="1816"/>
      <c r="Y5" s="3239"/>
      <c r="Z5" s="3240"/>
      <c r="AA5" s="3225"/>
      <c r="AB5" s="3225"/>
      <c r="AC5" s="3259"/>
    </row>
    <row r="6" spans="1:29" ht="15.75" thickBot="1">
      <c r="A6" s="406"/>
      <c r="B6" s="407"/>
      <c r="C6" s="3244" t="s">
        <v>2537</v>
      </c>
      <c r="D6" s="3245"/>
      <c r="E6" s="3251" t="s">
        <v>2537</v>
      </c>
      <c r="F6" s="3252"/>
      <c r="G6" s="3244" t="s">
        <v>2537</v>
      </c>
      <c r="H6" s="3245"/>
      <c r="I6" s="3244" t="s">
        <v>2537</v>
      </c>
      <c r="J6" s="3245"/>
      <c r="K6" s="610" t="s">
        <v>2538</v>
      </c>
      <c r="L6" s="1133"/>
      <c r="M6" s="1134"/>
      <c r="N6" s="1134"/>
      <c r="O6" s="1134"/>
      <c r="P6" s="3264"/>
      <c r="Q6" s="3236"/>
      <c r="R6" s="3239"/>
      <c r="S6" s="3240"/>
      <c r="T6" s="3241"/>
      <c r="U6" s="3242"/>
      <c r="V6" s="3243"/>
      <c r="W6" s="3243"/>
      <c r="X6" s="1816"/>
      <c r="Y6" s="3241"/>
      <c r="Z6" s="3242"/>
      <c r="AA6" s="3226"/>
      <c r="AB6" s="3226"/>
      <c r="AC6" s="3260"/>
    </row>
    <row r="7" spans="1:29" s="117" customFormat="1" ht="15.75" thickBot="1">
      <c r="A7" s="408" t="s">
        <v>2539</v>
      </c>
      <c r="B7" s="409"/>
      <c r="C7" s="410">
        <f>'数据-取费表'!B2</f>
        <v>43528</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68" t="s">
        <v>2540</v>
      </c>
      <c r="Q7" s="3250"/>
      <c r="R7" s="770" t="s">
        <v>17</v>
      </c>
      <c r="S7" s="771">
        <f t="shared" ref="S7:S15" si="0">F7</f>
        <v>0</v>
      </c>
      <c r="T7" s="770" t="s">
        <v>17</v>
      </c>
      <c r="U7" s="771">
        <f t="shared" ref="U7:U15" si="1">H7</f>
        <v>0</v>
      </c>
      <c r="V7" s="770" t="s">
        <v>17</v>
      </c>
      <c r="W7" s="771">
        <f t="shared" ref="W7:W15" si="2">J7</f>
        <v>0</v>
      </c>
      <c r="X7" s="772"/>
      <c r="Y7" s="3248" t="s">
        <v>2540</v>
      </c>
      <c r="Z7" s="3249"/>
      <c r="AA7" s="773" t="e">
        <f>D7/F7</f>
        <v>#DIV/0!</v>
      </c>
      <c r="AB7" s="773" t="e">
        <f>D7/H7</f>
        <v>#DIV/0!</v>
      </c>
      <c r="AC7" s="2674" t="e">
        <f>D7/J7</f>
        <v>#DIV/0!</v>
      </c>
    </row>
    <row r="8" spans="1:29" s="117" customFormat="1" ht="15.75" thickBot="1">
      <c r="A8" s="408" t="s">
        <v>2541</v>
      </c>
      <c r="B8" s="409"/>
      <c r="C8" s="414" t="s">
        <v>2643</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68" t="s">
        <v>2543</v>
      </c>
      <c r="Q8" s="3249"/>
      <c r="R8" s="770" t="s">
        <v>17</v>
      </c>
      <c r="S8" s="771">
        <f t="shared" si="0"/>
        <v>0</v>
      </c>
      <c r="T8" s="770" t="s">
        <v>17</v>
      </c>
      <c r="U8" s="771">
        <f t="shared" si="1"/>
        <v>0</v>
      </c>
      <c r="V8" s="770" t="s">
        <v>17</v>
      </c>
      <c r="W8" s="771">
        <f t="shared" si="2"/>
        <v>0</v>
      </c>
      <c r="X8" s="772"/>
      <c r="Y8" s="3248" t="s">
        <v>2543</v>
      </c>
      <c r="Z8" s="3249"/>
      <c r="AA8" s="773" t="e">
        <f t="shared" ref="AA8:AA47" si="3">D8/F8</f>
        <v>#DIV/0!</v>
      </c>
      <c r="AB8" s="773" t="e">
        <f t="shared" ref="AB8:AB47" si="4">D8/H8</f>
        <v>#DIV/0!</v>
      </c>
      <c r="AC8" s="2674" t="e">
        <f t="shared" ref="AC8:AC47" si="5">D8/J8</f>
        <v>#DIV/0!</v>
      </c>
    </row>
    <row r="9" spans="1:29" s="117" customFormat="1">
      <c r="A9" s="415" t="s">
        <v>2544</v>
      </c>
      <c r="B9" s="71" t="s">
        <v>2545</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223" t="s">
        <v>2546</v>
      </c>
      <c r="Q9" s="1798" t="str">
        <f t="shared" ref="Q9:Q15" si="6">B9</f>
        <v>用途</v>
      </c>
      <c r="R9" s="770" t="s">
        <v>17</v>
      </c>
      <c r="S9" s="771">
        <f t="shared" si="0"/>
        <v>100</v>
      </c>
      <c r="T9" s="770" t="s">
        <v>17</v>
      </c>
      <c r="U9" s="771">
        <f t="shared" si="1"/>
        <v>100</v>
      </c>
      <c r="V9" s="770" t="s">
        <v>17</v>
      </c>
      <c r="W9" s="771">
        <f t="shared" si="2"/>
        <v>100</v>
      </c>
      <c r="X9" s="772"/>
      <c r="Y9" s="3037" t="s">
        <v>2547</v>
      </c>
      <c r="Z9" s="55" t="str">
        <f t="shared" ref="Z9:Z15" si="7">Q9</f>
        <v>用途</v>
      </c>
      <c r="AA9" s="773">
        <f t="shared" si="3"/>
        <v>1</v>
      </c>
      <c r="AB9" s="773">
        <f t="shared" si="4"/>
        <v>1</v>
      </c>
      <c r="AC9" s="2674">
        <f t="shared" si="5"/>
        <v>1</v>
      </c>
    </row>
    <row r="10" spans="1:29" s="427" customFormat="1" ht="27">
      <c r="A10" s="421"/>
      <c r="B10" s="422" t="s">
        <v>2548</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223"/>
      <c r="Q10" s="1798"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2674">
        <f t="shared" si="5"/>
        <v>1</v>
      </c>
    </row>
    <row r="11" spans="1:29" ht="15">
      <c r="A11" s="428"/>
      <c r="B11" s="422" t="s">
        <v>2549</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223"/>
      <c r="Q11" s="1798" t="str">
        <f t="shared" si="6"/>
        <v>容积率</v>
      </c>
      <c r="R11" s="770" t="s">
        <v>17</v>
      </c>
      <c r="S11" s="771" t="e">
        <f t="shared" si="0"/>
        <v>#N/A</v>
      </c>
      <c r="T11" s="770" t="s">
        <v>17</v>
      </c>
      <c r="U11" s="771" t="e">
        <f t="shared" si="1"/>
        <v>#N/A</v>
      </c>
      <c r="V11" s="770" t="s">
        <v>17</v>
      </c>
      <c r="W11" s="771" t="e">
        <f t="shared" si="2"/>
        <v>#N/A</v>
      </c>
      <c r="X11" s="772"/>
      <c r="Y11" s="3037"/>
      <c r="Z11" s="55" t="str">
        <f t="shared" si="7"/>
        <v>容积率</v>
      </c>
      <c r="AA11" s="773" t="e">
        <f t="shared" si="3"/>
        <v>#N/A</v>
      </c>
      <c r="AB11" s="773" t="e">
        <f t="shared" si="4"/>
        <v>#N/A</v>
      </c>
      <c r="AC11" s="2674" t="e">
        <f t="shared" si="5"/>
        <v>#N/A</v>
      </c>
    </row>
    <row r="12" spans="1:29" s="117" customFormat="1" ht="15">
      <c r="A12" s="431"/>
      <c r="B12" s="2603">
        <v>111</v>
      </c>
      <c r="C12" s="432"/>
      <c r="D12" s="433">
        <v>100</v>
      </c>
      <c r="E12" s="432"/>
      <c r="F12" s="136">
        <f>SUMIF(71:71,E12,72:72)-SUMIF(71:71,C12,72:72)+100</f>
        <v>100</v>
      </c>
      <c r="G12" s="2675"/>
      <c r="H12" s="136">
        <f>SUMIF(71:71,G12,72:72)-SUMIF(71:71,C12,72:72)+100</f>
        <v>100</v>
      </c>
      <c r="I12" s="432"/>
      <c r="J12" s="136">
        <f>SUMIF(71:71,I12,72:72)-SUMIF(71:71,C12,72:72)+100</f>
        <v>100</v>
      </c>
      <c r="K12" s="613"/>
      <c r="L12" s="1135"/>
      <c r="M12" s="1136"/>
      <c r="N12" s="1136"/>
      <c r="O12" s="1136"/>
      <c r="P12" s="3223"/>
      <c r="Q12" s="1798">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2674">
        <f>D12/J12</f>
        <v>1</v>
      </c>
    </row>
    <row r="13" spans="1:29" ht="15">
      <c r="A13" s="428"/>
      <c r="B13" s="2603">
        <v>111</v>
      </c>
      <c r="C13" s="434"/>
      <c r="D13" s="435">
        <v>100</v>
      </c>
      <c r="E13" s="432"/>
      <c r="F13" s="136">
        <f>SUMIF(73:73,E13,74:74)-SUMIF(73:73,C13,74:74)+100</f>
        <v>100</v>
      </c>
      <c r="G13" s="2675"/>
      <c r="H13" s="435">
        <f>SUMIF(73:73,G13,74:74)-SUMIF(73:73,C13,74:74)+100</f>
        <v>100</v>
      </c>
      <c r="I13" s="432"/>
      <c r="J13" s="435">
        <f>SUMIF(73:73,I13,74:74)-SUMIF(73:73,C13,74:74)+100</f>
        <v>100</v>
      </c>
      <c r="K13" s="613"/>
      <c r="L13" s="1143"/>
      <c r="M13" s="1134"/>
      <c r="N13" s="1134"/>
      <c r="O13" s="1134"/>
      <c r="P13" s="3223"/>
      <c r="Q13" s="1798">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2674">
        <f t="shared" si="5"/>
        <v>1</v>
      </c>
    </row>
    <row r="14" spans="1:29" ht="15.75" thickBot="1">
      <c r="A14" s="436"/>
      <c r="B14" s="2605">
        <v>111</v>
      </c>
      <c r="C14" s="437"/>
      <c r="D14" s="438">
        <v>100</v>
      </c>
      <c r="E14" s="628"/>
      <c r="F14" s="438">
        <f>SUMIF(75:75,E14,76:76)-SUMIF(75:75,C14,76:76)+100</f>
        <v>100</v>
      </c>
      <c r="G14" s="2675"/>
      <c r="H14" s="438">
        <f>SUMIF(75:75,G14,76:76)-SUMIF(75:75,C14,76:76)+100</f>
        <v>100</v>
      </c>
      <c r="I14" s="432"/>
      <c r="J14" s="438">
        <f>SUMIF(75:75,I14,76:76)-SUMIF(75:75,C14,76:76)+100</f>
        <v>100</v>
      </c>
      <c r="K14" s="613"/>
      <c r="L14" s="1143"/>
      <c r="M14" s="1134"/>
      <c r="N14" s="1134"/>
      <c r="O14" s="1134"/>
      <c r="P14" s="3223"/>
      <c r="Q14" s="1798">
        <f t="shared" si="6"/>
        <v>111</v>
      </c>
      <c r="R14" s="770" t="s">
        <v>17</v>
      </c>
      <c r="S14" s="771">
        <f t="shared" si="0"/>
        <v>100</v>
      </c>
      <c r="T14" s="770" t="s">
        <v>17</v>
      </c>
      <c r="U14" s="771">
        <f t="shared" si="1"/>
        <v>100</v>
      </c>
      <c r="V14" s="770" t="s">
        <v>17</v>
      </c>
      <c r="W14" s="771">
        <f t="shared" si="2"/>
        <v>100</v>
      </c>
      <c r="X14" s="772"/>
      <c r="Y14" s="3037"/>
      <c r="Z14" s="55">
        <f t="shared" si="7"/>
        <v>111</v>
      </c>
      <c r="AA14" s="773">
        <f t="shared" si="3"/>
        <v>1</v>
      </c>
      <c r="AB14" s="773">
        <f t="shared" si="4"/>
        <v>1</v>
      </c>
      <c r="AC14" s="2674">
        <f t="shared" si="5"/>
        <v>1</v>
      </c>
    </row>
    <row r="15" spans="1:29" ht="71.25">
      <c r="A15" s="440" t="s">
        <v>2550</v>
      </c>
      <c r="B15" s="629" t="s">
        <v>2678</v>
      </c>
      <c r="C15" s="2676"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21" t="s">
        <v>2551</v>
      </c>
      <c r="Q15" s="1813" t="str">
        <f t="shared" si="6"/>
        <v>办公集聚程度</v>
      </c>
      <c r="R15" s="774" t="s">
        <v>17</v>
      </c>
      <c r="S15" s="775">
        <f t="shared" si="0"/>
        <v>100</v>
      </c>
      <c r="T15" s="774" t="s">
        <v>17</v>
      </c>
      <c r="U15" s="775">
        <f t="shared" si="1"/>
        <v>100</v>
      </c>
      <c r="V15" s="774" t="s">
        <v>17</v>
      </c>
      <c r="W15" s="775">
        <f t="shared" si="2"/>
        <v>100</v>
      </c>
      <c r="X15" s="1816"/>
      <c r="Y15" s="3214" t="s">
        <v>2551</v>
      </c>
      <c r="Z15" s="1817" t="str">
        <f t="shared" si="7"/>
        <v>办公集聚程度</v>
      </c>
      <c r="AA15" s="1814">
        <f t="shared" si="3"/>
        <v>1</v>
      </c>
      <c r="AB15" s="1814">
        <f t="shared" si="4"/>
        <v>1</v>
      </c>
      <c r="AC15" s="2677">
        <f t="shared" si="5"/>
        <v>1</v>
      </c>
    </row>
    <row r="16" spans="1:29" ht="15">
      <c r="A16" s="428"/>
      <c r="B16" s="630"/>
      <c r="C16" s="2614"/>
      <c r="D16" s="448"/>
      <c r="E16" s="447"/>
      <c r="F16" s="448"/>
      <c r="G16" s="2614"/>
      <c r="H16" s="450"/>
      <c r="I16" s="447"/>
      <c r="J16" s="448"/>
      <c r="K16" s="615"/>
      <c r="L16" s="1143"/>
      <c r="M16" s="1134"/>
      <c r="N16" s="1134"/>
      <c r="O16" s="1134"/>
      <c r="P16" s="3222"/>
      <c r="Q16" s="1813"/>
      <c r="R16" s="774"/>
      <c r="S16" s="775"/>
      <c r="T16" s="774"/>
      <c r="U16" s="775"/>
      <c r="V16" s="774"/>
      <c r="W16" s="775"/>
      <c r="X16" s="1816"/>
      <c r="Y16" s="3215"/>
      <c r="Z16" s="1817"/>
      <c r="AA16" s="1814">
        <v>1</v>
      </c>
      <c r="AB16" s="1814">
        <v>1</v>
      </c>
      <c r="AC16" s="2677">
        <v>1</v>
      </c>
    </row>
    <row r="17" spans="1:29" ht="71.25">
      <c r="A17" s="428"/>
      <c r="B17" s="631" t="s">
        <v>2090</v>
      </c>
      <c r="C17" s="2678"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22"/>
      <c r="Q17" s="1813" t="str">
        <f>B17</f>
        <v>交通便捷度</v>
      </c>
      <c r="R17" s="774" t="s">
        <v>17</v>
      </c>
      <c r="S17" s="775">
        <f>F17</f>
        <v>100</v>
      </c>
      <c r="T17" s="774" t="s">
        <v>17</v>
      </c>
      <c r="U17" s="775">
        <f>H17</f>
        <v>100</v>
      </c>
      <c r="V17" s="774" t="s">
        <v>17</v>
      </c>
      <c r="W17" s="775">
        <f>J17</f>
        <v>100</v>
      </c>
      <c r="X17" s="1816"/>
      <c r="Y17" s="3215"/>
      <c r="Z17" s="1817" t="str">
        <f>Q17</f>
        <v>交通便捷度</v>
      </c>
      <c r="AA17" s="1814">
        <f t="shared" si="3"/>
        <v>1</v>
      </c>
      <c r="AB17" s="1814">
        <f t="shared" si="4"/>
        <v>1</v>
      </c>
      <c r="AC17" s="2677">
        <f t="shared" si="5"/>
        <v>1</v>
      </c>
    </row>
    <row r="18" spans="1:29" ht="15">
      <c r="A18" s="428"/>
      <c r="B18" s="632"/>
      <c r="C18" s="2679"/>
      <c r="D18" s="450"/>
      <c r="E18" s="2612"/>
      <c r="F18" s="450"/>
      <c r="G18" s="2613"/>
      <c r="H18" s="448"/>
      <c r="I18" s="2613"/>
      <c r="J18" s="448"/>
      <c r="K18" s="615"/>
      <c r="L18" s="1143"/>
      <c r="M18" s="1134"/>
      <c r="N18" s="1134"/>
      <c r="O18" s="1134"/>
      <c r="P18" s="3222"/>
      <c r="Q18" s="1813"/>
      <c r="R18" s="774"/>
      <c r="S18" s="775"/>
      <c r="T18" s="774"/>
      <c r="U18" s="775"/>
      <c r="V18" s="774"/>
      <c r="W18" s="775"/>
      <c r="X18" s="1816"/>
      <c r="Y18" s="3215"/>
      <c r="Z18" s="1817"/>
      <c r="AA18" s="1814">
        <v>1</v>
      </c>
      <c r="AB18" s="1814">
        <v>1</v>
      </c>
      <c r="AC18" s="2677">
        <v>1</v>
      </c>
    </row>
    <row r="19" spans="1:29" ht="42.75">
      <c r="A19" s="428"/>
      <c r="B19" s="631" t="s">
        <v>2679</v>
      </c>
      <c r="C19" s="2678"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22"/>
      <c r="Q19" s="1813" t="str">
        <f>B19</f>
        <v>公共配套设施</v>
      </c>
      <c r="R19" s="774" t="s">
        <v>17</v>
      </c>
      <c r="S19" s="775">
        <f>F19</f>
        <v>100</v>
      </c>
      <c r="T19" s="774" t="s">
        <v>17</v>
      </c>
      <c r="U19" s="775">
        <f>H19</f>
        <v>100</v>
      </c>
      <c r="V19" s="774" t="s">
        <v>17</v>
      </c>
      <c r="W19" s="775">
        <f>J19</f>
        <v>100</v>
      </c>
      <c r="X19" s="1816"/>
      <c r="Y19" s="3215"/>
      <c r="Z19" s="1817" t="str">
        <f>Q19</f>
        <v>公共配套设施</v>
      </c>
      <c r="AA19" s="1814">
        <f t="shared" si="3"/>
        <v>1</v>
      </c>
      <c r="AB19" s="1814">
        <f t="shared" si="4"/>
        <v>1</v>
      </c>
      <c r="AC19" s="2677">
        <f t="shared" si="5"/>
        <v>1</v>
      </c>
    </row>
    <row r="20" spans="1:29" ht="15">
      <c r="A20" s="428"/>
      <c r="B20" s="632"/>
      <c r="C20" s="2614"/>
      <c r="D20" s="448"/>
      <c r="E20" s="2607"/>
      <c r="F20" s="448"/>
      <c r="G20" s="2608"/>
      <c r="H20" s="448"/>
      <c r="I20" s="2608"/>
      <c r="J20" s="448"/>
      <c r="K20" s="615"/>
      <c r="L20" s="1143"/>
      <c r="M20" s="1134"/>
      <c r="N20" s="1134"/>
      <c r="O20" s="1134"/>
      <c r="P20" s="3222"/>
      <c r="Q20" s="1813"/>
      <c r="R20" s="774"/>
      <c r="S20" s="775"/>
      <c r="T20" s="774"/>
      <c r="U20" s="775"/>
      <c r="V20" s="774"/>
      <c r="W20" s="775"/>
      <c r="X20" s="1816"/>
      <c r="Y20" s="3215"/>
      <c r="Z20" s="1817"/>
      <c r="AA20" s="1814">
        <v>1</v>
      </c>
      <c r="AB20" s="1814">
        <v>1</v>
      </c>
      <c r="AC20" s="2677">
        <v>1</v>
      </c>
    </row>
    <row r="21" spans="1:29" ht="28.5">
      <c r="A21" s="428"/>
      <c r="B21" s="633" t="s">
        <v>2680</v>
      </c>
      <c r="C21" s="2678"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22"/>
      <c r="Q21" s="1813" t="str">
        <f>B21</f>
        <v>基础设施水平</v>
      </c>
      <c r="R21" s="774" t="s">
        <v>17</v>
      </c>
      <c r="S21" s="775">
        <f>F21</f>
        <v>100</v>
      </c>
      <c r="T21" s="774" t="s">
        <v>17</v>
      </c>
      <c r="U21" s="775">
        <f>H21</f>
        <v>100</v>
      </c>
      <c r="V21" s="774" t="s">
        <v>17</v>
      </c>
      <c r="W21" s="775">
        <f>J21</f>
        <v>100</v>
      </c>
      <c r="X21" s="1816"/>
      <c r="Y21" s="3215"/>
      <c r="Z21" s="1817" t="str">
        <f>Q21</f>
        <v>基础设施水平</v>
      </c>
      <c r="AA21" s="1814">
        <f t="shared" ref="AA21" si="8">D21/F21</f>
        <v>1</v>
      </c>
      <c r="AB21" s="1814">
        <f t="shared" ref="AB21" si="9">D21/H21</f>
        <v>1</v>
      </c>
      <c r="AC21" s="2677">
        <f t="shared" ref="AC21" si="10">D21/J21</f>
        <v>1</v>
      </c>
    </row>
    <row r="22" spans="1:29" ht="15">
      <c r="A22" s="428"/>
      <c r="B22" s="633"/>
      <c r="C22" s="2679"/>
      <c r="D22" s="448"/>
      <c r="E22" s="447"/>
      <c r="F22" s="448"/>
      <c r="G22" s="2614"/>
      <c r="H22" s="448"/>
      <c r="I22" s="2614"/>
      <c r="J22" s="448"/>
      <c r="K22" s="1386"/>
      <c r="L22" s="1143"/>
      <c r="M22" s="1134"/>
      <c r="N22" s="1134"/>
      <c r="O22" s="1134"/>
      <c r="P22" s="3222"/>
      <c r="Q22" s="1813"/>
      <c r="R22" s="774"/>
      <c r="S22" s="775"/>
      <c r="T22" s="774"/>
      <c r="U22" s="775"/>
      <c r="V22" s="774"/>
      <c r="W22" s="775"/>
      <c r="X22" s="1816"/>
      <c r="Y22" s="3215"/>
      <c r="Z22" s="1817"/>
      <c r="AA22" s="1814">
        <v>1</v>
      </c>
      <c r="AB22" s="1814">
        <v>1</v>
      </c>
      <c r="AC22" s="2677">
        <v>1</v>
      </c>
    </row>
    <row r="23" spans="1:29" ht="42.75">
      <c r="A23" s="428"/>
      <c r="B23" s="631" t="s">
        <v>2681</v>
      </c>
      <c r="C23" s="2678"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22"/>
      <c r="Q23" s="1813" t="str">
        <f>B23</f>
        <v>环境质量</v>
      </c>
      <c r="R23" s="774" t="s">
        <v>17</v>
      </c>
      <c r="S23" s="775">
        <f>F23</f>
        <v>100</v>
      </c>
      <c r="T23" s="774" t="s">
        <v>17</v>
      </c>
      <c r="U23" s="775">
        <f>H23</f>
        <v>100</v>
      </c>
      <c r="V23" s="774" t="s">
        <v>17</v>
      </c>
      <c r="W23" s="775">
        <f>J23</f>
        <v>100</v>
      </c>
      <c r="X23" s="1816"/>
      <c r="Y23" s="3215"/>
      <c r="Z23" s="1817" t="str">
        <f>Q23</f>
        <v>环境质量</v>
      </c>
      <c r="AA23" s="1814">
        <f t="shared" si="3"/>
        <v>1</v>
      </c>
      <c r="AB23" s="1814">
        <f t="shared" si="4"/>
        <v>1</v>
      </c>
      <c r="AC23" s="2677">
        <f t="shared" si="5"/>
        <v>1</v>
      </c>
    </row>
    <row r="24" spans="1:29" ht="15">
      <c r="A24" s="428"/>
      <c r="B24" s="633"/>
      <c r="C24" s="2614"/>
      <c r="D24" s="448"/>
      <c r="E24" s="2607"/>
      <c r="F24" s="448"/>
      <c r="G24" s="2608"/>
      <c r="H24" s="448"/>
      <c r="I24" s="2608"/>
      <c r="J24" s="448"/>
      <c r="K24" s="615"/>
      <c r="L24" s="1143"/>
      <c r="M24" s="1134"/>
      <c r="N24" s="1134"/>
      <c r="O24" s="1134"/>
      <c r="P24" s="3222"/>
      <c r="Q24" s="1813"/>
      <c r="R24" s="774"/>
      <c r="S24" s="775"/>
      <c r="T24" s="774"/>
      <c r="U24" s="775"/>
      <c r="V24" s="774"/>
      <c r="W24" s="775"/>
      <c r="X24" s="1816"/>
      <c r="Y24" s="3215"/>
      <c r="Z24" s="1817"/>
      <c r="AA24" s="1814">
        <v>1</v>
      </c>
      <c r="AB24" s="1814">
        <v>1</v>
      </c>
      <c r="AC24" s="2677">
        <v>1</v>
      </c>
    </row>
    <row r="25" spans="1:29" ht="27">
      <c r="A25" s="404"/>
      <c r="B25" s="631" t="s">
        <v>2682</v>
      </c>
      <c r="C25" s="2618"/>
      <c r="D25" s="435">
        <v>100</v>
      </c>
      <c r="E25" s="434"/>
      <c r="F25" s="435">
        <f>SUMIF(87:87,E26,88:88)-SUMIF(87:87,C26,88:88)+100</f>
        <v>100</v>
      </c>
      <c r="G25" s="2618"/>
      <c r="H25" s="435">
        <f>SUMIF(87:87,G26,88:88)-SUMIF(87:87,C26,88:88)+100</f>
        <v>100</v>
      </c>
      <c r="I25" s="434"/>
      <c r="J25" s="435">
        <f>SUMIF(87:87,I26,88:88)-SUMIF(87:87,C26,88:88)+100</f>
        <v>100</v>
      </c>
      <c r="K25" s="614"/>
      <c r="L25" s="1143"/>
      <c r="M25" s="1134"/>
      <c r="N25" s="1134"/>
      <c r="O25" s="1134"/>
      <c r="P25" s="3222"/>
      <c r="Q25" s="1813" t="str">
        <f>B25</f>
        <v>毗邻道路的类型与等级</v>
      </c>
      <c r="R25" s="774" t="s">
        <v>17</v>
      </c>
      <c r="S25" s="775">
        <f>F25</f>
        <v>100</v>
      </c>
      <c r="T25" s="774" t="s">
        <v>17</v>
      </c>
      <c r="U25" s="775">
        <f>H25</f>
        <v>100</v>
      </c>
      <c r="V25" s="774" t="s">
        <v>17</v>
      </c>
      <c r="W25" s="775">
        <f>J25</f>
        <v>100</v>
      </c>
      <c r="X25" s="1816"/>
      <c r="Y25" s="3215"/>
      <c r="Z25" s="1817" t="str">
        <f>Q25</f>
        <v>毗邻道路的类型与等级</v>
      </c>
      <c r="AA25" s="1814">
        <f t="shared" si="3"/>
        <v>1</v>
      </c>
      <c r="AB25" s="1814">
        <f t="shared" si="4"/>
        <v>1</v>
      </c>
      <c r="AC25" s="2677">
        <f t="shared" si="5"/>
        <v>1</v>
      </c>
    </row>
    <row r="26" spans="1:29" ht="15">
      <c r="A26" s="404"/>
      <c r="B26" s="632"/>
      <c r="C26" s="634"/>
      <c r="D26" s="435"/>
      <c r="E26" s="616"/>
      <c r="F26" s="435"/>
      <c r="G26" s="634"/>
      <c r="H26" s="435"/>
      <c r="I26" s="616"/>
      <c r="J26" s="435"/>
      <c r="K26" s="615"/>
      <c r="L26" s="1143"/>
      <c r="M26" s="1134"/>
      <c r="N26" s="1134"/>
      <c r="O26" s="1134"/>
      <c r="P26" s="3222"/>
      <c r="Q26" s="1813"/>
      <c r="R26" s="774"/>
      <c r="S26" s="775"/>
      <c r="T26" s="774"/>
      <c r="U26" s="775"/>
      <c r="V26" s="774"/>
      <c r="W26" s="775"/>
      <c r="X26" s="1816"/>
      <c r="Y26" s="3215"/>
      <c r="Z26" s="1817"/>
      <c r="AA26" s="1814">
        <v>1</v>
      </c>
      <c r="AB26" s="1814">
        <v>1</v>
      </c>
      <c r="AC26" s="2677">
        <v>1</v>
      </c>
    </row>
    <row r="27" spans="1:29" ht="15">
      <c r="A27" s="428"/>
      <c r="B27" s="632" t="s">
        <v>2650</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22"/>
      <c r="Q27" s="1813" t="str">
        <f t="shared" ref="Q27:Q47" si="11">B27</f>
        <v>楼层</v>
      </c>
      <c r="R27" s="774" t="s">
        <v>17</v>
      </c>
      <c r="S27" s="775">
        <f>F27</f>
        <v>100</v>
      </c>
      <c r="T27" s="774" t="s">
        <v>17</v>
      </c>
      <c r="U27" s="775">
        <f>H27</f>
        <v>100</v>
      </c>
      <c r="V27" s="774" t="s">
        <v>17</v>
      </c>
      <c r="W27" s="775">
        <f>J27</f>
        <v>100</v>
      </c>
      <c r="X27" s="1816"/>
      <c r="Y27" s="3215"/>
      <c r="Z27" s="1817" t="str">
        <f>Q27</f>
        <v>楼层</v>
      </c>
      <c r="AA27" s="1814">
        <f t="shared" si="3"/>
        <v>1</v>
      </c>
      <c r="AB27" s="1814">
        <f t="shared" si="4"/>
        <v>1</v>
      </c>
      <c r="AC27" s="2677">
        <f t="shared" si="5"/>
        <v>1</v>
      </c>
    </row>
    <row r="28" spans="1:29" s="117" customFormat="1" ht="15">
      <c r="A28" s="431"/>
      <c r="B28" s="631" t="s">
        <v>2683</v>
      </c>
      <c r="C28" s="2680"/>
      <c r="D28" s="462">
        <v>100</v>
      </c>
      <c r="E28" s="2668"/>
      <c r="F28" s="462">
        <f>SUMIF(91:91,E28,92:92)-SUMIF(91:91,C28,92:92)+100</f>
        <v>100</v>
      </c>
      <c r="G28" s="2680"/>
      <c r="H28" s="462">
        <f>SUMIF(91:91,G28,92:92)-SUMIF(91:91,C28,92:92)+100</f>
        <v>100</v>
      </c>
      <c r="I28" s="2668"/>
      <c r="J28" s="462">
        <f>SUMIF(91:91,I28,92:92)-SUMIF(91:91,C28,92:92)+100</f>
        <v>100</v>
      </c>
      <c r="K28" s="612"/>
      <c r="L28" s="1135"/>
      <c r="M28" s="1136"/>
      <c r="N28" s="1136"/>
      <c r="O28" s="1136"/>
      <c r="P28" s="3222"/>
      <c r="Q28" s="1798" t="str">
        <f t="shared" si="11"/>
        <v>朝向</v>
      </c>
      <c r="R28" s="770" t="s">
        <v>17</v>
      </c>
      <c r="S28" s="771">
        <f>F28</f>
        <v>100</v>
      </c>
      <c r="T28" s="770" t="s">
        <v>17</v>
      </c>
      <c r="U28" s="771">
        <f>H28</f>
        <v>100</v>
      </c>
      <c r="V28" s="770" t="s">
        <v>17</v>
      </c>
      <c r="W28" s="771">
        <f>J28</f>
        <v>100</v>
      </c>
      <c r="X28" s="772"/>
      <c r="Y28" s="3215"/>
      <c r="Z28" s="55" t="str">
        <f>Q28</f>
        <v>朝向</v>
      </c>
      <c r="AA28" s="1814">
        <f>D28/F28</f>
        <v>1</v>
      </c>
      <c r="AB28" s="1814">
        <f>D28/H28</f>
        <v>1</v>
      </c>
      <c r="AC28" s="2677">
        <f>D28/J28</f>
        <v>1</v>
      </c>
    </row>
    <row r="29" spans="1:29" ht="15">
      <c r="A29" s="428"/>
      <c r="B29" s="2681">
        <v>111</v>
      </c>
      <c r="C29" s="2618"/>
      <c r="D29" s="435">
        <v>100</v>
      </c>
      <c r="E29" s="432"/>
      <c r="F29" s="435">
        <f>SUMIF(93:93,E29,94:94)-SUMIF(93:93,C29,94:94)+100</f>
        <v>100</v>
      </c>
      <c r="G29" s="2675"/>
      <c r="H29" s="435">
        <f>SUMIF(93:93,G29,94:94)-SUMIF(93:93,C29,94:94)+100</f>
        <v>100</v>
      </c>
      <c r="I29" s="432"/>
      <c r="J29" s="435">
        <f>SUMIF(93:93,I29,94:94)-SUMIF(93:93,C29,94:94)+100</f>
        <v>100</v>
      </c>
      <c r="K29" s="613"/>
      <c r="L29" s="1143"/>
      <c r="M29" s="1134"/>
      <c r="N29" s="1134"/>
      <c r="O29" s="1134"/>
      <c r="P29" s="3222"/>
      <c r="Q29" s="1813">
        <f t="shared" si="11"/>
        <v>111</v>
      </c>
      <c r="R29" s="774" t="s">
        <v>17</v>
      </c>
      <c r="S29" s="775">
        <f t="shared" ref="S29:S47" si="12">F29</f>
        <v>100</v>
      </c>
      <c r="T29" s="774" t="s">
        <v>17</v>
      </c>
      <c r="U29" s="775">
        <f t="shared" ref="U29:U47" si="13">H29</f>
        <v>100</v>
      </c>
      <c r="V29" s="774" t="s">
        <v>17</v>
      </c>
      <c r="W29" s="775">
        <f t="shared" ref="W29:W47" si="14">J29</f>
        <v>100</v>
      </c>
      <c r="X29" s="1816"/>
      <c r="Y29" s="3215"/>
      <c r="Z29" s="1817">
        <f t="shared" ref="Z29:Z47" si="15">Q29</f>
        <v>111</v>
      </c>
      <c r="AA29" s="1814">
        <f t="shared" si="3"/>
        <v>1</v>
      </c>
      <c r="AB29" s="1814">
        <f t="shared" si="4"/>
        <v>1</v>
      </c>
      <c r="AC29" s="2677">
        <f t="shared" si="5"/>
        <v>1</v>
      </c>
    </row>
    <row r="30" spans="1:29" ht="15">
      <c r="A30" s="428"/>
      <c r="B30" s="2681">
        <v>111</v>
      </c>
      <c r="C30" s="2618"/>
      <c r="D30" s="435">
        <v>100</v>
      </c>
      <c r="E30" s="432"/>
      <c r="F30" s="435">
        <f>SUMIF(95:95,E30,96:96)-SUMIF(95:95,C30,96:96)+100</f>
        <v>100</v>
      </c>
      <c r="G30" s="2675"/>
      <c r="H30" s="435">
        <f>SUMIF(95:95,G30,96:96)-SUMIF(95:95,C30,96:96)+100</f>
        <v>100</v>
      </c>
      <c r="I30" s="432"/>
      <c r="J30" s="435">
        <f>SUMIF(95:95,I30,96:96)-SUMIF(95:95,C30,96:96)+100</f>
        <v>100</v>
      </c>
      <c r="K30" s="613"/>
      <c r="L30" s="1143"/>
      <c r="M30" s="1134"/>
      <c r="N30" s="1134"/>
      <c r="O30" s="1134"/>
      <c r="P30" s="3222"/>
      <c r="Q30" s="1813">
        <f t="shared" si="11"/>
        <v>111</v>
      </c>
      <c r="R30" s="774" t="s">
        <v>17</v>
      </c>
      <c r="S30" s="775">
        <f t="shared" si="12"/>
        <v>100</v>
      </c>
      <c r="T30" s="774" t="s">
        <v>17</v>
      </c>
      <c r="U30" s="775">
        <f t="shared" si="13"/>
        <v>100</v>
      </c>
      <c r="V30" s="774" t="s">
        <v>17</v>
      </c>
      <c r="W30" s="775">
        <f t="shared" si="14"/>
        <v>100</v>
      </c>
      <c r="X30" s="1816"/>
      <c r="Y30" s="3215"/>
      <c r="Z30" s="1817">
        <f t="shared" si="15"/>
        <v>111</v>
      </c>
      <c r="AA30" s="1814">
        <f t="shared" si="3"/>
        <v>1</v>
      </c>
      <c r="AB30" s="1814">
        <f t="shared" si="4"/>
        <v>1</v>
      </c>
      <c r="AC30" s="2677">
        <f t="shared" si="5"/>
        <v>1</v>
      </c>
    </row>
    <row r="31" spans="1:29" ht="15">
      <c r="A31" s="428"/>
      <c r="B31" s="2681">
        <v>111</v>
      </c>
      <c r="C31" s="2618"/>
      <c r="D31" s="435">
        <v>100</v>
      </c>
      <c r="E31" s="432"/>
      <c r="F31" s="435">
        <f>SUMIF(97:97,E31,98:98)-SUMIF(97:97,C31,98:98)+100</f>
        <v>100</v>
      </c>
      <c r="G31" s="2675"/>
      <c r="H31" s="435">
        <f>SUMIF(97:97,G31,98:98)-SUMIF(97:97,C31,98:98)+100</f>
        <v>100</v>
      </c>
      <c r="I31" s="432"/>
      <c r="J31" s="435">
        <f>SUMIF(97:97,I31,98:98)-SUMIF(97:97,C31,98:98)+100</f>
        <v>100</v>
      </c>
      <c r="K31" s="613"/>
      <c r="L31" s="1143"/>
      <c r="M31" s="1134"/>
      <c r="N31" s="1134"/>
      <c r="O31" s="1134"/>
      <c r="P31" s="3222"/>
      <c r="Q31" s="1813">
        <f t="shared" si="11"/>
        <v>111</v>
      </c>
      <c r="R31" s="774" t="s">
        <v>17</v>
      </c>
      <c r="S31" s="775">
        <f t="shared" si="12"/>
        <v>100</v>
      </c>
      <c r="T31" s="774" t="s">
        <v>17</v>
      </c>
      <c r="U31" s="775">
        <f t="shared" si="13"/>
        <v>100</v>
      </c>
      <c r="V31" s="774" t="s">
        <v>17</v>
      </c>
      <c r="W31" s="775">
        <f t="shared" si="14"/>
        <v>100</v>
      </c>
      <c r="X31" s="1816"/>
      <c r="Y31" s="3215"/>
      <c r="Z31" s="1817">
        <f t="shared" si="15"/>
        <v>111</v>
      </c>
      <c r="AA31" s="1814">
        <f t="shared" si="3"/>
        <v>1</v>
      </c>
      <c r="AB31" s="1814">
        <f t="shared" si="4"/>
        <v>1</v>
      </c>
      <c r="AC31" s="2677">
        <f t="shared" si="5"/>
        <v>1</v>
      </c>
    </row>
    <row r="32" spans="1:29" ht="15.75" thickBot="1">
      <c r="A32" s="436"/>
      <c r="B32" s="635">
        <v>111</v>
      </c>
      <c r="C32" s="2619"/>
      <c r="D32" s="438">
        <v>100</v>
      </c>
      <c r="E32" s="628"/>
      <c r="F32" s="438">
        <f>SUMIF(99:99,E32,100:100)-SUMIF(99:99,C32,100:100)+100</f>
        <v>100</v>
      </c>
      <c r="G32" s="2675"/>
      <c r="H32" s="438">
        <f>SUMIF(99:99,G32,100:100)-SUMIF(99:99,C32,100:100)+100</f>
        <v>100</v>
      </c>
      <c r="I32" s="432"/>
      <c r="J32" s="438">
        <f>SUMIF(99:99,I32,100:100)-SUMIF(99:99,C32,100:100)+100</f>
        <v>100</v>
      </c>
      <c r="K32" s="613"/>
      <c r="L32" s="1143"/>
      <c r="M32" s="1134"/>
      <c r="N32" s="1134"/>
      <c r="O32" s="1134"/>
      <c r="P32" s="3222"/>
      <c r="Q32" s="1813">
        <f t="shared" si="11"/>
        <v>111</v>
      </c>
      <c r="R32" s="774" t="s">
        <v>17</v>
      </c>
      <c r="S32" s="775">
        <f t="shared" si="12"/>
        <v>100</v>
      </c>
      <c r="T32" s="774" t="s">
        <v>17</v>
      </c>
      <c r="U32" s="775">
        <f t="shared" si="13"/>
        <v>100</v>
      </c>
      <c r="V32" s="774" t="s">
        <v>17</v>
      </c>
      <c r="W32" s="775">
        <f t="shared" si="14"/>
        <v>100</v>
      </c>
      <c r="X32" s="1816"/>
      <c r="Y32" s="3215"/>
      <c r="Z32" s="1817">
        <f t="shared" si="15"/>
        <v>111</v>
      </c>
      <c r="AA32" s="1814">
        <f t="shared" si="3"/>
        <v>1</v>
      </c>
      <c r="AB32" s="1814">
        <f t="shared" si="4"/>
        <v>1</v>
      </c>
      <c r="AC32" s="2677">
        <f t="shared" si="5"/>
        <v>1</v>
      </c>
    </row>
    <row r="33" spans="1:29" ht="15">
      <c r="A33" s="440" t="s">
        <v>2554</v>
      </c>
      <c r="B33" s="71" t="s">
        <v>2684</v>
      </c>
      <c r="C33" s="2682"/>
      <c r="D33" s="467">
        <v>100</v>
      </c>
      <c r="E33" s="2682"/>
      <c r="F33" s="461">
        <f>SUMIF(101:101,E33,102:102)-SUMIF(101:101,C33,102:102)+100</f>
        <v>100</v>
      </c>
      <c r="G33" s="2682"/>
      <c r="H33" s="435">
        <f>SUMIF(101:101,G33,102:102)-SUMIF(101:101,C33,102:102)+100</f>
        <v>100</v>
      </c>
      <c r="I33" s="2682"/>
      <c r="J33" s="467">
        <f>SUMIF(101:101,I33,102:102)-SUMIF(101:101,C33,102:102)+100</f>
        <v>100</v>
      </c>
      <c r="K33" s="612"/>
      <c r="L33" s="1143"/>
      <c r="M33" s="1134"/>
      <c r="N33" s="1134"/>
      <c r="O33" s="1134"/>
      <c r="P33" s="3216" t="s">
        <v>2556</v>
      </c>
      <c r="Q33" s="1813" t="str">
        <f t="shared" si="11"/>
        <v>建筑类型</v>
      </c>
      <c r="R33" s="774" t="s">
        <v>17</v>
      </c>
      <c r="S33" s="775">
        <f t="shared" si="12"/>
        <v>100</v>
      </c>
      <c r="T33" s="774" t="s">
        <v>17</v>
      </c>
      <c r="U33" s="775">
        <f t="shared" si="13"/>
        <v>100</v>
      </c>
      <c r="V33" s="774" t="s">
        <v>17</v>
      </c>
      <c r="W33" s="775">
        <f t="shared" si="14"/>
        <v>100</v>
      </c>
      <c r="X33" s="1816"/>
      <c r="Y33" s="3219" t="s">
        <v>2556</v>
      </c>
      <c r="Z33" s="1817" t="str">
        <f t="shared" si="15"/>
        <v>建筑类型</v>
      </c>
      <c r="AA33" s="1814">
        <f t="shared" si="3"/>
        <v>1</v>
      </c>
      <c r="AB33" s="1814">
        <f t="shared" si="4"/>
        <v>1</v>
      </c>
      <c r="AC33" s="2677">
        <f t="shared" si="5"/>
        <v>1</v>
      </c>
    </row>
    <row r="34" spans="1:29" s="471" customFormat="1" ht="15">
      <c r="A34" s="468"/>
      <c r="B34" s="422" t="s">
        <v>2557</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17"/>
      <c r="Q34" s="776" t="str">
        <f t="shared" si="11"/>
        <v>项目建筑规模</v>
      </c>
      <c r="R34" s="777" t="s">
        <v>17</v>
      </c>
      <c r="S34" s="778" t="e">
        <f t="shared" si="12"/>
        <v>#N/A</v>
      </c>
      <c r="T34" s="777" t="s">
        <v>17</v>
      </c>
      <c r="U34" s="778" t="e">
        <f t="shared" si="13"/>
        <v>#N/A</v>
      </c>
      <c r="V34" s="777" t="s">
        <v>17</v>
      </c>
      <c r="W34" s="778" t="e">
        <f t="shared" si="14"/>
        <v>#N/A</v>
      </c>
      <c r="X34" s="779"/>
      <c r="Y34" s="3219"/>
      <c r="Z34" s="780" t="str">
        <f t="shared" si="15"/>
        <v>项目建筑规模</v>
      </c>
      <c r="AA34" s="1814" t="e">
        <f t="shared" si="3"/>
        <v>#N/A</v>
      </c>
      <c r="AB34" s="1814" t="e">
        <f t="shared" si="4"/>
        <v>#N/A</v>
      </c>
      <c r="AC34" s="2677" t="e">
        <f t="shared" si="5"/>
        <v>#N/A</v>
      </c>
    </row>
    <row r="35" spans="1:29" ht="15">
      <c r="A35" s="472"/>
      <c r="B35" s="422" t="s">
        <v>2558</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17"/>
      <c r="Q35" s="1813" t="str">
        <f t="shared" si="11"/>
        <v>建筑结构</v>
      </c>
      <c r="R35" s="774" t="s">
        <v>17</v>
      </c>
      <c r="S35" s="775">
        <f t="shared" si="12"/>
        <v>100</v>
      </c>
      <c r="T35" s="774" t="s">
        <v>17</v>
      </c>
      <c r="U35" s="775">
        <f t="shared" si="13"/>
        <v>100</v>
      </c>
      <c r="V35" s="774" t="s">
        <v>17</v>
      </c>
      <c r="W35" s="775">
        <f t="shared" si="14"/>
        <v>100</v>
      </c>
      <c r="X35" s="1816"/>
      <c r="Y35" s="3219"/>
      <c r="Z35" s="1817" t="str">
        <f t="shared" si="15"/>
        <v>建筑结构</v>
      </c>
      <c r="AA35" s="1814">
        <f t="shared" si="3"/>
        <v>1</v>
      </c>
      <c r="AB35" s="1814">
        <f t="shared" si="4"/>
        <v>1</v>
      </c>
      <c r="AC35" s="2677">
        <f t="shared" si="5"/>
        <v>1</v>
      </c>
    </row>
    <row r="36" spans="1:29" ht="15">
      <c r="A36" s="472"/>
      <c r="B36" s="422" t="s">
        <v>2652</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17"/>
      <c r="Q36" s="1813" t="str">
        <f t="shared" si="11"/>
        <v>公共部分装修</v>
      </c>
      <c r="R36" s="774" t="s">
        <v>17</v>
      </c>
      <c r="S36" s="775">
        <f t="shared" si="12"/>
        <v>100</v>
      </c>
      <c r="T36" s="774" t="s">
        <v>17</v>
      </c>
      <c r="U36" s="775">
        <f t="shared" si="13"/>
        <v>100</v>
      </c>
      <c r="V36" s="774" t="s">
        <v>17</v>
      </c>
      <c r="W36" s="775">
        <f t="shared" si="14"/>
        <v>100</v>
      </c>
      <c r="X36" s="1816"/>
      <c r="Y36" s="3219"/>
      <c r="Z36" s="1817" t="str">
        <f t="shared" si="15"/>
        <v>公共部分装修</v>
      </c>
      <c r="AA36" s="1814">
        <f t="shared" si="3"/>
        <v>1</v>
      </c>
      <c r="AB36" s="1814">
        <f t="shared" si="4"/>
        <v>1</v>
      </c>
      <c r="AC36" s="2677">
        <f t="shared" si="5"/>
        <v>1</v>
      </c>
    </row>
    <row r="37" spans="1:29" ht="15">
      <c r="A37" s="472"/>
      <c r="B37" s="422" t="s">
        <v>2653</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17"/>
      <c r="Q37" s="1813" t="str">
        <f t="shared" si="11"/>
        <v>成新度</v>
      </c>
      <c r="R37" s="774" t="s">
        <v>17</v>
      </c>
      <c r="S37" s="775" t="e">
        <f t="shared" si="12"/>
        <v>#N/A</v>
      </c>
      <c r="T37" s="774" t="s">
        <v>17</v>
      </c>
      <c r="U37" s="775" t="e">
        <f t="shared" si="13"/>
        <v>#N/A</v>
      </c>
      <c r="V37" s="774" t="s">
        <v>17</v>
      </c>
      <c r="W37" s="775" t="e">
        <f t="shared" si="14"/>
        <v>#N/A</v>
      </c>
      <c r="X37" s="1816"/>
      <c r="Y37" s="3219"/>
      <c r="Z37" s="1817" t="str">
        <f t="shared" si="15"/>
        <v>成新度</v>
      </c>
      <c r="AA37" s="1814" t="e">
        <f t="shared" si="3"/>
        <v>#N/A</v>
      </c>
      <c r="AB37" s="1814" t="e">
        <f t="shared" si="4"/>
        <v>#N/A</v>
      </c>
      <c r="AC37" s="2677" t="e">
        <f t="shared" si="5"/>
        <v>#N/A</v>
      </c>
    </row>
    <row r="38" spans="1:29" s="117" customFormat="1" ht="15">
      <c r="A38" s="473"/>
      <c r="B38" s="422" t="s">
        <v>2685</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17"/>
      <c r="Q38" s="1798" t="str">
        <f t="shared" si="11"/>
        <v>写字楼等级</v>
      </c>
      <c r="R38" s="770" t="s">
        <v>17</v>
      </c>
      <c r="S38" s="771">
        <f t="shared" si="12"/>
        <v>100</v>
      </c>
      <c r="T38" s="770" t="s">
        <v>17</v>
      </c>
      <c r="U38" s="771">
        <f t="shared" si="13"/>
        <v>100</v>
      </c>
      <c r="V38" s="770" t="s">
        <v>17</v>
      </c>
      <c r="W38" s="771">
        <f t="shared" si="14"/>
        <v>100</v>
      </c>
      <c r="X38" s="772"/>
      <c r="Y38" s="3219"/>
      <c r="Z38" s="55" t="str">
        <f t="shared" si="15"/>
        <v>写字楼等级</v>
      </c>
      <c r="AA38" s="773">
        <f t="shared" si="3"/>
        <v>1</v>
      </c>
      <c r="AB38" s="773">
        <f t="shared" si="4"/>
        <v>1</v>
      </c>
      <c r="AC38" s="2674">
        <f t="shared" si="5"/>
        <v>1</v>
      </c>
    </row>
    <row r="39" spans="1:29" ht="15">
      <c r="A39" s="472"/>
      <c r="B39" s="422" t="s">
        <v>2686</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17" t="s">
        <v>2556</v>
      </c>
      <c r="Q39" s="1813" t="str">
        <f t="shared" si="11"/>
        <v>物业管理</v>
      </c>
      <c r="R39" s="774" t="s">
        <v>17</v>
      </c>
      <c r="S39" s="775">
        <f t="shared" si="12"/>
        <v>100</v>
      </c>
      <c r="T39" s="774" t="s">
        <v>17</v>
      </c>
      <c r="U39" s="775">
        <f t="shared" si="13"/>
        <v>100</v>
      </c>
      <c r="V39" s="774" t="s">
        <v>17</v>
      </c>
      <c r="W39" s="775">
        <f t="shared" si="14"/>
        <v>100</v>
      </c>
      <c r="X39" s="1816"/>
      <c r="Y39" s="3219" t="s">
        <v>2556</v>
      </c>
      <c r="Z39" s="1817" t="str">
        <f t="shared" si="15"/>
        <v>物业管理</v>
      </c>
      <c r="AA39" s="1814">
        <f t="shared" si="3"/>
        <v>1</v>
      </c>
      <c r="AB39" s="1814">
        <f t="shared" si="4"/>
        <v>1</v>
      </c>
      <c r="AC39" s="2677">
        <f t="shared" si="5"/>
        <v>1</v>
      </c>
    </row>
    <row r="40" spans="1:29" ht="15">
      <c r="A40" s="472"/>
      <c r="B40" s="422" t="s">
        <v>2654</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17"/>
      <c r="Q40" s="1813" t="str">
        <f t="shared" si="11"/>
        <v>市政基础设施</v>
      </c>
      <c r="R40" s="774" t="s">
        <v>17</v>
      </c>
      <c r="S40" s="775">
        <f t="shared" si="12"/>
        <v>100</v>
      </c>
      <c r="T40" s="774" t="s">
        <v>17</v>
      </c>
      <c r="U40" s="775">
        <f t="shared" si="13"/>
        <v>100</v>
      </c>
      <c r="V40" s="774" t="s">
        <v>17</v>
      </c>
      <c r="W40" s="775">
        <f t="shared" si="14"/>
        <v>100</v>
      </c>
      <c r="X40" s="1816"/>
      <c r="Y40" s="3219"/>
      <c r="Z40" s="1817" t="str">
        <f t="shared" si="15"/>
        <v>市政基础设施</v>
      </c>
      <c r="AA40" s="1814">
        <f t="shared" si="3"/>
        <v>1</v>
      </c>
      <c r="AB40" s="1814">
        <f t="shared" si="4"/>
        <v>1</v>
      </c>
      <c r="AC40" s="2677">
        <f t="shared" si="5"/>
        <v>1</v>
      </c>
    </row>
    <row r="41" spans="1:29" ht="15">
      <c r="A41" s="472"/>
      <c r="B41" s="422" t="s">
        <v>2656</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17"/>
      <c r="Q41" s="1813" t="str">
        <f t="shared" si="11"/>
        <v>层高</v>
      </c>
      <c r="R41" s="774" t="s">
        <v>17</v>
      </c>
      <c r="S41" s="775">
        <f t="shared" si="12"/>
        <v>100</v>
      </c>
      <c r="T41" s="774" t="s">
        <v>17</v>
      </c>
      <c r="U41" s="775">
        <f t="shared" si="13"/>
        <v>100</v>
      </c>
      <c r="V41" s="774" t="s">
        <v>17</v>
      </c>
      <c r="W41" s="775">
        <f t="shared" si="14"/>
        <v>100</v>
      </c>
      <c r="X41" s="1816"/>
      <c r="Y41" s="3219"/>
      <c r="Z41" s="1817" t="str">
        <f t="shared" si="15"/>
        <v>层高</v>
      </c>
      <c r="AA41" s="1814">
        <f t="shared" si="3"/>
        <v>1</v>
      </c>
      <c r="AB41" s="1814">
        <f t="shared" si="4"/>
        <v>1</v>
      </c>
      <c r="AC41" s="2677">
        <f t="shared" si="5"/>
        <v>1</v>
      </c>
    </row>
    <row r="42" spans="1:29" s="471" customFormat="1" ht="15">
      <c r="A42" s="468"/>
      <c r="B42" s="1815" t="s">
        <v>2687</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17"/>
      <c r="Q42" s="776" t="str">
        <f t="shared" si="11"/>
        <v>单套建筑面积</v>
      </c>
      <c r="R42" s="777" t="s">
        <v>17</v>
      </c>
      <c r="S42" s="778">
        <f t="shared" si="12"/>
        <v>100</v>
      </c>
      <c r="T42" s="777" t="s">
        <v>17</v>
      </c>
      <c r="U42" s="778">
        <f t="shared" si="13"/>
        <v>100</v>
      </c>
      <c r="V42" s="777" t="s">
        <v>17</v>
      </c>
      <c r="W42" s="778">
        <f t="shared" si="14"/>
        <v>100</v>
      </c>
      <c r="X42" s="779"/>
      <c r="Y42" s="3219"/>
      <c r="Z42" s="780" t="str">
        <f t="shared" si="15"/>
        <v>单套建筑面积</v>
      </c>
      <c r="AA42" s="1814">
        <f t="shared" si="3"/>
        <v>1</v>
      </c>
      <c r="AB42" s="1814">
        <f t="shared" si="4"/>
        <v>1</v>
      </c>
      <c r="AC42" s="2677">
        <f t="shared" si="5"/>
        <v>1</v>
      </c>
    </row>
    <row r="43" spans="1:29" ht="15">
      <c r="A43" s="472"/>
      <c r="B43" s="422" t="s">
        <v>2659</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17"/>
      <c r="Q43" s="1813" t="str">
        <f t="shared" si="11"/>
        <v>内部装修</v>
      </c>
      <c r="R43" s="774" t="s">
        <v>17</v>
      </c>
      <c r="S43" s="775">
        <f t="shared" si="12"/>
        <v>100</v>
      </c>
      <c r="T43" s="774" t="s">
        <v>17</v>
      </c>
      <c r="U43" s="775">
        <f t="shared" si="13"/>
        <v>100</v>
      </c>
      <c r="V43" s="774" t="s">
        <v>17</v>
      </c>
      <c r="W43" s="775">
        <f t="shared" si="14"/>
        <v>100</v>
      </c>
      <c r="X43" s="1816"/>
      <c r="Y43" s="3219"/>
      <c r="Z43" s="1817" t="str">
        <f t="shared" si="15"/>
        <v>内部装修</v>
      </c>
      <c r="AA43" s="1814">
        <f t="shared" si="3"/>
        <v>1</v>
      </c>
      <c r="AB43" s="1814">
        <f t="shared" si="4"/>
        <v>1</v>
      </c>
      <c r="AC43" s="2677">
        <f t="shared" si="5"/>
        <v>1</v>
      </c>
    </row>
    <row r="44" spans="1:29" ht="15">
      <c r="A44" s="472"/>
      <c r="B44" s="422" t="s">
        <v>2567</v>
      </c>
      <c r="C44" s="460"/>
      <c r="D44" s="435">
        <v>100</v>
      </c>
      <c r="E44" s="2616"/>
      <c r="F44" s="461">
        <f>SUMIF(125:125,E44,126:126)-SUMIF(125:125,C44,126:126)+100</f>
        <v>100</v>
      </c>
      <c r="G44" s="2616"/>
      <c r="H44" s="435">
        <f>SUMIF(125:125,G44,126:126)-SUMIF(125:125,C44,126:126)+100</f>
        <v>100</v>
      </c>
      <c r="I44" s="2616"/>
      <c r="J44" s="435">
        <f>SUMIF(125:125,I44,126:126)-SUMIF(125:125,C44,126:126)+100</f>
        <v>100</v>
      </c>
      <c r="K44" s="612"/>
      <c r="L44" s="1143"/>
      <c r="M44" s="1134"/>
      <c r="N44" s="1134"/>
      <c r="O44" s="1134"/>
      <c r="P44" s="3217"/>
      <c r="Q44" s="1813" t="str">
        <f t="shared" si="11"/>
        <v>内部装修维护情况</v>
      </c>
      <c r="R44" s="774" t="s">
        <v>17</v>
      </c>
      <c r="S44" s="775">
        <f t="shared" si="12"/>
        <v>100</v>
      </c>
      <c r="T44" s="774" t="s">
        <v>17</v>
      </c>
      <c r="U44" s="775">
        <f t="shared" si="13"/>
        <v>100</v>
      </c>
      <c r="V44" s="774" t="s">
        <v>17</v>
      </c>
      <c r="W44" s="775">
        <f t="shared" si="14"/>
        <v>100</v>
      </c>
      <c r="X44" s="1816"/>
      <c r="Y44" s="3219"/>
      <c r="Z44" s="1817" t="str">
        <f t="shared" si="15"/>
        <v>内部装修维护情况</v>
      </c>
      <c r="AA44" s="1814">
        <f t="shared" si="3"/>
        <v>1</v>
      </c>
      <c r="AB44" s="1814">
        <f t="shared" si="4"/>
        <v>1</v>
      </c>
      <c r="AC44" s="2677">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17"/>
      <c r="Q45" s="1798">
        <f t="shared" si="11"/>
        <v>111</v>
      </c>
      <c r="R45" s="770" t="s">
        <v>17</v>
      </c>
      <c r="S45" s="771">
        <f t="shared" si="12"/>
        <v>100</v>
      </c>
      <c r="T45" s="770" t="s">
        <v>17</v>
      </c>
      <c r="U45" s="771">
        <f t="shared" si="13"/>
        <v>100</v>
      </c>
      <c r="V45" s="770" t="s">
        <v>17</v>
      </c>
      <c r="W45" s="771">
        <f t="shared" si="14"/>
        <v>100</v>
      </c>
      <c r="X45" s="772"/>
      <c r="Y45" s="3219"/>
      <c r="Z45" s="55">
        <f t="shared" si="15"/>
        <v>111</v>
      </c>
      <c r="AA45" s="773">
        <f t="shared" si="3"/>
        <v>1</v>
      </c>
      <c r="AB45" s="773">
        <f t="shared" si="4"/>
        <v>1</v>
      </c>
      <c r="AC45" s="2674">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17"/>
      <c r="Q46" s="1813">
        <f t="shared" si="11"/>
        <v>111</v>
      </c>
      <c r="R46" s="774" t="s">
        <v>17</v>
      </c>
      <c r="S46" s="775">
        <f t="shared" si="12"/>
        <v>100</v>
      </c>
      <c r="T46" s="774" t="s">
        <v>17</v>
      </c>
      <c r="U46" s="775">
        <f t="shared" si="13"/>
        <v>100</v>
      </c>
      <c r="V46" s="774" t="s">
        <v>17</v>
      </c>
      <c r="W46" s="775">
        <f t="shared" si="14"/>
        <v>100</v>
      </c>
      <c r="X46" s="1816"/>
      <c r="Y46" s="3219"/>
      <c r="Z46" s="1817">
        <f t="shared" si="15"/>
        <v>111</v>
      </c>
      <c r="AA46" s="1814">
        <f t="shared" si="3"/>
        <v>1</v>
      </c>
      <c r="AB46" s="1814">
        <f t="shared" si="4"/>
        <v>1</v>
      </c>
      <c r="AC46" s="2677">
        <f t="shared" si="5"/>
        <v>1</v>
      </c>
    </row>
    <row r="47" spans="1:29" ht="15.75" thickBot="1">
      <c r="A47" s="478"/>
      <c r="B47" s="2605">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18"/>
      <c r="Q47" s="1813">
        <f t="shared" si="11"/>
        <v>111</v>
      </c>
      <c r="R47" s="774" t="s">
        <v>17</v>
      </c>
      <c r="S47" s="775">
        <f t="shared" si="12"/>
        <v>100</v>
      </c>
      <c r="T47" s="774" t="s">
        <v>17</v>
      </c>
      <c r="U47" s="775">
        <f t="shared" si="13"/>
        <v>100</v>
      </c>
      <c r="V47" s="774" t="s">
        <v>17</v>
      </c>
      <c r="W47" s="775">
        <f t="shared" si="14"/>
        <v>100</v>
      </c>
      <c r="X47" s="1816"/>
      <c r="Y47" s="3220"/>
      <c r="Z47" s="1817">
        <f t="shared" si="15"/>
        <v>111</v>
      </c>
      <c r="AA47" s="1814">
        <f t="shared" si="3"/>
        <v>1</v>
      </c>
      <c r="AB47" s="1814">
        <f t="shared" si="4"/>
        <v>1</v>
      </c>
      <c r="AC47" s="2677">
        <f t="shared" si="5"/>
        <v>1</v>
      </c>
    </row>
    <row r="48" spans="1:29" ht="15">
      <c r="A48" s="479" t="s">
        <v>2568</v>
      </c>
      <c r="B48" s="480"/>
      <c r="C48" s="1410" t="s">
        <v>1</v>
      </c>
      <c r="D48" s="1411"/>
      <c r="E48" s="1412"/>
      <c r="F48" s="1413"/>
      <c r="G48" s="1414"/>
      <c r="H48" s="1415"/>
      <c r="I48" s="1412"/>
      <c r="J48" s="485"/>
      <c r="K48" s="783"/>
      <c r="L48" s="1146"/>
      <c r="M48" s="1134"/>
      <c r="N48" s="1134"/>
      <c r="O48" s="1134"/>
      <c r="P48" s="3223" t="str">
        <f>A48</f>
        <v>成交单价（元/平方米）</v>
      </c>
      <c r="Q48" s="3212"/>
      <c r="R48" s="3213">
        <f>E48</f>
        <v>0</v>
      </c>
      <c r="S48" s="3213"/>
      <c r="T48" s="3213">
        <f>G48</f>
        <v>0</v>
      </c>
      <c r="U48" s="3213"/>
      <c r="V48" s="3213">
        <f>I48</f>
        <v>0</v>
      </c>
      <c r="W48" s="3213"/>
      <c r="X48" s="446"/>
      <c r="Y48" s="781"/>
      <c r="Z48" s="446"/>
      <c r="AA48" s="446"/>
      <c r="AB48" s="446"/>
      <c r="AC48" s="630"/>
    </row>
    <row r="49" spans="1:29" ht="15.75" thickBot="1">
      <c r="A49" s="486" t="s">
        <v>2660</v>
      </c>
      <c r="B49" s="487"/>
      <c r="C49" s="1416" t="e">
        <f>R50</f>
        <v>#DIV/0!</v>
      </c>
      <c r="D49" s="1417"/>
      <c r="E49" s="1418" t="e">
        <f>R49</f>
        <v>#DIV/0!</v>
      </c>
      <c r="F49" s="1418"/>
      <c r="G49" s="1416" t="e">
        <f>T49</f>
        <v>#DIV/0!</v>
      </c>
      <c r="H49" s="1417"/>
      <c r="I49" s="1418" t="e">
        <f>V49</f>
        <v>#DIV/0!</v>
      </c>
      <c r="J49" s="489"/>
      <c r="K49" s="784"/>
      <c r="L49" s="1146"/>
      <c r="M49" s="1134"/>
      <c r="N49" s="1134"/>
      <c r="O49" s="1134"/>
      <c r="P49" s="3223" t="str">
        <f>A49</f>
        <v>比较价值（元/平方米）</v>
      </c>
      <c r="Q49" s="3212"/>
      <c r="R49" s="3213" t="e">
        <f>IF(F1="售价",ROUND(PRODUCT(R48,AA7:AA47),0),ROUND(PRODUCT(R48,AA7:AA47),1))</f>
        <v>#DIV/0!</v>
      </c>
      <c r="S49" s="3213"/>
      <c r="T49" s="3213" t="e">
        <f>IF(F1="售价",ROUND(PRODUCT(T48,AB7:AB47),0),ROUND(PRODUCT(T48,AB7:AB47),1))</f>
        <v>#DIV/0!</v>
      </c>
      <c r="U49" s="3213"/>
      <c r="V49" s="3213" t="e">
        <f>IF(F1="售价",ROUND(PRODUCT(V48,AC7:AC47),0),ROUND(PRODUCT(V48,AC7:AC47),1))</f>
        <v>#DIV/0!</v>
      </c>
      <c r="W49" s="3213"/>
      <c r="X49" s="446"/>
      <c r="Y49" s="446"/>
      <c r="Z49" s="446"/>
      <c r="AA49" s="446"/>
      <c r="AB49" s="446"/>
      <c r="AC49" s="630"/>
    </row>
    <row r="50" spans="1:29" ht="15.75" thickBot="1">
      <c r="A50" s="492" t="s">
        <v>2661</v>
      </c>
      <c r="B50" s="493"/>
      <c r="C50" s="1420" t="e">
        <f>R50</f>
        <v>#DIV/0!</v>
      </c>
      <c r="D50" s="1420"/>
      <c r="E50" s="1420"/>
      <c r="F50" s="1420"/>
      <c r="G50" s="1420"/>
      <c r="H50" s="1420"/>
      <c r="I50" s="1420"/>
      <c r="J50" s="494"/>
      <c r="K50" s="785"/>
      <c r="L50" s="1146"/>
      <c r="M50" s="1134"/>
      <c r="N50" s="1134"/>
      <c r="O50" s="1134"/>
      <c r="P50" s="3255" t="str">
        <f>A50</f>
        <v>估价对象XX用房的比较价值（楼面单价，元/平方米）</v>
      </c>
      <c r="Q50" s="3256"/>
      <c r="R50" s="3257" t="e">
        <f>IF(F1="售价",ROUND(AVERAGE(R49:V49),0),ROUND(AVERAGE(R49:V49),1))</f>
        <v>#DIV/0!</v>
      </c>
      <c r="S50" s="3257"/>
      <c r="T50" s="3257"/>
      <c r="U50" s="3257"/>
      <c r="V50" s="3257"/>
      <c r="W50" s="3257"/>
      <c r="X50" s="2657"/>
      <c r="Y50" s="2657"/>
      <c r="Z50" s="2657"/>
      <c r="AA50" s="2657"/>
      <c r="AB50" s="2657"/>
      <c r="AC50" s="2658"/>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2662</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2663</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2664</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3"/>
    </row>
    <row r="56" spans="1:29" s="502" customFormat="1">
      <c r="A56" s="1148"/>
      <c r="B56" s="1149"/>
      <c r="C56" s="1153"/>
      <c r="D56" s="1148"/>
      <c r="E56" s="1148"/>
      <c r="F56" s="1148"/>
      <c r="G56" s="1148"/>
      <c r="H56" s="1148"/>
      <c r="I56" s="1148"/>
      <c r="J56" s="1148"/>
      <c r="K56" s="1151"/>
      <c r="L56" s="1152"/>
      <c r="M56" s="1148"/>
      <c r="N56" s="1148"/>
      <c r="O56" s="1148"/>
      <c r="P56" s="2683"/>
    </row>
    <row r="57" spans="1:29">
      <c r="A57" s="1147"/>
      <c r="B57" s="1149"/>
      <c r="C57" s="1153"/>
      <c r="D57" s="1147"/>
      <c r="E57" s="1147"/>
      <c r="F57" s="1147"/>
      <c r="G57" s="1147"/>
      <c r="H57" s="1147"/>
      <c r="I57" s="1147"/>
      <c r="J57" s="1147"/>
      <c r="K57" s="1108"/>
      <c r="L57" s="1109"/>
      <c r="M57" s="1147"/>
      <c r="N57" s="1147"/>
      <c r="O57" s="1147"/>
    </row>
    <row r="58" spans="1:29" ht="21.75" thickBot="1">
      <c r="A58" s="763" t="s">
        <v>2665</v>
      </c>
      <c r="B58" s="759"/>
      <c r="C58" s="764"/>
      <c r="D58" s="764"/>
      <c r="E58" s="764"/>
      <c r="F58" s="765"/>
      <c r="G58" s="765"/>
      <c r="H58" s="764"/>
      <c r="I58" s="764"/>
      <c r="J58" s="764"/>
      <c r="K58" s="766"/>
      <c r="L58" s="1164"/>
      <c r="M58" s="1162"/>
      <c r="N58" s="1162"/>
      <c r="O58" s="1162"/>
      <c r="P58" s="2684"/>
      <c r="Q58" s="504"/>
    </row>
    <row r="59" spans="1:29" s="508" customFormat="1" ht="15">
      <c r="A59" s="505" t="s">
        <v>2539</v>
      </c>
      <c r="B59" s="506"/>
      <c r="C59" s="1577" t="str">
        <f>YEAR(C7)&amp;"-"&amp;MONTH(C7)</f>
        <v>2019-3</v>
      </c>
      <c r="D59" s="1578">
        <f>EDATE(C59,-1)</f>
        <v>43497</v>
      </c>
      <c r="E59" s="1578">
        <f>EDATE(D59,-1)</f>
        <v>43466</v>
      </c>
      <c r="F59" s="1578">
        <f t="shared" ref="F59:O59" si="16">EDATE(E59,-1)</f>
        <v>43435</v>
      </c>
      <c r="G59" s="1578">
        <f t="shared" si="16"/>
        <v>43405</v>
      </c>
      <c r="H59" s="1578">
        <f t="shared" si="16"/>
        <v>43374</v>
      </c>
      <c r="I59" s="1578">
        <f t="shared" si="16"/>
        <v>43344</v>
      </c>
      <c r="J59" s="1578">
        <f t="shared" si="16"/>
        <v>43313</v>
      </c>
      <c r="K59" s="1578">
        <f t="shared" si="16"/>
        <v>43282</v>
      </c>
      <c r="L59" s="1578">
        <f t="shared" si="16"/>
        <v>43252</v>
      </c>
      <c r="M59" s="1578">
        <f t="shared" si="16"/>
        <v>43221</v>
      </c>
      <c r="N59" s="1578">
        <f t="shared" si="16"/>
        <v>43191</v>
      </c>
      <c r="O59" s="1578">
        <f t="shared" si="16"/>
        <v>43160</v>
      </c>
      <c r="P59" s="1574"/>
    </row>
    <row r="60" spans="1:29" s="117" customFormat="1" ht="15">
      <c r="A60" s="509"/>
      <c r="B60" s="510"/>
      <c r="C60" s="1576">
        <v>100</v>
      </c>
      <c r="D60" s="512"/>
      <c r="E60" s="512"/>
      <c r="F60" s="512"/>
      <c r="G60" s="512"/>
      <c r="H60" s="512"/>
      <c r="I60" s="512"/>
      <c r="J60" s="512"/>
      <c r="K60" s="512"/>
      <c r="L60" s="512"/>
      <c r="M60" s="513"/>
      <c r="N60" s="512"/>
      <c r="O60" s="513"/>
      <c r="P60" s="2685"/>
    </row>
    <row r="61" spans="1:29" s="117" customFormat="1" ht="15.75" thickBot="1">
      <c r="A61" s="515" t="s">
        <v>2576</v>
      </c>
      <c r="B61" s="516"/>
      <c r="C61" s="517"/>
      <c r="D61" s="518"/>
      <c r="E61" s="518"/>
      <c r="F61" s="518"/>
      <c r="G61" s="518"/>
      <c r="H61" s="518"/>
      <c r="I61" s="518"/>
      <c r="J61" s="518"/>
      <c r="K61" s="518"/>
      <c r="L61" s="518"/>
      <c r="M61" s="519"/>
      <c r="N61" s="518"/>
      <c r="O61" s="519"/>
      <c r="P61" s="2685"/>
      <c r="Q61" s="504"/>
    </row>
    <row r="62" spans="1:29" s="117" customFormat="1" ht="15">
      <c r="A62" s="521" t="s">
        <v>2541</v>
      </c>
      <c r="B62" s="510"/>
      <c r="C62" s="522" t="s">
        <v>2643</v>
      </c>
      <c r="D62" s="523"/>
      <c r="E62" s="523"/>
      <c r="F62" s="523"/>
      <c r="G62" s="523"/>
      <c r="H62" s="523"/>
      <c r="I62" s="523"/>
      <c r="J62" s="523"/>
      <c r="K62" s="523"/>
      <c r="L62" s="524"/>
      <c r="M62" s="525"/>
      <c r="N62" s="1154"/>
      <c r="O62" s="1154"/>
      <c r="P62" s="2686"/>
      <c r="Q62" s="504"/>
    </row>
    <row r="63" spans="1:29" s="117" customFormat="1" ht="15.75" thickBot="1">
      <c r="A63" s="521"/>
      <c r="B63" s="510"/>
      <c r="C63" s="511">
        <v>100</v>
      </c>
      <c r="D63" s="512"/>
      <c r="E63" s="512"/>
      <c r="F63" s="512"/>
      <c r="G63" s="512"/>
      <c r="H63" s="512"/>
      <c r="I63" s="512"/>
      <c r="J63" s="512"/>
      <c r="K63" s="512"/>
      <c r="L63" s="512"/>
      <c r="M63" s="514"/>
      <c r="N63" s="1154"/>
      <c r="O63" s="1154"/>
      <c r="P63" s="2685"/>
      <c r="Q63" s="504"/>
    </row>
    <row r="64" spans="1:29">
      <c r="A64" s="527" t="s">
        <v>2579</v>
      </c>
      <c r="B64" s="528" t="s">
        <v>2545</v>
      </c>
      <c r="C64" s="529">
        <f>C9</f>
        <v>0</v>
      </c>
      <c r="D64" s="530"/>
      <c r="E64" s="530"/>
      <c r="F64" s="530"/>
      <c r="G64" s="530"/>
      <c r="H64" s="530"/>
      <c r="I64" s="530"/>
      <c r="J64" s="530"/>
      <c r="K64" s="531"/>
      <c r="L64" s="532"/>
      <c r="M64" s="533"/>
      <c r="N64" s="1155"/>
      <c r="O64" s="1155"/>
      <c r="P64" s="2687"/>
      <c r="Q64" s="504"/>
    </row>
    <row r="65" spans="1:17" ht="15.75" thickBot="1">
      <c r="A65" s="534"/>
      <c r="B65" s="535"/>
      <c r="C65" s="536">
        <v>100</v>
      </c>
      <c r="D65" s="536"/>
      <c r="E65" s="536"/>
      <c r="F65" s="536"/>
      <c r="G65" s="536"/>
      <c r="H65" s="536"/>
      <c r="I65" s="536"/>
      <c r="J65" s="536"/>
      <c r="K65" s="536"/>
      <c r="L65" s="536"/>
      <c r="M65" s="537"/>
      <c r="N65" s="1156"/>
      <c r="O65" s="1156"/>
      <c r="P65" s="2687"/>
      <c r="Q65" s="504"/>
    </row>
    <row r="66" spans="1:17" ht="27.75" thickTop="1">
      <c r="A66" s="534"/>
      <c r="B66" s="538" t="s">
        <v>2548</v>
      </c>
      <c r="C66" s="539" t="s">
        <v>2580</v>
      </c>
      <c r="D66" s="539" t="s">
        <v>2581</v>
      </c>
      <c r="E66" s="539" t="s">
        <v>2582</v>
      </c>
      <c r="F66" s="539" t="s">
        <v>2583</v>
      </c>
      <c r="G66" s="539" t="s">
        <v>2584</v>
      </c>
      <c r="H66" s="539" t="s">
        <v>2585</v>
      </c>
      <c r="I66" s="539" t="s">
        <v>2586</v>
      </c>
      <c r="J66" s="539"/>
      <c r="K66" s="540"/>
      <c r="L66" s="541"/>
      <c r="M66" s="542"/>
      <c r="N66" s="1155"/>
      <c r="O66" s="1155"/>
      <c r="P66" s="2687"/>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7"/>
      <c r="Q67" s="504"/>
    </row>
    <row r="68" spans="1:17" ht="15.75" thickTop="1">
      <c r="A68" s="534"/>
      <c r="B68" s="546" t="s">
        <v>2549</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7"/>
      <c r="Q68" s="504"/>
    </row>
    <row r="69" spans="1:17" ht="15">
      <c r="A69" s="534"/>
      <c r="B69" s="548"/>
      <c r="C69" s="549"/>
      <c r="D69" s="549"/>
      <c r="E69" s="549"/>
      <c r="F69" s="549"/>
      <c r="G69" s="549"/>
      <c r="H69" s="549"/>
      <c r="I69" s="549"/>
      <c r="J69" s="549"/>
      <c r="K69" s="550"/>
      <c r="L69" s="551"/>
      <c r="M69" s="552"/>
      <c r="N69" s="1155"/>
      <c r="O69" s="1155"/>
      <c r="P69" s="2687"/>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7"/>
      <c r="Q70" s="504"/>
    </row>
    <row r="71" spans="1:17" s="471" customFormat="1" ht="15.75" thickTop="1">
      <c r="A71" s="553"/>
      <c r="B71" s="538">
        <f>B12</f>
        <v>111</v>
      </c>
      <c r="C71" s="554"/>
      <c r="D71" s="554"/>
      <c r="E71" s="554"/>
      <c r="F71" s="554"/>
      <c r="G71" s="554"/>
      <c r="H71" s="555"/>
      <c r="I71" s="555"/>
      <c r="J71" s="555"/>
      <c r="K71" s="555"/>
      <c r="L71" s="556"/>
      <c r="M71" s="557"/>
      <c r="N71" s="1157"/>
      <c r="O71" s="1157"/>
      <c r="P71" s="2688"/>
      <c r="Q71" s="559"/>
    </row>
    <row r="72" spans="1:17" s="471" customFormat="1" ht="15.75" thickBot="1">
      <c r="A72" s="553"/>
      <c r="B72" s="543"/>
      <c r="C72" s="560"/>
      <c r="D72" s="536"/>
      <c r="E72" s="536"/>
      <c r="F72" s="536"/>
      <c r="G72" s="536"/>
      <c r="H72" s="536"/>
      <c r="I72" s="536"/>
      <c r="J72" s="536"/>
      <c r="K72" s="536"/>
      <c r="L72" s="536"/>
      <c r="M72" s="537"/>
      <c r="N72" s="1156"/>
      <c r="O72" s="1156"/>
      <c r="P72" s="2688"/>
      <c r="Q72" s="559"/>
    </row>
    <row r="73" spans="1:17" s="471" customFormat="1" ht="15.75" thickTop="1">
      <c r="A73" s="553"/>
      <c r="B73" s="538">
        <f>B13</f>
        <v>111</v>
      </c>
      <c r="C73" s="554"/>
      <c r="D73" s="554"/>
      <c r="E73" s="554"/>
      <c r="F73" s="554"/>
      <c r="G73" s="554"/>
      <c r="H73" s="555"/>
      <c r="I73" s="555"/>
      <c r="J73" s="555"/>
      <c r="K73" s="555"/>
      <c r="L73" s="556"/>
      <c r="M73" s="557"/>
      <c r="N73" s="1157"/>
      <c r="O73" s="1157"/>
      <c r="P73" s="2689"/>
      <c r="Q73" s="561"/>
    </row>
    <row r="74" spans="1:17" s="471" customFormat="1" ht="15.75" thickBot="1">
      <c r="A74" s="553"/>
      <c r="B74" s="543"/>
      <c r="C74" s="560"/>
      <c r="D74" s="560"/>
      <c r="E74" s="560"/>
      <c r="F74" s="560"/>
      <c r="G74" s="560"/>
      <c r="H74" s="562"/>
      <c r="I74" s="562"/>
      <c r="J74" s="562"/>
      <c r="K74" s="562"/>
      <c r="L74" s="562"/>
      <c r="M74" s="563"/>
      <c r="N74" s="1157"/>
      <c r="O74" s="1157"/>
      <c r="P74" s="2688"/>
      <c r="Q74" s="559"/>
    </row>
    <row r="75" spans="1:17" s="471" customFormat="1" ht="15.75" thickTop="1">
      <c r="A75" s="553"/>
      <c r="B75" s="546">
        <f>B14</f>
        <v>111</v>
      </c>
      <c r="C75" s="523"/>
      <c r="D75" s="523"/>
      <c r="E75" s="523"/>
      <c r="F75" s="523"/>
      <c r="G75" s="523"/>
      <c r="H75" s="564"/>
      <c r="I75" s="564"/>
      <c r="J75" s="564"/>
      <c r="K75" s="564"/>
      <c r="L75" s="565"/>
      <c r="M75" s="566"/>
      <c r="N75" s="1157"/>
      <c r="O75" s="1157"/>
      <c r="P75" s="2690"/>
      <c r="Q75" s="559"/>
    </row>
    <row r="76" spans="1:17" s="471" customFormat="1" ht="15.75" thickBot="1">
      <c r="A76" s="568"/>
      <c r="B76" s="569"/>
      <c r="C76" s="570"/>
      <c r="D76" s="570"/>
      <c r="E76" s="570"/>
      <c r="F76" s="570"/>
      <c r="G76" s="570"/>
      <c r="H76" s="571"/>
      <c r="I76" s="571"/>
      <c r="J76" s="571"/>
      <c r="K76" s="571"/>
      <c r="L76" s="571"/>
      <c r="M76" s="572"/>
      <c r="N76" s="1157"/>
      <c r="O76" s="1157"/>
      <c r="P76" s="2688"/>
      <c r="Q76" s="559"/>
    </row>
    <row r="77" spans="1:17">
      <c r="A77" s="527" t="s">
        <v>2550</v>
      </c>
      <c r="B77" s="528" t="s">
        <v>2688</v>
      </c>
      <c r="C77" s="573" t="s">
        <v>2588</v>
      </c>
      <c r="D77" s="573" t="s">
        <v>2589</v>
      </c>
      <c r="E77" s="573" t="s">
        <v>2590</v>
      </c>
      <c r="F77" s="573" t="s">
        <v>2591</v>
      </c>
      <c r="G77" s="573" t="s">
        <v>2592</v>
      </c>
      <c r="H77" s="529"/>
      <c r="I77" s="529"/>
      <c r="J77" s="529"/>
      <c r="K77" s="574"/>
      <c r="L77" s="575"/>
      <c r="M77" s="576"/>
      <c r="N77" s="1155"/>
      <c r="O77" s="1155"/>
      <c r="P77" s="2691"/>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7"/>
      <c r="Q78" s="504"/>
    </row>
    <row r="79" spans="1:17" ht="15.75" thickTop="1">
      <c r="A79" s="534"/>
      <c r="B79" s="538" t="s">
        <v>2593</v>
      </c>
      <c r="C79" s="578" t="s">
        <v>2588</v>
      </c>
      <c r="D79" s="578" t="s">
        <v>2589</v>
      </c>
      <c r="E79" s="578" t="s">
        <v>2590</v>
      </c>
      <c r="F79" s="578" t="s">
        <v>2591</v>
      </c>
      <c r="G79" s="578" t="s">
        <v>2592</v>
      </c>
      <c r="H79" s="539"/>
      <c r="I79" s="539"/>
      <c r="J79" s="539"/>
      <c r="K79" s="540"/>
      <c r="L79" s="541"/>
      <c r="M79" s="542"/>
      <c r="N79" s="1155"/>
      <c r="O79" s="1155"/>
      <c r="P79" s="2687"/>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7"/>
      <c r="Q80" s="504"/>
    </row>
    <row r="81" spans="1:17" ht="15.75" thickTop="1">
      <c r="A81" s="534"/>
      <c r="B81" s="538" t="s">
        <v>2594</v>
      </c>
      <c r="C81" s="578" t="s">
        <v>2588</v>
      </c>
      <c r="D81" s="578" t="s">
        <v>2589</v>
      </c>
      <c r="E81" s="578" t="s">
        <v>2590</v>
      </c>
      <c r="F81" s="578" t="s">
        <v>2591</v>
      </c>
      <c r="G81" s="578" t="s">
        <v>2592</v>
      </c>
      <c r="H81" s="539"/>
      <c r="I81" s="539"/>
      <c r="J81" s="539"/>
      <c r="K81" s="540"/>
      <c r="L81" s="541"/>
      <c r="M81" s="542"/>
      <c r="N81" s="1155"/>
      <c r="O81" s="1155"/>
      <c r="P81" s="2687"/>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7"/>
      <c r="Q82" s="504"/>
    </row>
    <row r="83" spans="1:17" ht="15.75" thickTop="1">
      <c r="A83" s="534"/>
      <c r="B83" s="546" t="s">
        <v>2680</v>
      </c>
      <c r="C83" s="660" t="s">
        <v>2666</v>
      </c>
      <c r="D83" s="660" t="s">
        <v>2667</v>
      </c>
      <c r="E83" s="660" t="s">
        <v>2668</v>
      </c>
      <c r="F83" s="660" t="s">
        <v>2669</v>
      </c>
      <c r="G83" s="660" t="s">
        <v>2670</v>
      </c>
      <c r="H83" s="539"/>
      <c r="I83" s="539"/>
      <c r="J83" s="539"/>
      <c r="K83" s="539"/>
      <c r="L83" s="539"/>
      <c r="M83" s="1385"/>
      <c r="N83" s="1156"/>
      <c r="O83" s="1156"/>
      <c r="P83" s="2687"/>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7"/>
      <c r="Q84" s="504"/>
    </row>
    <row r="85" spans="1:17" ht="15.75" thickTop="1">
      <c r="A85" s="534"/>
      <c r="B85" s="538" t="s">
        <v>2689</v>
      </c>
      <c r="C85" s="578" t="s">
        <v>2588</v>
      </c>
      <c r="D85" s="578" t="s">
        <v>2589</v>
      </c>
      <c r="E85" s="578" t="s">
        <v>2590</v>
      </c>
      <c r="F85" s="578" t="s">
        <v>2591</v>
      </c>
      <c r="G85" s="578" t="s">
        <v>2592</v>
      </c>
      <c r="H85" s="539"/>
      <c r="I85" s="539"/>
      <c r="J85" s="539"/>
      <c r="K85" s="540"/>
      <c r="L85" s="541"/>
      <c r="M85" s="542"/>
      <c r="N85" s="1155"/>
      <c r="O85" s="1155"/>
      <c r="P85" s="2687"/>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7"/>
      <c r="Q86" s="504"/>
    </row>
    <row r="87" spans="1:17" s="117" customFormat="1" ht="27.75" thickTop="1">
      <c r="A87" s="579"/>
      <c r="B87" s="538" t="s">
        <v>2690</v>
      </c>
      <c r="C87" s="554"/>
      <c r="D87" s="554"/>
      <c r="E87" s="554"/>
      <c r="F87" s="554"/>
      <c r="G87" s="554"/>
      <c r="H87" s="554"/>
      <c r="I87" s="554"/>
      <c r="J87" s="554"/>
      <c r="K87" s="554"/>
      <c r="L87" s="580"/>
      <c r="M87" s="581"/>
      <c r="N87" s="1154"/>
      <c r="O87" s="1154"/>
      <c r="P87" s="2687"/>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7"/>
      <c r="Q88" s="504"/>
    </row>
    <row r="89" spans="1:17" s="117" customFormat="1" ht="15.75" thickTop="1">
      <c r="A89" s="579"/>
      <c r="B89" s="538" t="str">
        <f>B27</f>
        <v>楼层</v>
      </c>
      <c r="C89" s="554"/>
      <c r="D89" s="554"/>
      <c r="E89" s="554"/>
      <c r="F89" s="2638"/>
      <c r="G89" s="554"/>
      <c r="H89" s="554"/>
      <c r="I89" s="554"/>
      <c r="J89" s="554"/>
      <c r="K89" s="554"/>
      <c r="L89" s="554"/>
      <c r="M89" s="581"/>
      <c r="N89" s="1154"/>
      <c r="O89" s="1154"/>
      <c r="P89" s="2687"/>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7"/>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8"/>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8"/>
      <c r="Q92" s="559"/>
    </row>
    <row r="93" spans="1:17" ht="15.75" thickTop="1">
      <c r="A93" s="534"/>
      <c r="B93" s="538">
        <f>B29</f>
        <v>111</v>
      </c>
      <c r="C93" s="554"/>
      <c r="D93" s="554"/>
      <c r="E93" s="554"/>
      <c r="F93" s="554"/>
      <c r="G93" s="554"/>
      <c r="H93" s="554"/>
      <c r="I93" s="554"/>
      <c r="J93" s="554"/>
      <c r="K93" s="554"/>
      <c r="L93" s="580"/>
      <c r="M93" s="581"/>
      <c r="N93" s="1155"/>
      <c r="O93" s="1155"/>
      <c r="P93" s="2687"/>
      <c r="Q93" s="504"/>
    </row>
    <row r="94" spans="1:17" ht="15.75" thickBot="1">
      <c r="A94" s="534"/>
      <c r="B94" s="543"/>
      <c r="C94" s="560"/>
      <c r="D94" s="536"/>
      <c r="E94" s="536"/>
      <c r="F94" s="536"/>
      <c r="G94" s="536"/>
      <c r="H94" s="536"/>
      <c r="I94" s="536"/>
      <c r="J94" s="536"/>
      <c r="K94" s="536"/>
      <c r="L94" s="536"/>
      <c r="M94" s="537"/>
      <c r="N94" s="1156"/>
      <c r="O94" s="1156"/>
      <c r="P94" s="2687"/>
      <c r="Q94" s="504"/>
    </row>
    <row r="95" spans="1:17" ht="15.75" thickTop="1">
      <c r="A95" s="534"/>
      <c r="B95" s="538">
        <f>B30</f>
        <v>111</v>
      </c>
      <c r="C95" s="554"/>
      <c r="D95" s="554"/>
      <c r="E95" s="554"/>
      <c r="F95" s="554"/>
      <c r="G95" s="583"/>
      <c r="H95" s="583"/>
      <c r="I95" s="583"/>
      <c r="J95" s="583"/>
      <c r="K95" s="584"/>
      <c r="L95" s="585"/>
      <c r="M95" s="586"/>
      <c r="N95" s="1155"/>
      <c r="O95" s="1155"/>
      <c r="P95" s="2687"/>
      <c r="Q95" s="504"/>
    </row>
    <row r="96" spans="1:17" ht="15.75" thickBot="1">
      <c r="A96" s="534"/>
      <c r="B96" s="543"/>
      <c r="C96" s="560"/>
      <c r="D96" s="560"/>
      <c r="E96" s="560"/>
      <c r="F96" s="560"/>
      <c r="G96" s="536"/>
      <c r="H96" s="536"/>
      <c r="I96" s="536"/>
      <c r="J96" s="536"/>
      <c r="K96" s="536"/>
      <c r="L96" s="536"/>
      <c r="M96" s="537"/>
      <c r="N96" s="1156"/>
      <c r="O96" s="1156"/>
      <c r="P96" s="2687"/>
      <c r="Q96" s="504"/>
    </row>
    <row r="97" spans="1:17" ht="15.75" thickTop="1">
      <c r="A97" s="534"/>
      <c r="B97" s="538">
        <f>B31</f>
        <v>111</v>
      </c>
      <c r="C97" s="554"/>
      <c r="D97" s="554"/>
      <c r="E97" s="554"/>
      <c r="F97" s="554"/>
      <c r="G97" s="583"/>
      <c r="H97" s="583"/>
      <c r="I97" s="583"/>
      <c r="J97" s="583"/>
      <c r="K97" s="584"/>
      <c r="L97" s="585"/>
      <c r="M97" s="586"/>
      <c r="N97" s="1155"/>
      <c r="O97" s="1155"/>
      <c r="P97" s="2687"/>
      <c r="Q97" s="504"/>
    </row>
    <row r="98" spans="1:17" ht="15.75" thickBot="1">
      <c r="A98" s="534"/>
      <c r="B98" s="543"/>
      <c r="C98" s="560"/>
      <c r="D98" s="536"/>
      <c r="E98" s="536"/>
      <c r="F98" s="536"/>
      <c r="G98" s="536"/>
      <c r="H98" s="536"/>
      <c r="I98" s="536"/>
      <c r="J98" s="536"/>
      <c r="K98" s="536"/>
      <c r="L98" s="536"/>
      <c r="M98" s="537"/>
      <c r="N98" s="1156"/>
      <c r="O98" s="1156"/>
      <c r="P98" s="2687"/>
      <c r="Q98" s="504"/>
    </row>
    <row r="99" spans="1:17" ht="15.75" thickTop="1">
      <c r="A99" s="534"/>
      <c r="B99" s="546">
        <f>B32</f>
        <v>111</v>
      </c>
      <c r="C99" s="523"/>
      <c r="D99" s="523"/>
      <c r="E99" s="523"/>
      <c r="F99" s="523"/>
      <c r="G99" s="587"/>
      <c r="H99" s="587"/>
      <c r="I99" s="587"/>
      <c r="J99" s="587"/>
      <c r="K99" s="588"/>
      <c r="L99" s="589"/>
      <c r="M99" s="590"/>
      <c r="N99" s="1155"/>
      <c r="O99" s="1155"/>
      <c r="P99" s="2687"/>
      <c r="Q99" s="504"/>
    </row>
    <row r="100" spans="1:17" ht="15.75" thickBot="1">
      <c r="A100" s="2639"/>
      <c r="B100" s="569"/>
      <c r="C100" s="570"/>
      <c r="D100" s="570"/>
      <c r="E100" s="570"/>
      <c r="F100" s="570"/>
      <c r="G100" s="591"/>
      <c r="H100" s="591"/>
      <c r="I100" s="591"/>
      <c r="J100" s="591"/>
      <c r="K100" s="591"/>
      <c r="L100" s="591"/>
      <c r="M100" s="592"/>
      <c r="N100" s="1156"/>
      <c r="O100" s="1156"/>
      <c r="P100" s="2687"/>
      <c r="Q100" s="504"/>
    </row>
    <row r="101" spans="1:17">
      <c r="A101" s="527" t="s">
        <v>2554</v>
      </c>
      <c r="B101" s="528" t="s">
        <v>2603</v>
      </c>
      <c r="C101" s="530"/>
      <c r="D101" s="530"/>
      <c r="E101" s="530"/>
      <c r="F101" s="530"/>
      <c r="G101" s="530"/>
      <c r="H101" s="530"/>
      <c r="I101" s="530"/>
      <c r="J101" s="530"/>
      <c r="K101" s="531"/>
      <c r="L101" s="532"/>
      <c r="M101" s="533"/>
      <c r="N101" s="1155"/>
      <c r="O101" s="1155"/>
      <c r="P101" s="2687"/>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7"/>
      <c r="Q102" s="504"/>
    </row>
    <row r="103" spans="1:17" ht="15.75" thickTop="1">
      <c r="A103" s="534"/>
      <c r="B103" s="538" t="s">
        <v>2604</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7"/>
      <c r="Q103" s="504"/>
    </row>
    <row r="104" spans="1:17" s="471" customFormat="1">
      <c r="A104" s="593"/>
      <c r="B104" s="594"/>
      <c r="C104" s="595"/>
      <c r="D104" s="595"/>
      <c r="E104" s="595"/>
      <c r="F104" s="595"/>
      <c r="G104" s="595"/>
      <c r="H104" s="595"/>
      <c r="I104" s="595"/>
      <c r="J104" s="596"/>
      <c r="K104" s="596"/>
      <c r="L104" s="597"/>
      <c r="M104" s="598"/>
      <c r="N104" s="1157"/>
      <c r="O104" s="1157"/>
      <c r="P104" s="2688"/>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8"/>
      <c r="Q105" s="559"/>
    </row>
    <row r="106" spans="1:17" ht="15" thickTop="1">
      <c r="A106" s="599"/>
      <c r="B106" s="538" t="s">
        <v>2605</v>
      </c>
      <c r="C106" s="554"/>
      <c r="D106" s="554"/>
      <c r="E106" s="583"/>
      <c r="F106" s="583"/>
      <c r="G106" s="583"/>
      <c r="H106" s="583"/>
      <c r="I106" s="583"/>
      <c r="J106" s="583"/>
      <c r="K106" s="584"/>
      <c r="L106" s="585"/>
      <c r="M106" s="586"/>
      <c r="N106" s="1155"/>
      <c r="O106" s="1155"/>
      <c r="P106" s="2687"/>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7"/>
      <c r="Q107" s="504"/>
    </row>
    <row r="108" spans="1:17" ht="15" thickTop="1">
      <c r="A108" s="599"/>
      <c r="B108" s="538" t="s">
        <v>2607</v>
      </c>
      <c r="C108" s="554"/>
      <c r="D108" s="554"/>
      <c r="E108" s="554"/>
      <c r="F108" s="583"/>
      <c r="G108" s="583"/>
      <c r="H108" s="583"/>
      <c r="I108" s="583"/>
      <c r="J108" s="583"/>
      <c r="K108" s="584"/>
      <c r="L108" s="585"/>
      <c r="M108" s="586"/>
      <c r="N108" s="1155"/>
      <c r="O108" s="1155"/>
      <c r="P108" s="2687"/>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7"/>
      <c r="Q109" s="504"/>
    </row>
    <row r="110" spans="1:17" ht="15" thickTop="1">
      <c r="A110" s="599"/>
      <c r="B110" s="538" t="s">
        <v>1988</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7"/>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7"/>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7"/>
      <c r="Q112" s="504"/>
    </row>
    <row r="113" spans="1:17" s="471" customFormat="1" ht="15" thickTop="1">
      <c r="A113" s="593"/>
      <c r="B113" s="538" t="s">
        <v>2691</v>
      </c>
      <c r="C113" s="554"/>
      <c r="D113" s="554"/>
      <c r="E113" s="554"/>
      <c r="F113" s="554"/>
      <c r="G113" s="554"/>
      <c r="H113" s="583"/>
      <c r="I113" s="583"/>
      <c r="J113" s="583"/>
      <c r="K113" s="584"/>
      <c r="L113" s="585"/>
      <c r="M113" s="586"/>
      <c r="N113" s="1157"/>
      <c r="O113" s="1157"/>
      <c r="P113" s="2688"/>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8"/>
      <c r="Q114" s="559"/>
    </row>
    <row r="115" spans="1:17" ht="15" thickTop="1">
      <c r="A115" s="599"/>
      <c r="B115" s="538" t="s">
        <v>2608</v>
      </c>
      <c r="C115" s="554"/>
      <c r="D115" s="554"/>
      <c r="E115" s="583"/>
      <c r="F115" s="583"/>
      <c r="G115" s="583"/>
      <c r="H115" s="583"/>
      <c r="I115" s="583"/>
      <c r="J115" s="583"/>
      <c r="K115" s="584"/>
      <c r="L115" s="585"/>
      <c r="M115" s="586"/>
      <c r="N115" s="1155"/>
      <c r="O115" s="1155"/>
      <c r="P115" s="2687"/>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7"/>
      <c r="Q116" s="504"/>
    </row>
    <row r="117" spans="1:17" ht="15" thickTop="1">
      <c r="A117" s="599"/>
      <c r="B117" s="538" t="s">
        <v>2609</v>
      </c>
      <c r="C117" s="554"/>
      <c r="D117" s="554"/>
      <c r="E117" s="554"/>
      <c r="F117" s="554"/>
      <c r="G117" s="554"/>
      <c r="H117" s="583"/>
      <c r="I117" s="583"/>
      <c r="J117" s="583"/>
      <c r="K117" s="584"/>
      <c r="L117" s="585"/>
      <c r="M117" s="586"/>
      <c r="N117" s="1155"/>
      <c r="O117" s="1155"/>
      <c r="P117" s="2687"/>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7"/>
      <c r="Q118" s="504"/>
    </row>
    <row r="119" spans="1:17" ht="15" thickTop="1">
      <c r="A119" s="599"/>
      <c r="B119" s="636" t="s">
        <v>2692</v>
      </c>
      <c r="C119" s="583"/>
      <c r="D119" s="583"/>
      <c r="E119" s="583"/>
      <c r="F119" s="583"/>
      <c r="G119" s="583"/>
      <c r="H119" s="583"/>
      <c r="I119" s="583"/>
      <c r="J119" s="583"/>
      <c r="K119" s="583"/>
      <c r="L119" s="2692"/>
      <c r="M119" s="2693"/>
      <c r="N119" s="1156"/>
      <c r="O119" s="1156"/>
      <c r="P119" s="2694"/>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7"/>
      <c r="Q120" s="504"/>
    </row>
    <row r="121" spans="1:17" s="471" customFormat="1" ht="15" thickTop="1">
      <c r="A121" s="593"/>
      <c r="B121" s="538" t="s">
        <v>2675</v>
      </c>
      <c r="C121" s="554"/>
      <c r="D121" s="554"/>
      <c r="E121" s="554"/>
      <c r="F121" s="583"/>
      <c r="G121" s="555"/>
      <c r="H121" s="555"/>
      <c r="I121" s="555"/>
      <c r="J121" s="555"/>
      <c r="K121" s="555"/>
      <c r="L121" s="556"/>
      <c r="M121" s="557"/>
      <c r="N121" s="1157"/>
      <c r="O121" s="1157"/>
      <c r="P121" s="2688"/>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8"/>
      <c r="Q122" s="559"/>
    </row>
    <row r="123" spans="1:17" ht="15" thickTop="1">
      <c r="A123" s="599"/>
      <c r="B123" s="538" t="s">
        <v>2611</v>
      </c>
      <c r="C123" s="554"/>
      <c r="D123" s="554"/>
      <c r="E123" s="554"/>
      <c r="F123" s="583"/>
      <c r="G123" s="583"/>
      <c r="H123" s="583"/>
      <c r="I123" s="583"/>
      <c r="J123" s="583"/>
      <c r="K123" s="584"/>
      <c r="L123" s="585"/>
      <c r="M123" s="586"/>
      <c r="N123" s="1155"/>
      <c r="O123" s="1155"/>
      <c r="P123" s="2687"/>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7"/>
      <c r="Q124" s="504"/>
    </row>
    <row r="125" spans="1:17" ht="15" thickTop="1">
      <c r="A125" s="599"/>
      <c r="B125" s="538" t="s">
        <v>2612</v>
      </c>
      <c r="C125" s="578" t="s">
        <v>2588</v>
      </c>
      <c r="D125" s="578" t="s">
        <v>2589</v>
      </c>
      <c r="E125" s="578" t="s">
        <v>2590</v>
      </c>
      <c r="F125" s="578" t="s">
        <v>2591</v>
      </c>
      <c r="G125" s="578" t="s">
        <v>2592</v>
      </c>
      <c r="H125" s="539"/>
      <c r="I125" s="539"/>
      <c r="J125" s="539"/>
      <c r="K125" s="540"/>
      <c r="L125" s="541"/>
      <c r="M125" s="542"/>
      <c r="N125" s="1155"/>
      <c r="O125" s="1155"/>
      <c r="P125" s="2688"/>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7"/>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8"/>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8"/>
      <c r="Q128" s="559"/>
    </row>
    <row r="129" spans="1:17" ht="15" thickTop="1">
      <c r="A129" s="599"/>
      <c r="B129" s="538">
        <f>B46</f>
        <v>111</v>
      </c>
      <c r="C129" s="554"/>
      <c r="D129" s="554"/>
      <c r="E129" s="554"/>
      <c r="F129" s="554"/>
      <c r="G129" s="583"/>
      <c r="H129" s="583"/>
      <c r="I129" s="583"/>
      <c r="J129" s="583"/>
      <c r="K129" s="584"/>
      <c r="L129" s="585"/>
      <c r="M129" s="586"/>
      <c r="N129" s="1155"/>
      <c r="O129" s="1155"/>
      <c r="P129" s="2687"/>
      <c r="Q129" s="504"/>
    </row>
    <row r="130" spans="1:17" ht="15.75" thickBot="1">
      <c r="A130" s="534"/>
      <c r="B130" s="543"/>
      <c r="C130" s="560"/>
      <c r="D130" s="560"/>
      <c r="E130" s="560"/>
      <c r="F130" s="560"/>
      <c r="G130" s="536"/>
      <c r="H130" s="536"/>
      <c r="I130" s="536"/>
      <c r="J130" s="536"/>
      <c r="K130" s="536"/>
      <c r="L130" s="536"/>
      <c r="M130" s="537"/>
      <c r="N130" s="1156"/>
      <c r="O130" s="1156"/>
      <c r="P130" s="2687"/>
      <c r="Q130" s="504"/>
    </row>
    <row r="131" spans="1:17" ht="15" thickTop="1">
      <c r="A131" s="599"/>
      <c r="B131" s="546">
        <f>B47</f>
        <v>111</v>
      </c>
      <c r="C131" s="523"/>
      <c r="D131" s="523"/>
      <c r="E131" s="523"/>
      <c r="F131" s="523"/>
      <c r="G131" s="587"/>
      <c r="H131" s="587"/>
      <c r="I131" s="587"/>
      <c r="J131" s="587"/>
      <c r="K131" s="523"/>
      <c r="L131" s="524"/>
      <c r="M131" s="590"/>
      <c r="N131" s="1155"/>
      <c r="O131" s="1155"/>
      <c r="P131" s="2687"/>
      <c r="Q131" s="504"/>
    </row>
    <row r="132" spans="1:17" ht="15.75" thickBot="1">
      <c r="A132" s="2639"/>
      <c r="B132" s="569"/>
      <c r="C132" s="570"/>
      <c r="D132" s="570"/>
      <c r="E132" s="570"/>
      <c r="F132" s="570"/>
      <c r="G132" s="591"/>
      <c r="H132" s="591"/>
      <c r="I132" s="591"/>
      <c r="J132" s="591"/>
      <c r="K132" s="591"/>
      <c r="L132" s="591"/>
      <c r="M132" s="592"/>
      <c r="N132" s="1156"/>
      <c r="O132" s="1156"/>
      <c r="P132" s="2687"/>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8" customWidth="1"/>
    <col min="2" max="16384" width="9" style="1948"/>
  </cols>
  <sheetData>
    <row r="1" spans="1:1" ht="23.25">
      <c r="A1" s="1947" t="s">
        <v>1607</v>
      </c>
    </row>
    <row r="2" spans="1:1">
      <c r="A2" s="1949"/>
    </row>
    <row r="3" spans="1:1" ht="18">
      <c r="A3" s="1950" t="str">
        <f>项目基本情况!B5&amp;"："</f>
        <v>北京新能源汽车股份有限公司：</v>
      </c>
    </row>
    <row r="4" spans="1:1" ht="36">
      <c r="A4" s="1951" t="str">
        <f>"受贵公司委托，我公司对"&amp;项目基本情况!S1&amp;"进行了预评估。"</f>
        <v>受贵公司委托，我公司对北京市北京经济技术开发区东环中路5号11幢等6幢楼工业用房房地产抵押价值进行了预评估。</v>
      </c>
    </row>
    <row r="5" spans="1:1" ht="18.75">
      <c r="A5" s="1952" t="s">
        <v>1608</v>
      </c>
    </row>
    <row r="6" spans="1:1" ht="18.75">
      <c r="A6" s="1953" t="s">
        <v>1609</v>
      </c>
    </row>
    <row r="7" spans="1:1" ht="54">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北京经济技术开发区东环中路5号11幢等6幢楼工业用房房地产，为北京新能源汽车股份有限公司所有。根据，估价对象（分摊）出让国有建设用地使用权面积为109852.9平方米，建筑面积为134490.28平方米。</v>
      </c>
    </row>
    <row r="8" spans="1:1" ht="57.75">
      <c r="A8" s="1954" t="s">
        <v>1610</v>
      </c>
    </row>
    <row r="9" spans="1:1" ht="18.75">
      <c r="A9" s="1953" t="s">
        <v>1611</v>
      </c>
    </row>
    <row r="10" spans="1:1" ht="72">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北京经济技术开发区东环中路5号11幢等6幢楼工业用房房地产,属北京新能源汽车股份有限公司开发建设的工业项目，该项目尚在开发建设中。根据，估价对象（分摊）出让国有建设用地使用权面积为109852.9平方米，规划建筑面积为134490.28平方米。</v>
      </c>
    </row>
    <row r="11" spans="1:1" ht="76.5">
      <c r="A11" s="1954" t="s">
        <v>1612</v>
      </c>
    </row>
    <row r="12" spans="1:1" ht="18.75">
      <c r="A12" s="1952" t="s">
        <v>1613</v>
      </c>
    </row>
    <row r="13" spans="1:1" ht="38.25" customHeight="1">
      <c r="A13" s="1955" t="str">
        <f>IF(项目基本情况!B8="抵押",IF(项目基本情况!B5=项目基本情况!B6,定义!C51,定义!B51),定义!D51)</f>
        <v>为估价委托人在向中国农业银行股份有限公司北京顺义支行办理贷款手续过程中，确定房地产抵押贷款额度提供参考依据而评估房地产抵押价值。</v>
      </c>
    </row>
    <row r="14" spans="1:1" ht="18.75">
      <c r="A14" s="1956" t="s">
        <v>1614</v>
      </c>
    </row>
    <row r="15" spans="1:1" ht="18">
      <c r="A15" s="1957" t="str">
        <f>TEXT(项目基本情况!D3,"yyyy年m月d日;;")&amp;IF(项目基本情况!D3=项目基本情况!B3,"（评估专业人员实地查勘之日）","")</f>
        <v>2019年3月4日（评估专业人员实地查勘之日）</v>
      </c>
    </row>
    <row r="16" spans="1:1" ht="18.75">
      <c r="A16" s="1956" t="s">
        <v>1615</v>
      </c>
    </row>
    <row r="17" spans="1:1" ht="75">
      <c r="A17" s="1951" t="s">
        <v>1616</v>
      </c>
    </row>
    <row r="18" spans="1:1" ht="54">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3月4日，估价对象规划用途为工业，土地取得方式为出让，出让国有建设用地使用权剩余土地使用年限为31.48年，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六通”（即通路、通电、通讯、通上水、通下水、燃气）、红线内场地平整条件下，剩余土地使用年限为31.48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6" t="s">
        <v>1605</v>
      </c>
    </row>
    <row r="24" spans="1:1" ht="18">
      <c r="A24" s="1958" t="str">
        <f>"本次评估采用的主估价方法为"&amp;结果表!K4&amp;"和"&amp;结果表!L4&amp;"。"</f>
        <v>本次评估采用的主估价方法为成本法和收益法。</v>
      </c>
    </row>
    <row r="25" spans="1:1" ht="18">
      <c r="A25" s="1958"/>
    </row>
    <row r="26" spans="1:1" ht="18.75">
      <c r="A26" s="1959" t="s">
        <v>1606</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N6" sqref="AN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2519</v>
      </c>
      <c r="B1" s="2672" t="s">
        <v>2693</v>
      </c>
      <c r="C1" s="1623" t="s">
        <v>2521</v>
      </c>
      <c r="D1" s="1624"/>
      <c r="E1" s="1633"/>
      <c r="F1" s="2587"/>
      <c r="G1" s="1634" t="s">
        <v>2634</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2318</v>
      </c>
      <c r="B2" s="1421" t="e">
        <f ca="1">IF(C2="——",ROUND(C43*D3/10000,0),ROUND(C43*D3/10000,0)-D2)</f>
        <v>#DIV/0!</v>
      </c>
      <c r="C2" s="2589"/>
      <c r="D2" s="1127" t="e">
        <f ca="1">SUMIF(INDIRECT("'"&amp;F2&amp;"'"&amp;"!A:A"),"承租人权益价值",INDIRECT("'"&amp;F2&amp;"'"&amp;"!c:c"))</f>
        <v>#REF!</v>
      </c>
      <c r="E2" s="2590" t="s">
        <v>2319</v>
      </c>
      <c r="F2" s="2591"/>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2320</v>
      </c>
      <c r="B3" s="609" t="e">
        <f ca="1">IF(C2="——",C43,ROUND(B2*10000/D3,0))</f>
        <v>#DIV/0!</v>
      </c>
      <c r="C3" s="400" t="s">
        <v>2635</v>
      </c>
      <c r="D3" s="399">
        <f>IF(D1="",'数据-汇总表'!E3,SUMIF('数据-汇总表'!$C19:$C33,D1,'数据-汇总表'!$E19:$E33))</f>
        <v>134490.28</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2636</v>
      </c>
      <c r="B4" s="402"/>
      <c r="C4" s="3227" t="s">
        <v>2637</v>
      </c>
      <c r="D4" s="3228"/>
      <c r="E4" s="3229" t="s">
        <v>2638</v>
      </c>
      <c r="F4" s="3230"/>
      <c r="G4" s="3227" t="s">
        <v>2639</v>
      </c>
      <c r="H4" s="3228"/>
      <c r="I4" s="3227" t="s">
        <v>2640</v>
      </c>
      <c r="J4" s="3228"/>
      <c r="K4" s="610" t="s">
        <v>2641</v>
      </c>
      <c r="L4" s="1133"/>
      <c r="M4" s="1134"/>
      <c r="N4" s="1134"/>
      <c r="O4" s="1134"/>
      <c r="P4" s="3231" t="s">
        <v>2642</v>
      </c>
      <c r="Q4" s="3232"/>
      <c r="R4" s="3237" t="s">
        <v>2638</v>
      </c>
      <c r="S4" s="3238"/>
      <c r="T4" s="3237" t="s">
        <v>2639</v>
      </c>
      <c r="U4" s="3238"/>
      <c r="V4" s="3243" t="s">
        <v>2640</v>
      </c>
      <c r="W4" s="3243"/>
      <c r="X4" s="1816"/>
      <c r="Y4" s="3237" t="s">
        <v>2642</v>
      </c>
      <c r="Z4" s="3238"/>
      <c r="AA4" s="3224" t="s">
        <v>2638</v>
      </c>
      <c r="AB4" s="3225" t="s">
        <v>2639</v>
      </c>
      <c r="AC4" s="3224" t="s">
        <v>2640</v>
      </c>
    </row>
    <row r="5" spans="1:29" ht="15">
      <c r="A5" s="404"/>
      <c r="B5" s="405"/>
      <c r="C5" s="3246" t="s">
        <v>2533</v>
      </c>
      <c r="D5" s="3247"/>
      <c r="E5" s="3253" t="s">
        <v>2534</v>
      </c>
      <c r="F5" s="3254"/>
      <c r="G5" s="3246" t="s">
        <v>2535</v>
      </c>
      <c r="H5" s="3247"/>
      <c r="I5" s="3246" t="s">
        <v>2536</v>
      </c>
      <c r="J5" s="3247"/>
      <c r="K5" s="610"/>
      <c r="L5" s="1133"/>
      <c r="M5" s="1134"/>
      <c r="N5" s="1134"/>
      <c r="O5" s="1134"/>
      <c r="P5" s="3233"/>
      <c r="Q5" s="3234"/>
      <c r="R5" s="3239"/>
      <c r="S5" s="3240"/>
      <c r="T5" s="3239"/>
      <c r="U5" s="3240"/>
      <c r="V5" s="3243"/>
      <c r="W5" s="3243"/>
      <c r="X5" s="1816"/>
      <c r="Y5" s="3239"/>
      <c r="Z5" s="3240"/>
      <c r="AA5" s="3225"/>
      <c r="AB5" s="3225"/>
      <c r="AC5" s="3225"/>
    </row>
    <row r="6" spans="1:29" ht="15.75" thickBot="1">
      <c r="A6" s="406"/>
      <c r="B6" s="407"/>
      <c r="C6" s="3244" t="s">
        <v>2537</v>
      </c>
      <c r="D6" s="3245"/>
      <c r="E6" s="3251" t="s">
        <v>2537</v>
      </c>
      <c r="F6" s="3252"/>
      <c r="G6" s="3244" t="s">
        <v>2537</v>
      </c>
      <c r="H6" s="3245"/>
      <c r="I6" s="3244" t="s">
        <v>2537</v>
      </c>
      <c r="J6" s="3245"/>
      <c r="K6" s="610" t="s">
        <v>2538</v>
      </c>
      <c r="L6" s="1133"/>
      <c r="M6" s="1134"/>
      <c r="N6" s="1134"/>
      <c r="O6" s="1134"/>
      <c r="P6" s="3235"/>
      <c r="Q6" s="3236"/>
      <c r="R6" s="3239"/>
      <c r="S6" s="3240"/>
      <c r="T6" s="3241"/>
      <c r="U6" s="3242"/>
      <c r="V6" s="3243"/>
      <c r="W6" s="3243"/>
      <c r="X6" s="1816"/>
      <c r="Y6" s="3241"/>
      <c r="Z6" s="3242"/>
      <c r="AA6" s="3226"/>
      <c r="AB6" s="3226"/>
      <c r="AC6" s="3226"/>
    </row>
    <row r="7" spans="1:29" s="117" customFormat="1" ht="15.75" thickBot="1">
      <c r="A7" s="408" t="s">
        <v>2539</v>
      </c>
      <c r="B7" s="409"/>
      <c r="C7" s="410">
        <f>'数据-取费表'!B2</f>
        <v>43528</v>
      </c>
      <c r="D7" s="411">
        <v>100</v>
      </c>
      <c r="E7" s="412"/>
      <c r="F7" s="413">
        <f>SUMIF(52:52,YEAR(E7)&amp;"-"&amp;MONTH(E7),53:53)</f>
        <v>0</v>
      </c>
      <c r="G7" s="412"/>
      <c r="H7" s="411">
        <f>SUMIF(52:52,YEAR(G7)&amp;"-"&amp;MONTH(G7),53:53)</f>
        <v>0</v>
      </c>
      <c r="I7" s="412"/>
      <c r="J7" s="411">
        <f>SUMIF(52:52,YEAR(I7)&amp;"-"&amp;MONTH(I7),53:53)</f>
        <v>0</v>
      </c>
      <c r="K7" s="611"/>
      <c r="L7" s="1135"/>
      <c r="M7" s="1136"/>
      <c r="N7" s="1136"/>
      <c r="O7" s="1136"/>
      <c r="P7" s="3248" t="s">
        <v>2540</v>
      </c>
      <c r="Q7" s="3250"/>
      <c r="R7" s="770" t="s">
        <v>17</v>
      </c>
      <c r="S7" s="771">
        <f t="shared" ref="S7:S15" si="0">F7</f>
        <v>0</v>
      </c>
      <c r="T7" s="770" t="s">
        <v>17</v>
      </c>
      <c r="U7" s="771">
        <f t="shared" ref="U7:U15" si="1">H7</f>
        <v>0</v>
      </c>
      <c r="V7" s="770" t="s">
        <v>17</v>
      </c>
      <c r="W7" s="771">
        <f t="shared" ref="W7:W15" si="2">J7</f>
        <v>0</v>
      </c>
      <c r="X7" s="772"/>
      <c r="Y7" s="3248" t="s">
        <v>2540</v>
      </c>
      <c r="Z7" s="3249"/>
      <c r="AA7" s="773" t="e">
        <f>D7/F7</f>
        <v>#DIV/0!</v>
      </c>
      <c r="AB7" s="773" t="e">
        <f>D7/H7</f>
        <v>#DIV/0!</v>
      </c>
      <c r="AC7" s="773" t="e">
        <f>D7/J7</f>
        <v>#DIV/0!</v>
      </c>
    </row>
    <row r="8" spans="1:29" s="117" customFormat="1" ht="15.75" thickBot="1">
      <c r="A8" s="408" t="s">
        <v>2541</v>
      </c>
      <c r="B8" s="409"/>
      <c r="C8" s="414" t="s">
        <v>2542</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248" t="s">
        <v>2543</v>
      </c>
      <c r="Q8" s="3249"/>
      <c r="R8" s="770" t="s">
        <v>17</v>
      </c>
      <c r="S8" s="771">
        <f t="shared" si="0"/>
        <v>0</v>
      </c>
      <c r="T8" s="770" t="s">
        <v>17</v>
      </c>
      <c r="U8" s="771">
        <f t="shared" si="1"/>
        <v>0</v>
      </c>
      <c r="V8" s="770" t="s">
        <v>17</v>
      </c>
      <c r="W8" s="771">
        <f t="shared" si="2"/>
        <v>0</v>
      </c>
      <c r="X8" s="772"/>
      <c r="Y8" s="3248" t="s">
        <v>2543</v>
      </c>
      <c r="Z8" s="3249"/>
      <c r="AA8" s="773" t="e">
        <f t="shared" ref="AA8:AA40" si="3">D8/F8</f>
        <v>#DIV/0!</v>
      </c>
      <c r="AB8" s="773" t="e">
        <f t="shared" ref="AB8:AB40" si="4">D8/H8</f>
        <v>#DIV/0!</v>
      </c>
      <c r="AC8" s="773" t="e">
        <f t="shared" ref="AC8:AC40" si="5">D8/J8</f>
        <v>#DIV/0!</v>
      </c>
    </row>
    <row r="9" spans="1:29" s="117" customFormat="1">
      <c r="A9" s="415" t="s">
        <v>2544</v>
      </c>
      <c r="B9" s="71" t="s">
        <v>2545</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212" t="s">
        <v>2546</v>
      </c>
      <c r="Q9" s="1798" t="str">
        <f t="shared" ref="Q9:Q15" si="6">B9</f>
        <v>用途</v>
      </c>
      <c r="R9" s="770" t="s">
        <v>17</v>
      </c>
      <c r="S9" s="771">
        <f t="shared" si="0"/>
        <v>100</v>
      </c>
      <c r="T9" s="770" t="s">
        <v>17</v>
      </c>
      <c r="U9" s="771">
        <f t="shared" si="1"/>
        <v>100</v>
      </c>
      <c r="V9" s="770" t="s">
        <v>17</v>
      </c>
      <c r="W9" s="771">
        <f t="shared" si="2"/>
        <v>100</v>
      </c>
      <c r="X9" s="772"/>
      <c r="Y9" s="3037" t="s">
        <v>2547</v>
      </c>
      <c r="Z9" s="55" t="str">
        <f t="shared" ref="Z9:Z15" si="7">Q9</f>
        <v>用途</v>
      </c>
      <c r="AA9" s="773">
        <f t="shared" si="3"/>
        <v>1</v>
      </c>
      <c r="AB9" s="773">
        <f t="shared" si="4"/>
        <v>1</v>
      </c>
      <c r="AC9" s="773">
        <f t="shared" si="5"/>
        <v>1</v>
      </c>
    </row>
    <row r="10" spans="1:29" s="427" customFormat="1" ht="27">
      <c r="A10" s="421"/>
      <c r="B10" s="422" t="s">
        <v>2548</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212"/>
      <c r="Q10" s="1798"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773">
        <f t="shared" si="5"/>
        <v>1</v>
      </c>
    </row>
    <row r="11" spans="1:29" ht="15">
      <c r="A11" s="428"/>
      <c r="B11" s="422" t="s">
        <v>2549</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212"/>
      <c r="Q11" s="1798" t="str">
        <f t="shared" si="6"/>
        <v>容积率</v>
      </c>
      <c r="R11" s="770" t="s">
        <v>17</v>
      </c>
      <c r="S11" s="771" t="e">
        <f t="shared" si="0"/>
        <v>#N/A</v>
      </c>
      <c r="T11" s="770" t="s">
        <v>17</v>
      </c>
      <c r="U11" s="771" t="e">
        <f t="shared" si="1"/>
        <v>#N/A</v>
      </c>
      <c r="V11" s="770" t="s">
        <v>17</v>
      </c>
      <c r="W11" s="771" t="e">
        <f t="shared" si="2"/>
        <v>#N/A</v>
      </c>
      <c r="X11" s="772"/>
      <c r="Y11" s="3037"/>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136">
        <f>SUMIF(64:64,E12,65:65)-SUMIF(64:64,C12,65:65)+100</f>
        <v>100</v>
      </c>
      <c r="G12" s="2695"/>
      <c r="H12" s="136">
        <f>SUMIF(64:64,G12,65:65)-SUMIF(64:64,C12,65:65)+100</f>
        <v>100</v>
      </c>
      <c r="I12" s="469"/>
      <c r="J12" s="136">
        <f>SUMIF(64:64,I12,65:65)-SUMIF(64:64,C12,65:65)+100</f>
        <v>100</v>
      </c>
      <c r="K12" s="613"/>
      <c r="L12" s="1135"/>
      <c r="M12" s="1136"/>
      <c r="N12" s="1136"/>
      <c r="O12" s="1137"/>
      <c r="P12" s="3212"/>
      <c r="Q12" s="1798">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773">
        <f>D12/J12</f>
        <v>1</v>
      </c>
    </row>
    <row r="13" spans="1:29" ht="15">
      <c r="A13" s="428"/>
      <c r="B13" s="2603">
        <v>111</v>
      </c>
      <c r="C13" s="434"/>
      <c r="D13" s="435">
        <v>100</v>
      </c>
      <c r="E13" s="434"/>
      <c r="F13" s="136">
        <f>SUMIF(66:66,E13,67:67)-SUMIF(66:66,C13,67:67)+100</f>
        <v>100</v>
      </c>
      <c r="G13" s="2695"/>
      <c r="H13" s="435">
        <f>SUMIF(66:66,G13,67:67)-SUMIF(66:66,C13,67:67)+100</f>
        <v>100</v>
      </c>
      <c r="I13" s="469"/>
      <c r="J13" s="435">
        <f>SUMIF(66:66,I13,67:67)-SUMIF(66:66,C13,67:67)+100</f>
        <v>100</v>
      </c>
      <c r="K13" s="613"/>
      <c r="L13" s="1143"/>
      <c r="M13" s="1134"/>
      <c r="N13" s="1134"/>
      <c r="O13" s="1142"/>
      <c r="P13" s="3212"/>
      <c r="Q13" s="1798">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773">
        <f t="shared" si="5"/>
        <v>1</v>
      </c>
    </row>
    <row r="14" spans="1:29" ht="15.75" thickBot="1">
      <c r="A14" s="436"/>
      <c r="B14" s="2605">
        <v>111</v>
      </c>
      <c r="C14" s="437"/>
      <c r="D14" s="438">
        <v>100</v>
      </c>
      <c r="E14" s="437"/>
      <c r="F14" s="438">
        <f>SUMIF(68:68,E14,69:69)-SUMIF(68:68,C14,69:69)+100</f>
        <v>100</v>
      </c>
      <c r="G14" s="2695"/>
      <c r="H14" s="438">
        <f>SUMIF(68:68,G14,69:69)-SUMIF(68:68,C14,69:69)+100</f>
        <v>100</v>
      </c>
      <c r="I14" s="469"/>
      <c r="J14" s="438">
        <f>SUMIF(68:68,I14,69:69)-SUMIF(68:68,C14,69:69)+100</f>
        <v>100</v>
      </c>
      <c r="K14" s="613"/>
      <c r="L14" s="1143"/>
      <c r="M14" s="1134"/>
      <c r="N14" s="1134"/>
      <c r="O14" s="1142"/>
      <c r="P14" s="3212"/>
      <c r="Q14" s="1798">
        <f t="shared" si="6"/>
        <v>111</v>
      </c>
      <c r="R14" s="770" t="s">
        <v>17</v>
      </c>
      <c r="S14" s="771">
        <f t="shared" si="0"/>
        <v>100</v>
      </c>
      <c r="T14" s="770" t="s">
        <v>17</v>
      </c>
      <c r="U14" s="771">
        <f t="shared" si="1"/>
        <v>100</v>
      </c>
      <c r="V14" s="770" t="s">
        <v>17</v>
      </c>
      <c r="W14" s="771">
        <f t="shared" si="2"/>
        <v>100</v>
      </c>
      <c r="X14" s="772"/>
      <c r="Y14" s="3037"/>
      <c r="Z14" s="55">
        <f t="shared" si="7"/>
        <v>111</v>
      </c>
      <c r="AA14" s="773">
        <f t="shared" si="3"/>
        <v>1</v>
      </c>
      <c r="AB14" s="773">
        <f t="shared" si="4"/>
        <v>1</v>
      </c>
      <c r="AC14" s="773">
        <f t="shared" si="5"/>
        <v>1</v>
      </c>
    </row>
    <row r="15" spans="1:29" ht="57">
      <c r="A15" s="440" t="s">
        <v>2550</v>
      </c>
      <c r="B15" s="69" t="s">
        <v>2694</v>
      </c>
      <c r="C15" s="2696"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214" t="s">
        <v>2551</v>
      </c>
      <c r="Q15" s="1813" t="str">
        <f t="shared" si="6"/>
        <v>产业集聚程度</v>
      </c>
      <c r="R15" s="774" t="s">
        <v>17</v>
      </c>
      <c r="S15" s="775">
        <f t="shared" si="0"/>
        <v>100</v>
      </c>
      <c r="T15" s="774" t="s">
        <v>17</v>
      </c>
      <c r="U15" s="775">
        <f t="shared" si="1"/>
        <v>100</v>
      </c>
      <c r="V15" s="774" t="s">
        <v>17</v>
      </c>
      <c r="W15" s="775">
        <f t="shared" si="2"/>
        <v>100</v>
      </c>
      <c r="X15" s="1816"/>
      <c r="Y15" s="3214" t="s">
        <v>2551</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215"/>
      <c r="Q16" s="1813"/>
      <c r="R16" s="774"/>
      <c r="S16" s="775"/>
      <c r="T16" s="774"/>
      <c r="U16" s="775"/>
      <c r="V16" s="774"/>
      <c r="W16" s="775"/>
      <c r="X16" s="1816"/>
      <c r="Y16" s="3215"/>
      <c r="Z16" s="1817"/>
      <c r="AA16" s="1814">
        <v>1</v>
      </c>
      <c r="AB16" s="1814">
        <v>1</v>
      </c>
      <c r="AC16" s="1814">
        <v>1</v>
      </c>
    </row>
    <row r="17" spans="1:29" ht="85.5">
      <c r="A17" s="428"/>
      <c r="B17" s="451" t="s">
        <v>2090</v>
      </c>
      <c r="C17" s="2610"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215"/>
      <c r="Q17" s="1813" t="str">
        <f>B17</f>
        <v>交通便捷度</v>
      </c>
      <c r="R17" s="774" t="s">
        <v>17</v>
      </c>
      <c r="S17" s="775">
        <f>F17</f>
        <v>100</v>
      </c>
      <c r="T17" s="774" t="s">
        <v>17</v>
      </c>
      <c r="U17" s="775">
        <f>H17</f>
        <v>100</v>
      </c>
      <c r="V17" s="774" t="s">
        <v>17</v>
      </c>
      <c r="W17" s="775">
        <f>J17</f>
        <v>100</v>
      </c>
      <c r="X17" s="1816"/>
      <c r="Y17" s="3215"/>
      <c r="Z17" s="1817" t="str">
        <f>Q17</f>
        <v>交通便捷度</v>
      </c>
      <c r="AA17" s="1814">
        <f t="shared" si="3"/>
        <v>1</v>
      </c>
      <c r="AB17" s="1814">
        <f t="shared" si="4"/>
        <v>1</v>
      </c>
      <c r="AC17" s="1814">
        <f t="shared" si="5"/>
        <v>1</v>
      </c>
    </row>
    <row r="18" spans="1:29" ht="15">
      <c r="A18" s="428"/>
      <c r="B18" s="456"/>
      <c r="C18" s="2611"/>
      <c r="D18" s="450"/>
      <c r="E18" s="2613"/>
      <c r="F18" s="453"/>
      <c r="G18" s="2612"/>
      <c r="H18" s="448"/>
      <c r="I18" s="2613"/>
      <c r="J18" s="448"/>
      <c r="K18" s="615"/>
      <c r="L18" s="1143"/>
      <c r="M18" s="1134"/>
      <c r="N18" s="1134"/>
      <c r="O18" s="1142"/>
      <c r="P18" s="3215"/>
      <c r="Q18" s="1813"/>
      <c r="R18" s="774"/>
      <c r="S18" s="775"/>
      <c r="T18" s="774"/>
      <c r="U18" s="775"/>
      <c r="V18" s="774"/>
      <c r="W18" s="775"/>
      <c r="X18" s="1816"/>
      <c r="Y18" s="3215"/>
      <c r="Z18" s="1817"/>
      <c r="AA18" s="1814">
        <v>1</v>
      </c>
      <c r="AB18" s="1814">
        <v>1</v>
      </c>
      <c r="AC18" s="1814">
        <v>1</v>
      </c>
    </row>
    <row r="19" spans="1:29" ht="42.75">
      <c r="A19" s="428"/>
      <c r="B19" s="451" t="s">
        <v>2679</v>
      </c>
      <c r="C19" s="2610"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215"/>
      <c r="Q19" s="1813" t="str">
        <f>B19</f>
        <v>公共配套设施</v>
      </c>
      <c r="R19" s="774" t="s">
        <v>17</v>
      </c>
      <c r="S19" s="775">
        <f>F19</f>
        <v>100</v>
      </c>
      <c r="T19" s="774" t="s">
        <v>17</v>
      </c>
      <c r="U19" s="775">
        <f>H19</f>
        <v>100</v>
      </c>
      <c r="V19" s="774" t="s">
        <v>17</v>
      </c>
      <c r="W19" s="775">
        <f>J19</f>
        <v>100</v>
      </c>
      <c r="X19" s="1816"/>
      <c r="Y19" s="3215"/>
      <c r="Z19" s="1817" t="str">
        <f>Q19</f>
        <v>公共配套设施</v>
      </c>
      <c r="AA19" s="1814">
        <f t="shared" si="3"/>
        <v>1</v>
      </c>
      <c r="AB19" s="1814">
        <f t="shared" si="4"/>
        <v>1</v>
      </c>
      <c r="AC19" s="1814">
        <f t="shared" si="5"/>
        <v>1</v>
      </c>
    </row>
    <row r="20" spans="1:29" ht="15">
      <c r="A20" s="428"/>
      <c r="B20" s="456"/>
      <c r="C20" s="447"/>
      <c r="D20" s="448"/>
      <c r="E20" s="2608"/>
      <c r="F20" s="449"/>
      <c r="G20" s="2607"/>
      <c r="H20" s="448"/>
      <c r="I20" s="2608"/>
      <c r="J20" s="448"/>
      <c r="K20" s="615"/>
      <c r="L20" s="1143"/>
      <c r="M20" s="1134"/>
      <c r="N20" s="1134"/>
      <c r="O20" s="1142"/>
      <c r="P20" s="3215"/>
      <c r="Q20" s="1813"/>
      <c r="R20" s="774"/>
      <c r="S20" s="775"/>
      <c r="T20" s="774"/>
      <c r="U20" s="775"/>
      <c r="V20" s="774"/>
      <c r="W20" s="775"/>
      <c r="X20" s="1816"/>
      <c r="Y20" s="3215"/>
      <c r="Z20" s="1817"/>
      <c r="AA20" s="1814">
        <v>1</v>
      </c>
      <c r="AB20" s="1814">
        <v>1</v>
      </c>
      <c r="AC20" s="1814">
        <v>1</v>
      </c>
    </row>
    <row r="21" spans="1:29" ht="28.5">
      <c r="A21" s="428"/>
      <c r="B21" s="1387" t="s">
        <v>2680</v>
      </c>
      <c r="C21" s="2610"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215"/>
      <c r="Q21" s="1813" t="str">
        <f>B21</f>
        <v>基础设施水平</v>
      </c>
      <c r="R21" s="774" t="s">
        <v>17</v>
      </c>
      <c r="S21" s="775">
        <f>F21</f>
        <v>100</v>
      </c>
      <c r="T21" s="774" t="s">
        <v>17</v>
      </c>
      <c r="U21" s="775">
        <f>H21</f>
        <v>100</v>
      </c>
      <c r="V21" s="774" t="s">
        <v>17</v>
      </c>
      <c r="W21" s="775">
        <f>J21</f>
        <v>100</v>
      </c>
      <c r="X21" s="1816"/>
      <c r="Y21" s="3215"/>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9"/>
      <c r="G22" s="447"/>
      <c r="H22" s="448"/>
      <c r="I22" s="447"/>
      <c r="J22" s="448"/>
      <c r="K22" s="1386"/>
      <c r="L22" s="1143"/>
      <c r="M22" s="1134"/>
      <c r="N22" s="1134"/>
      <c r="O22" s="1142"/>
      <c r="P22" s="3215"/>
      <c r="Q22" s="1813"/>
      <c r="R22" s="774"/>
      <c r="S22" s="775"/>
      <c r="T22" s="774"/>
      <c r="U22" s="775"/>
      <c r="V22" s="774"/>
      <c r="W22" s="775"/>
      <c r="X22" s="1816"/>
      <c r="Y22" s="3215"/>
      <c r="Z22" s="1817"/>
      <c r="AA22" s="1814">
        <v>1</v>
      </c>
      <c r="AB22" s="1814">
        <v>1</v>
      </c>
      <c r="AC22" s="1814">
        <v>1</v>
      </c>
    </row>
    <row r="23" spans="1:29" ht="71.25">
      <c r="A23" s="428"/>
      <c r="B23" s="451" t="s">
        <v>2681</v>
      </c>
      <c r="C23" s="2610"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215"/>
      <c r="Q23" s="1813" t="str">
        <f>B23</f>
        <v>环境质量</v>
      </c>
      <c r="R23" s="774" t="s">
        <v>17</v>
      </c>
      <c r="S23" s="775">
        <f>F23</f>
        <v>100</v>
      </c>
      <c r="T23" s="774" t="s">
        <v>17</v>
      </c>
      <c r="U23" s="775">
        <f>H23</f>
        <v>100</v>
      </c>
      <c r="V23" s="774" t="s">
        <v>17</v>
      </c>
      <c r="W23" s="775">
        <f>J23</f>
        <v>100</v>
      </c>
      <c r="X23" s="1816"/>
      <c r="Y23" s="3215"/>
      <c r="Z23" s="1817" t="str">
        <f>Q23</f>
        <v>环境质量</v>
      </c>
      <c r="AA23" s="1814">
        <f t="shared" si="3"/>
        <v>1</v>
      </c>
      <c r="AB23" s="1814">
        <f t="shared" si="4"/>
        <v>1</v>
      </c>
      <c r="AC23" s="1814">
        <f t="shared" si="5"/>
        <v>1</v>
      </c>
    </row>
    <row r="24" spans="1:29" ht="15">
      <c r="A24" s="428"/>
      <c r="B24" s="1387"/>
      <c r="C24" s="447"/>
      <c r="D24" s="448"/>
      <c r="E24" s="2608"/>
      <c r="F24" s="449"/>
      <c r="G24" s="2607"/>
      <c r="H24" s="448"/>
      <c r="I24" s="2608"/>
      <c r="J24" s="448"/>
      <c r="K24" s="615"/>
      <c r="L24" s="1143"/>
      <c r="M24" s="1134"/>
      <c r="N24" s="1134"/>
      <c r="O24" s="1142"/>
      <c r="P24" s="3215"/>
      <c r="Q24" s="1813"/>
      <c r="R24" s="774"/>
      <c r="S24" s="775"/>
      <c r="T24" s="774"/>
      <c r="U24" s="775"/>
      <c r="V24" s="774"/>
      <c r="W24" s="775"/>
      <c r="X24" s="1816"/>
      <c r="Y24" s="3215"/>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215"/>
      <c r="Q25" s="1813">
        <f>B25</f>
        <v>111</v>
      </c>
      <c r="R25" s="774" t="s">
        <v>17</v>
      </c>
      <c r="S25" s="775">
        <f>F25</f>
        <v>100</v>
      </c>
      <c r="T25" s="774" t="s">
        <v>17</v>
      </c>
      <c r="U25" s="775">
        <f>H25</f>
        <v>100</v>
      </c>
      <c r="V25" s="774" t="s">
        <v>17</v>
      </c>
      <c r="W25" s="775">
        <f>J25</f>
        <v>100</v>
      </c>
      <c r="X25" s="1816"/>
      <c r="Y25" s="3215"/>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215"/>
      <c r="Q26" s="1813">
        <f t="shared" ref="Q26:Q40" si="11">B26</f>
        <v>111</v>
      </c>
      <c r="R26" s="774" t="s">
        <v>17</v>
      </c>
      <c r="S26" s="775">
        <f>F26</f>
        <v>100</v>
      </c>
      <c r="T26" s="774" t="s">
        <v>17</v>
      </c>
      <c r="U26" s="775">
        <f>H26</f>
        <v>100</v>
      </c>
      <c r="V26" s="774" t="s">
        <v>17</v>
      </c>
      <c r="W26" s="775">
        <f>J26</f>
        <v>100</v>
      </c>
      <c r="X26" s="1816"/>
      <c r="Y26" s="3215"/>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215"/>
      <c r="Q27" s="1798">
        <f t="shared" si="11"/>
        <v>111</v>
      </c>
      <c r="R27" s="770" t="s">
        <v>17</v>
      </c>
      <c r="S27" s="771">
        <f>F27</f>
        <v>100</v>
      </c>
      <c r="T27" s="770" t="s">
        <v>17</v>
      </c>
      <c r="U27" s="771">
        <f>H27</f>
        <v>100</v>
      </c>
      <c r="V27" s="770" t="s">
        <v>17</v>
      </c>
      <c r="W27" s="771">
        <f>J27</f>
        <v>100</v>
      </c>
      <c r="X27" s="772"/>
      <c r="Y27" s="3215"/>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215"/>
      <c r="Q28" s="1813">
        <f t="shared" si="11"/>
        <v>111</v>
      </c>
      <c r="R28" s="774" t="s">
        <v>17</v>
      </c>
      <c r="S28" s="775">
        <f t="shared" ref="S28:S40" si="12">F28</f>
        <v>100</v>
      </c>
      <c r="T28" s="774" t="s">
        <v>17</v>
      </c>
      <c r="U28" s="775">
        <f t="shared" ref="U28:U40" si="13">H28</f>
        <v>100</v>
      </c>
      <c r="V28" s="774" t="s">
        <v>17</v>
      </c>
      <c r="W28" s="775">
        <f t="shared" ref="W28:W40" si="14">J28</f>
        <v>100</v>
      </c>
      <c r="X28" s="1816"/>
      <c r="Y28" s="3215"/>
      <c r="Z28" s="1817">
        <f t="shared" ref="Z28:Z40" si="15">Q28</f>
        <v>111</v>
      </c>
      <c r="AA28" s="1814">
        <f t="shared" si="3"/>
        <v>1</v>
      </c>
      <c r="AB28" s="1814">
        <f t="shared" si="4"/>
        <v>1</v>
      </c>
      <c r="AC28" s="1814">
        <f t="shared" si="5"/>
        <v>1</v>
      </c>
    </row>
    <row r="29" spans="1:29" ht="28.5">
      <c r="A29" s="466" t="s">
        <v>2554</v>
      </c>
      <c r="B29" s="71" t="s">
        <v>2684</v>
      </c>
      <c r="C29" s="2682"/>
      <c r="D29" s="467">
        <v>100</v>
      </c>
      <c r="E29" s="2682"/>
      <c r="F29" s="461">
        <f>SUMIF(88:88,E29,89:89)-SUMIF(88:88,C29,89:89)+100</f>
        <v>100</v>
      </c>
      <c r="G29" s="2682"/>
      <c r="H29" s="435">
        <f>SUMIF(88:88,G29,89:89)-SUMIF(88:88,C29,89:89)+100</f>
        <v>100</v>
      </c>
      <c r="I29" s="2682"/>
      <c r="J29" s="467">
        <f>SUMIF(88:88,I29,89:89)-SUMIF(88:88,C29,89:89)+100</f>
        <v>100</v>
      </c>
      <c r="K29" s="612"/>
      <c r="L29" s="1143"/>
      <c r="M29" s="1134"/>
      <c r="N29" s="1134"/>
      <c r="O29" s="1142"/>
      <c r="P29" s="3270" t="s">
        <v>2556</v>
      </c>
      <c r="Q29" s="1813" t="str">
        <f t="shared" si="11"/>
        <v>建筑类型</v>
      </c>
      <c r="R29" s="774" t="s">
        <v>17</v>
      </c>
      <c r="S29" s="775">
        <f t="shared" si="12"/>
        <v>100</v>
      </c>
      <c r="T29" s="774" t="s">
        <v>17</v>
      </c>
      <c r="U29" s="775">
        <f t="shared" si="13"/>
        <v>100</v>
      </c>
      <c r="V29" s="774" t="s">
        <v>17</v>
      </c>
      <c r="W29" s="775">
        <f t="shared" si="14"/>
        <v>100</v>
      </c>
      <c r="X29" s="1816"/>
      <c r="Y29" s="3219" t="s">
        <v>2556</v>
      </c>
      <c r="Z29" s="1817" t="str">
        <f t="shared" si="15"/>
        <v>建筑类型</v>
      </c>
      <c r="AA29" s="1814">
        <f t="shared" si="3"/>
        <v>1</v>
      </c>
      <c r="AB29" s="1814">
        <f t="shared" si="4"/>
        <v>1</v>
      </c>
      <c r="AC29" s="1814">
        <f t="shared" si="5"/>
        <v>1</v>
      </c>
    </row>
    <row r="30" spans="1:29" s="471" customFormat="1" ht="15">
      <c r="A30" s="468"/>
      <c r="B30" s="422" t="s">
        <v>2557</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219"/>
      <c r="Q30" s="776" t="str">
        <f t="shared" si="11"/>
        <v>项目建筑规模</v>
      </c>
      <c r="R30" s="777" t="s">
        <v>17</v>
      </c>
      <c r="S30" s="778" t="e">
        <f t="shared" si="12"/>
        <v>#N/A</v>
      </c>
      <c r="T30" s="777" t="s">
        <v>17</v>
      </c>
      <c r="U30" s="778" t="e">
        <f t="shared" si="13"/>
        <v>#N/A</v>
      </c>
      <c r="V30" s="777" t="s">
        <v>17</v>
      </c>
      <c r="W30" s="778" t="e">
        <f t="shared" si="14"/>
        <v>#N/A</v>
      </c>
      <c r="X30" s="779"/>
      <c r="Y30" s="3219"/>
      <c r="Z30" s="780" t="str">
        <f t="shared" si="15"/>
        <v>项目建筑规模</v>
      </c>
      <c r="AA30" s="1814" t="e">
        <f t="shared" si="3"/>
        <v>#N/A</v>
      </c>
      <c r="AB30" s="1814" t="e">
        <f t="shared" si="4"/>
        <v>#N/A</v>
      </c>
      <c r="AC30" s="1814" t="e">
        <f t="shared" si="5"/>
        <v>#N/A</v>
      </c>
    </row>
    <row r="31" spans="1:29" ht="15">
      <c r="A31" s="472"/>
      <c r="B31" s="422" t="s">
        <v>2558</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219"/>
      <c r="Q31" s="1813" t="str">
        <f t="shared" si="11"/>
        <v>建筑结构</v>
      </c>
      <c r="R31" s="774" t="s">
        <v>17</v>
      </c>
      <c r="S31" s="775">
        <f t="shared" si="12"/>
        <v>100</v>
      </c>
      <c r="T31" s="774" t="s">
        <v>17</v>
      </c>
      <c r="U31" s="775">
        <f t="shared" si="13"/>
        <v>100</v>
      </c>
      <c r="V31" s="774" t="s">
        <v>17</v>
      </c>
      <c r="W31" s="775">
        <f t="shared" si="14"/>
        <v>100</v>
      </c>
      <c r="X31" s="1816"/>
      <c r="Y31" s="3219"/>
      <c r="Z31" s="1817" t="str">
        <f t="shared" si="15"/>
        <v>建筑结构</v>
      </c>
      <c r="AA31" s="1814">
        <f t="shared" si="3"/>
        <v>1</v>
      </c>
      <c r="AB31" s="1814">
        <f t="shared" si="4"/>
        <v>1</v>
      </c>
      <c r="AC31" s="1814">
        <f t="shared" si="5"/>
        <v>1</v>
      </c>
    </row>
    <row r="32" spans="1:29" ht="15">
      <c r="A32" s="472"/>
      <c r="B32" s="422" t="s">
        <v>2652</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219"/>
      <c r="Q32" s="1813" t="str">
        <f t="shared" si="11"/>
        <v>公共部分装修</v>
      </c>
      <c r="R32" s="774" t="s">
        <v>17</v>
      </c>
      <c r="S32" s="775">
        <f t="shared" si="12"/>
        <v>100</v>
      </c>
      <c r="T32" s="774" t="s">
        <v>17</v>
      </c>
      <c r="U32" s="775">
        <f t="shared" si="13"/>
        <v>100</v>
      </c>
      <c r="V32" s="774" t="s">
        <v>17</v>
      </c>
      <c r="W32" s="775">
        <f t="shared" si="14"/>
        <v>100</v>
      </c>
      <c r="X32" s="1816"/>
      <c r="Y32" s="3219"/>
      <c r="Z32" s="1817" t="str">
        <f t="shared" si="15"/>
        <v>公共部分装修</v>
      </c>
      <c r="AA32" s="1814">
        <f t="shared" si="3"/>
        <v>1</v>
      </c>
      <c r="AB32" s="1814">
        <f t="shared" si="4"/>
        <v>1</v>
      </c>
      <c r="AC32" s="1814">
        <f t="shared" si="5"/>
        <v>1</v>
      </c>
    </row>
    <row r="33" spans="1:29" ht="15">
      <c r="A33" s="472"/>
      <c r="B33" s="422" t="s">
        <v>2653</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219"/>
      <c r="Q33" s="1813" t="str">
        <f t="shared" si="11"/>
        <v>成新度</v>
      </c>
      <c r="R33" s="774" t="s">
        <v>17</v>
      </c>
      <c r="S33" s="775" t="e">
        <f t="shared" si="12"/>
        <v>#N/A</v>
      </c>
      <c r="T33" s="774" t="s">
        <v>17</v>
      </c>
      <c r="U33" s="775" t="e">
        <f t="shared" si="13"/>
        <v>#N/A</v>
      </c>
      <c r="V33" s="774" t="s">
        <v>17</v>
      </c>
      <c r="W33" s="775" t="e">
        <f t="shared" si="14"/>
        <v>#N/A</v>
      </c>
      <c r="X33" s="1816"/>
      <c r="Y33" s="3219"/>
      <c r="Z33" s="1817" t="str">
        <f t="shared" si="15"/>
        <v>成新度</v>
      </c>
      <c r="AA33" s="1814" t="e">
        <f t="shared" si="3"/>
        <v>#N/A</v>
      </c>
      <c r="AB33" s="1814" t="e">
        <f t="shared" si="4"/>
        <v>#N/A</v>
      </c>
      <c r="AC33" s="1814" t="e">
        <f t="shared" si="5"/>
        <v>#N/A</v>
      </c>
    </row>
    <row r="34" spans="1:29" s="117" customFormat="1" ht="15">
      <c r="A34" s="473"/>
      <c r="B34" s="422" t="s">
        <v>2686</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219"/>
      <c r="Q34" s="1798" t="str">
        <f t="shared" si="11"/>
        <v>物业管理</v>
      </c>
      <c r="R34" s="770" t="s">
        <v>17</v>
      </c>
      <c r="S34" s="771">
        <f t="shared" si="12"/>
        <v>100</v>
      </c>
      <c r="T34" s="770" t="s">
        <v>17</v>
      </c>
      <c r="U34" s="771">
        <f t="shared" si="13"/>
        <v>100</v>
      </c>
      <c r="V34" s="770" t="s">
        <v>17</v>
      </c>
      <c r="W34" s="771">
        <f t="shared" si="14"/>
        <v>100</v>
      </c>
      <c r="X34" s="772"/>
      <c r="Y34" s="3219"/>
      <c r="Z34" s="55" t="str">
        <f t="shared" si="15"/>
        <v>物业管理</v>
      </c>
      <c r="AA34" s="773">
        <f t="shared" si="3"/>
        <v>1</v>
      </c>
      <c r="AB34" s="773">
        <f t="shared" si="4"/>
        <v>1</v>
      </c>
      <c r="AC34" s="773">
        <f t="shared" si="5"/>
        <v>1</v>
      </c>
    </row>
    <row r="35" spans="1:29" ht="15">
      <c r="A35" s="472"/>
      <c r="B35" s="422" t="s">
        <v>2654</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219" t="s">
        <v>2556</v>
      </c>
      <c r="Q35" s="1813" t="str">
        <f t="shared" si="11"/>
        <v>市政基础设施</v>
      </c>
      <c r="R35" s="774" t="s">
        <v>17</v>
      </c>
      <c r="S35" s="775">
        <f t="shared" si="12"/>
        <v>100</v>
      </c>
      <c r="T35" s="774" t="s">
        <v>17</v>
      </c>
      <c r="U35" s="775">
        <f t="shared" si="13"/>
        <v>100</v>
      </c>
      <c r="V35" s="774" t="s">
        <v>17</v>
      </c>
      <c r="W35" s="775">
        <f t="shared" si="14"/>
        <v>100</v>
      </c>
      <c r="X35" s="1816"/>
      <c r="Y35" s="3219" t="s">
        <v>2556</v>
      </c>
      <c r="Z35" s="1817" t="str">
        <f t="shared" si="15"/>
        <v>市政基础设施</v>
      </c>
      <c r="AA35" s="1814">
        <f t="shared" si="3"/>
        <v>1</v>
      </c>
      <c r="AB35" s="1814">
        <f t="shared" si="4"/>
        <v>1</v>
      </c>
      <c r="AC35" s="1814">
        <f t="shared" si="5"/>
        <v>1</v>
      </c>
    </row>
    <row r="36" spans="1:29" ht="15">
      <c r="A36" s="472"/>
      <c r="B36" s="422" t="s">
        <v>2659</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219"/>
      <c r="Q36" s="1813" t="str">
        <f t="shared" si="11"/>
        <v>内部装修</v>
      </c>
      <c r="R36" s="774" t="s">
        <v>17</v>
      </c>
      <c r="S36" s="775">
        <f t="shared" si="12"/>
        <v>100</v>
      </c>
      <c r="T36" s="774" t="s">
        <v>17</v>
      </c>
      <c r="U36" s="775">
        <f t="shared" si="13"/>
        <v>100</v>
      </c>
      <c r="V36" s="774" t="s">
        <v>17</v>
      </c>
      <c r="W36" s="775">
        <f t="shared" si="14"/>
        <v>100</v>
      </c>
      <c r="X36" s="1816"/>
      <c r="Y36" s="3219"/>
      <c r="Z36" s="1817" t="str">
        <f t="shared" si="15"/>
        <v>内部装修</v>
      </c>
      <c r="AA36" s="1814">
        <f t="shared" si="3"/>
        <v>1</v>
      </c>
      <c r="AB36" s="1814">
        <f t="shared" si="4"/>
        <v>1</v>
      </c>
      <c r="AC36" s="1814">
        <f t="shared" si="5"/>
        <v>1</v>
      </c>
    </row>
    <row r="37" spans="1:29" ht="15">
      <c r="A37" s="472"/>
      <c r="B37" s="422" t="s">
        <v>2695</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219"/>
      <c r="Q37" s="1813" t="str">
        <f t="shared" si="11"/>
        <v>内部装修状况</v>
      </c>
      <c r="R37" s="774" t="s">
        <v>17</v>
      </c>
      <c r="S37" s="775">
        <f t="shared" si="12"/>
        <v>100</v>
      </c>
      <c r="T37" s="774" t="s">
        <v>17</v>
      </c>
      <c r="U37" s="775">
        <f t="shared" si="13"/>
        <v>100</v>
      </c>
      <c r="V37" s="774" t="s">
        <v>17</v>
      </c>
      <c r="W37" s="775">
        <f t="shared" si="14"/>
        <v>100</v>
      </c>
      <c r="X37" s="1816"/>
      <c r="Y37" s="3219"/>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19"/>
      <c r="Q38" s="776">
        <f t="shared" si="11"/>
        <v>111</v>
      </c>
      <c r="R38" s="777" t="s">
        <v>17</v>
      </c>
      <c r="S38" s="778">
        <f t="shared" si="12"/>
        <v>100</v>
      </c>
      <c r="T38" s="777" t="s">
        <v>17</v>
      </c>
      <c r="U38" s="778">
        <f t="shared" si="13"/>
        <v>100</v>
      </c>
      <c r="V38" s="777" t="s">
        <v>17</v>
      </c>
      <c r="W38" s="778">
        <f t="shared" si="14"/>
        <v>100</v>
      </c>
      <c r="X38" s="779"/>
      <c r="Y38" s="3219"/>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19"/>
      <c r="Q39" s="1813">
        <f t="shared" si="11"/>
        <v>111</v>
      </c>
      <c r="R39" s="774" t="s">
        <v>17</v>
      </c>
      <c r="S39" s="775">
        <f t="shared" si="12"/>
        <v>100</v>
      </c>
      <c r="T39" s="774" t="s">
        <v>17</v>
      </c>
      <c r="U39" s="775">
        <f t="shared" si="13"/>
        <v>100</v>
      </c>
      <c r="V39" s="774" t="s">
        <v>17</v>
      </c>
      <c r="W39" s="775">
        <f t="shared" si="14"/>
        <v>100</v>
      </c>
      <c r="X39" s="1816"/>
      <c r="Y39" s="3219"/>
      <c r="Z39" s="1817">
        <f t="shared" si="15"/>
        <v>111</v>
      </c>
      <c r="AA39" s="1814">
        <f t="shared" si="3"/>
        <v>1</v>
      </c>
      <c r="AB39" s="1814">
        <f t="shared" si="4"/>
        <v>1</v>
      </c>
      <c r="AC39" s="1814">
        <f t="shared" si="5"/>
        <v>1</v>
      </c>
    </row>
    <row r="40" spans="1:29" ht="15.75" thickBot="1">
      <c r="A40" s="478"/>
      <c r="B40" s="2605">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20"/>
      <c r="Q40" s="1813">
        <f t="shared" si="11"/>
        <v>111</v>
      </c>
      <c r="R40" s="774" t="s">
        <v>17</v>
      </c>
      <c r="S40" s="775">
        <f t="shared" si="12"/>
        <v>100</v>
      </c>
      <c r="T40" s="774" t="s">
        <v>17</v>
      </c>
      <c r="U40" s="775">
        <f t="shared" si="13"/>
        <v>100</v>
      </c>
      <c r="V40" s="774" t="s">
        <v>17</v>
      </c>
      <c r="W40" s="775">
        <f t="shared" si="14"/>
        <v>100</v>
      </c>
      <c r="X40" s="1816"/>
      <c r="Y40" s="3220"/>
      <c r="Z40" s="1817">
        <f t="shared" si="15"/>
        <v>111</v>
      </c>
      <c r="AA40" s="1814">
        <f t="shared" si="3"/>
        <v>1</v>
      </c>
      <c r="AB40" s="1814">
        <f t="shared" si="4"/>
        <v>1</v>
      </c>
      <c r="AC40" s="1814">
        <f t="shared" si="5"/>
        <v>1</v>
      </c>
    </row>
    <row r="41" spans="1:29" ht="15">
      <c r="A41" s="479" t="s">
        <v>2568</v>
      </c>
      <c r="B41" s="480"/>
      <c r="C41" s="1410" t="s">
        <v>1</v>
      </c>
      <c r="D41" s="1411"/>
      <c r="E41" s="1412"/>
      <c r="F41" s="1413"/>
      <c r="G41" s="1414"/>
      <c r="H41" s="1415"/>
      <c r="I41" s="1412"/>
      <c r="J41" s="1415"/>
      <c r="K41" s="783"/>
      <c r="L41" s="1146"/>
      <c r="M41" s="1147"/>
      <c r="N41" s="1134"/>
      <c r="O41" s="1147"/>
      <c r="P41" s="3212" t="str">
        <f>A41</f>
        <v>成交单价（元/平方米）</v>
      </c>
      <c r="Q41" s="3212"/>
      <c r="R41" s="3213">
        <f>E41</f>
        <v>0</v>
      </c>
      <c r="S41" s="3213"/>
      <c r="T41" s="3213">
        <f>G41</f>
        <v>0</v>
      </c>
      <c r="U41" s="3213"/>
      <c r="V41" s="3213">
        <f>I41</f>
        <v>0</v>
      </c>
      <c r="W41" s="3213"/>
      <c r="X41" s="759"/>
      <c r="Y41" s="781"/>
      <c r="Z41" s="759"/>
      <c r="AA41" s="759"/>
      <c r="AB41" s="759"/>
      <c r="AC41" s="759"/>
    </row>
    <row r="42" spans="1:29" ht="15.75" thickBot="1">
      <c r="A42" s="486" t="s">
        <v>2660</v>
      </c>
      <c r="B42" s="487"/>
      <c r="C42" s="1416" t="e">
        <f>R43</f>
        <v>#DIV/0!</v>
      </c>
      <c r="D42" s="1417"/>
      <c r="E42" s="1418" t="e">
        <f>R42</f>
        <v>#DIV/0!</v>
      </c>
      <c r="F42" s="1418"/>
      <c r="G42" s="1416" t="e">
        <f>T42</f>
        <v>#DIV/0!</v>
      </c>
      <c r="H42" s="1417"/>
      <c r="I42" s="1418" t="e">
        <f>V42</f>
        <v>#DIV/0!</v>
      </c>
      <c r="J42" s="1417"/>
      <c r="K42" s="784"/>
      <c r="L42" s="1146"/>
      <c r="M42" s="1147"/>
      <c r="N42" s="1134"/>
      <c r="O42" s="1147"/>
      <c r="P42" s="3212" t="str">
        <f>A42</f>
        <v>比较价值（元/平方米）</v>
      </c>
      <c r="Q42" s="3212"/>
      <c r="R42" s="3213" t="e">
        <f>IF(F1="售价",ROUND(PRODUCT(R41,AA7:AA40),0),ROUND(PRODUCT(R41,AA7:AA40),1))</f>
        <v>#DIV/0!</v>
      </c>
      <c r="S42" s="3213"/>
      <c r="T42" s="3213" t="e">
        <f>IF(F1="售价",ROUND(PRODUCT(T41,AB7:AB40),0),ROUND(PRODUCT(T41,AB7:AB40),1))</f>
        <v>#DIV/0!</v>
      </c>
      <c r="U42" s="3213"/>
      <c r="V42" s="3213" t="e">
        <f>IF(F1="售价",ROUND(PRODUCT(V41,AC7:AC40),0),ROUND(PRODUCT(V41,AC7:AC40),1))</f>
        <v>#DIV/0!</v>
      </c>
      <c r="W42" s="3213"/>
      <c r="X42" s="759"/>
      <c r="Y42" s="759"/>
      <c r="Z42" s="759"/>
      <c r="AA42" s="759"/>
      <c r="AB42" s="759"/>
      <c r="AC42" s="759"/>
    </row>
    <row r="43" spans="1:29" ht="15.75" thickBot="1">
      <c r="A43" s="492" t="s">
        <v>2661</v>
      </c>
      <c r="B43" s="493"/>
      <c r="C43" s="1420" t="e">
        <f>R43</f>
        <v>#DIV/0!</v>
      </c>
      <c r="D43" s="1420"/>
      <c r="E43" s="1420"/>
      <c r="F43" s="1420"/>
      <c r="G43" s="1420"/>
      <c r="H43" s="1420"/>
      <c r="I43" s="1420"/>
      <c r="J43" s="1420"/>
      <c r="K43" s="785"/>
      <c r="L43" s="1146"/>
      <c r="M43" s="1147"/>
      <c r="N43" s="1147"/>
      <c r="O43" s="1147"/>
      <c r="P43" s="3209" t="str">
        <f>A43</f>
        <v>估价对象XX用房的比较价值（楼面单价，元/平方米）</v>
      </c>
      <c r="Q43" s="3210"/>
      <c r="R43" s="3211" t="e">
        <f>IF(F1="售价",ROUND(AVERAGE(R42:V42),0),ROUND(AVERAGE(R42:V42),1))</f>
        <v>#DIV/0!</v>
      </c>
      <c r="S43" s="3211"/>
      <c r="T43" s="3211"/>
      <c r="U43" s="3211"/>
      <c r="V43" s="3211"/>
      <c r="W43" s="3211"/>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2662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2663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2665</v>
      </c>
      <c r="B51" s="759"/>
      <c r="C51" s="764"/>
      <c r="D51" s="764"/>
      <c r="E51" s="764"/>
      <c r="F51" s="765"/>
      <c r="G51" s="765"/>
      <c r="H51" s="764"/>
      <c r="I51" s="764"/>
      <c r="J51" s="764"/>
      <c r="K51" s="1163"/>
      <c r="L51" s="1164"/>
      <c r="M51" s="1162"/>
      <c r="N51" s="1162"/>
      <c r="O51" s="1162"/>
      <c r="P51" s="503"/>
      <c r="Q51" s="504"/>
    </row>
    <row r="52" spans="1:17" s="508" customFormat="1" ht="15">
      <c r="A52" s="505" t="s">
        <v>2539</v>
      </c>
      <c r="B52" s="506"/>
      <c r="C52" s="1577" t="str">
        <f>YEAR(C7)&amp;"-"&amp;MONTH(C7)</f>
        <v>2019-3</v>
      </c>
      <c r="D52" s="1578">
        <f>EDATE(C52,-1)</f>
        <v>43497</v>
      </c>
      <c r="E52" s="1578">
        <f t="shared" ref="E52:O52" si="16">EDATE(D52,-1)</f>
        <v>43466</v>
      </c>
      <c r="F52" s="1578">
        <f t="shared" si="16"/>
        <v>43435</v>
      </c>
      <c r="G52" s="1578">
        <f t="shared" si="16"/>
        <v>43405</v>
      </c>
      <c r="H52" s="1578">
        <f t="shared" si="16"/>
        <v>43374</v>
      </c>
      <c r="I52" s="1578">
        <f t="shared" si="16"/>
        <v>43344</v>
      </c>
      <c r="J52" s="1578">
        <f t="shared" si="16"/>
        <v>43313</v>
      </c>
      <c r="K52" s="1578">
        <f t="shared" si="16"/>
        <v>43282</v>
      </c>
      <c r="L52" s="1578">
        <f t="shared" si="16"/>
        <v>43252</v>
      </c>
      <c r="M52" s="1578">
        <f t="shared" si="16"/>
        <v>43221</v>
      </c>
      <c r="N52" s="1578">
        <f t="shared" si="16"/>
        <v>43191</v>
      </c>
      <c r="O52" s="1578">
        <f t="shared" si="16"/>
        <v>43160</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2576</v>
      </c>
      <c r="B54" s="516"/>
      <c r="C54" s="517"/>
      <c r="D54" s="518"/>
      <c r="E54" s="518"/>
      <c r="F54" s="518"/>
      <c r="G54" s="518"/>
      <c r="H54" s="518"/>
      <c r="I54" s="518"/>
      <c r="J54" s="518"/>
      <c r="K54" s="518"/>
      <c r="L54" s="518"/>
      <c r="M54" s="519"/>
      <c r="N54" s="518"/>
      <c r="O54" s="520"/>
      <c r="P54" s="504"/>
      <c r="Q54" s="504"/>
    </row>
    <row r="55" spans="1:17" s="117" customFormat="1" ht="15">
      <c r="A55" s="521" t="s">
        <v>2541</v>
      </c>
      <c r="B55" s="510"/>
      <c r="C55" s="522" t="s">
        <v>2643</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2579</v>
      </c>
      <c r="B57" s="528" t="s">
        <v>2545</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2548</v>
      </c>
      <c r="C59" s="539" t="s">
        <v>2580</v>
      </c>
      <c r="D59" s="539" t="s">
        <v>2581</v>
      </c>
      <c r="E59" s="539" t="s">
        <v>2582</v>
      </c>
      <c r="F59" s="539" t="s">
        <v>2583</v>
      </c>
      <c r="G59" s="539" t="s">
        <v>2584</v>
      </c>
      <c r="H59" s="539" t="s">
        <v>2585</v>
      </c>
      <c r="I59" s="539" t="s">
        <v>2586</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2549</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2550</v>
      </c>
      <c r="B70" s="528" t="s">
        <v>2696</v>
      </c>
      <c r="C70" s="573" t="s">
        <v>2588</v>
      </c>
      <c r="D70" s="573" t="s">
        <v>2589</v>
      </c>
      <c r="E70" s="573" t="s">
        <v>2590</v>
      </c>
      <c r="F70" s="573" t="s">
        <v>2591</v>
      </c>
      <c r="G70" s="573" t="s">
        <v>2592</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2593</v>
      </c>
      <c r="C72" s="578" t="s">
        <v>2588</v>
      </c>
      <c r="D72" s="578" t="s">
        <v>2589</v>
      </c>
      <c r="E72" s="578" t="s">
        <v>2590</v>
      </c>
      <c r="F72" s="578" t="s">
        <v>2591</v>
      </c>
      <c r="G72" s="578" t="s">
        <v>2592</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2594</v>
      </c>
      <c r="C74" s="578" t="s">
        <v>2588</v>
      </c>
      <c r="D74" s="578" t="s">
        <v>2589</v>
      </c>
      <c r="E74" s="578" t="s">
        <v>2590</v>
      </c>
      <c r="F74" s="578" t="s">
        <v>2591</v>
      </c>
      <c r="G74" s="578" t="s">
        <v>2592</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2680</v>
      </c>
      <c r="C76" s="660" t="s">
        <v>2666</v>
      </c>
      <c r="D76" s="660" t="s">
        <v>2667</v>
      </c>
      <c r="E76" s="660" t="s">
        <v>2668</v>
      </c>
      <c r="F76" s="660" t="s">
        <v>2669</v>
      </c>
      <c r="G76" s="660" t="s">
        <v>2670</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2689</v>
      </c>
      <c r="C78" s="578" t="s">
        <v>2588</v>
      </c>
      <c r="D78" s="578" t="s">
        <v>2589</v>
      </c>
      <c r="E78" s="578" t="s">
        <v>2590</v>
      </c>
      <c r="F78" s="578" t="s">
        <v>2591</v>
      </c>
      <c r="G78" s="578" t="s">
        <v>2592</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9"/>
      <c r="B87" s="569"/>
      <c r="C87" s="570"/>
      <c r="D87" s="570"/>
      <c r="E87" s="570"/>
      <c r="F87" s="570"/>
      <c r="G87" s="591"/>
      <c r="H87" s="591"/>
      <c r="I87" s="591"/>
      <c r="J87" s="591"/>
      <c r="K87" s="591"/>
      <c r="L87" s="591"/>
      <c r="M87" s="592"/>
      <c r="N87" s="1156"/>
      <c r="O87" s="1156"/>
      <c r="P87" s="45"/>
      <c r="Q87" s="504"/>
    </row>
    <row r="88" spans="1:17">
      <c r="A88" s="527" t="s">
        <v>2554</v>
      </c>
      <c r="B88" s="528" t="s">
        <v>2603</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2604</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2605</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2607</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1988</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2608</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2609</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2611</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2697</v>
      </c>
      <c r="C106" s="578" t="s">
        <v>2588</v>
      </c>
      <c r="D106" s="578" t="s">
        <v>2589</v>
      </c>
      <c r="E106" s="578" t="s">
        <v>2590</v>
      </c>
      <c r="F106" s="578" t="s">
        <v>2591</v>
      </c>
      <c r="G106" s="578" t="s">
        <v>2592</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9"/>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N6" sqref="AN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2698</v>
      </c>
      <c r="B1" s="1622"/>
      <c r="C1" s="1623" t="s">
        <v>2521</v>
      </c>
      <c r="D1" s="1624"/>
      <c r="E1" s="1625"/>
      <c r="F1" s="2587"/>
      <c r="G1" s="1626" t="s">
        <v>2634</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2318</v>
      </c>
      <c r="B2" s="1421" t="e">
        <f ca="1">IF(C2="——",IF(B37="元/平方米",ROUND(C39*D3/10000,0),ROUND(F3*C39/10000,0)),IF(B37="元/平方米",ROUND(C39*D3/10000,0),ROUND(F3*C39/10000,0))-D2)</f>
        <v>#DIV/0!</v>
      </c>
      <c r="C2" s="2589"/>
      <c r="D2" s="1127" t="e">
        <f ca="1">SUMIF(INDIRECT("'"&amp;F2&amp;"'"&amp;"!A:A"),"承租人权益价值",INDIRECT("'"&amp;F2&amp;"'"&amp;"!c:c"))</f>
        <v>#REF!</v>
      </c>
      <c r="E2" s="2590" t="s">
        <v>2319</v>
      </c>
      <c r="F2" s="2591"/>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2320</v>
      </c>
      <c r="B3" s="609" t="e">
        <f ca="1">IF(AND(C2="——",B37="元/平方米"),C39,ROUND(B2*10000/D3,0))</f>
        <v>#DIV/0!</v>
      </c>
      <c r="C3" s="400" t="s">
        <v>2635</v>
      </c>
      <c r="D3" s="399">
        <f>SUMIF('数据-汇总表'!$C19:$C33,D1,'数据-汇总表'!$E19:$E33)</f>
        <v>0</v>
      </c>
      <c r="E3" s="400" t="s">
        <v>2699</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2636</v>
      </c>
      <c r="B4" s="402"/>
      <c r="C4" s="3227" t="s">
        <v>2637</v>
      </c>
      <c r="D4" s="3228"/>
      <c r="E4" s="3229" t="s">
        <v>2638</v>
      </c>
      <c r="F4" s="3230"/>
      <c r="G4" s="3227" t="s">
        <v>2639</v>
      </c>
      <c r="H4" s="3228"/>
      <c r="I4" s="3227" t="s">
        <v>2640</v>
      </c>
      <c r="J4" s="3228"/>
      <c r="K4" s="610" t="s">
        <v>2641</v>
      </c>
      <c r="L4" s="1133"/>
      <c r="M4" s="1134"/>
      <c r="N4" s="1134"/>
      <c r="O4" s="1134"/>
      <c r="P4" s="3231" t="s">
        <v>2642</v>
      </c>
      <c r="Q4" s="3232"/>
      <c r="R4" s="3237" t="s">
        <v>2638</v>
      </c>
      <c r="S4" s="3238"/>
      <c r="T4" s="3237" t="s">
        <v>2639</v>
      </c>
      <c r="U4" s="3238"/>
      <c r="V4" s="3243" t="s">
        <v>2640</v>
      </c>
      <c r="W4" s="3243"/>
      <c r="X4" s="1816"/>
      <c r="Y4" s="3237" t="s">
        <v>2642</v>
      </c>
      <c r="Z4" s="3238"/>
      <c r="AA4" s="3224" t="s">
        <v>2638</v>
      </c>
      <c r="AB4" s="3225" t="s">
        <v>2639</v>
      </c>
      <c r="AC4" s="3224" t="s">
        <v>2640</v>
      </c>
    </row>
    <row r="5" spans="1:29" ht="15">
      <c r="A5" s="404"/>
      <c r="B5" s="405"/>
      <c r="C5" s="3246" t="s">
        <v>2533</v>
      </c>
      <c r="D5" s="3247"/>
      <c r="E5" s="3253" t="s">
        <v>2534</v>
      </c>
      <c r="F5" s="3254"/>
      <c r="G5" s="3246" t="s">
        <v>2535</v>
      </c>
      <c r="H5" s="3247"/>
      <c r="I5" s="3246" t="s">
        <v>2536</v>
      </c>
      <c r="J5" s="3247"/>
      <c r="K5" s="610"/>
      <c r="L5" s="1133"/>
      <c r="M5" s="1134"/>
      <c r="N5" s="1134"/>
      <c r="O5" s="1134"/>
      <c r="P5" s="3233"/>
      <c r="Q5" s="3234"/>
      <c r="R5" s="3239"/>
      <c r="S5" s="3240"/>
      <c r="T5" s="3239"/>
      <c r="U5" s="3240"/>
      <c r="V5" s="3243"/>
      <c r="W5" s="3243"/>
      <c r="X5" s="1816"/>
      <c r="Y5" s="3239"/>
      <c r="Z5" s="3240"/>
      <c r="AA5" s="3225"/>
      <c r="AB5" s="3225"/>
      <c r="AC5" s="3225"/>
    </row>
    <row r="6" spans="1:29" ht="15.75" thickBot="1">
      <c r="A6" s="406"/>
      <c r="B6" s="407"/>
      <c r="C6" s="3244" t="s">
        <v>2537</v>
      </c>
      <c r="D6" s="3245"/>
      <c r="E6" s="3251" t="s">
        <v>2537</v>
      </c>
      <c r="F6" s="3252"/>
      <c r="G6" s="3244" t="s">
        <v>2537</v>
      </c>
      <c r="H6" s="3245"/>
      <c r="I6" s="3244" t="s">
        <v>2537</v>
      </c>
      <c r="J6" s="3245"/>
      <c r="K6" s="610" t="s">
        <v>2538</v>
      </c>
      <c r="L6" s="1133"/>
      <c r="M6" s="1134"/>
      <c r="N6" s="1134"/>
      <c r="O6" s="1134"/>
      <c r="P6" s="3235"/>
      <c r="Q6" s="3236"/>
      <c r="R6" s="3239"/>
      <c r="S6" s="3240"/>
      <c r="T6" s="3241"/>
      <c r="U6" s="3242"/>
      <c r="V6" s="3243"/>
      <c r="W6" s="3243"/>
      <c r="X6" s="1816"/>
      <c r="Y6" s="3241"/>
      <c r="Z6" s="3242"/>
      <c r="AA6" s="3226"/>
      <c r="AB6" s="3226"/>
      <c r="AC6" s="3226"/>
    </row>
    <row r="7" spans="1:29" s="117" customFormat="1" ht="15.75" thickBot="1">
      <c r="A7" s="408" t="s">
        <v>2539</v>
      </c>
      <c r="B7" s="409"/>
      <c r="C7" s="410">
        <f>'数据-取费表'!B2</f>
        <v>43528</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48" t="s">
        <v>2540</v>
      </c>
      <c r="Q7" s="3250"/>
      <c r="R7" s="770" t="s">
        <v>17</v>
      </c>
      <c r="S7" s="771">
        <f t="shared" ref="S7:S14" si="0">F7</f>
        <v>0</v>
      </c>
      <c r="T7" s="770" t="s">
        <v>17</v>
      </c>
      <c r="U7" s="771">
        <f t="shared" ref="U7:U14" si="1">H7</f>
        <v>0</v>
      </c>
      <c r="V7" s="770" t="s">
        <v>17</v>
      </c>
      <c r="W7" s="771">
        <f t="shared" ref="W7:W14" si="2">J7</f>
        <v>0</v>
      </c>
      <c r="X7" s="772"/>
      <c r="Y7" s="3248" t="s">
        <v>2540</v>
      </c>
      <c r="Z7" s="3249"/>
      <c r="AA7" s="773" t="e">
        <f>D7/F7</f>
        <v>#DIV/0!</v>
      </c>
      <c r="AB7" s="773" t="e">
        <f>D7/H7</f>
        <v>#DIV/0!</v>
      </c>
      <c r="AC7" s="773" t="e">
        <f>D7/J7</f>
        <v>#DIV/0!</v>
      </c>
    </row>
    <row r="8" spans="1:29" s="117" customFormat="1" ht="15.75" thickBot="1">
      <c r="A8" s="408" t="s">
        <v>2541</v>
      </c>
      <c r="B8" s="409"/>
      <c r="C8" s="414" t="s">
        <v>2643</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48" t="s">
        <v>2543</v>
      </c>
      <c r="Q8" s="3249"/>
      <c r="R8" s="770" t="s">
        <v>17</v>
      </c>
      <c r="S8" s="771">
        <f t="shared" si="0"/>
        <v>0</v>
      </c>
      <c r="T8" s="770" t="s">
        <v>17</v>
      </c>
      <c r="U8" s="771">
        <f t="shared" si="1"/>
        <v>0</v>
      </c>
      <c r="V8" s="770" t="s">
        <v>17</v>
      </c>
      <c r="W8" s="771">
        <f t="shared" si="2"/>
        <v>0</v>
      </c>
      <c r="X8" s="772"/>
      <c r="Y8" s="3248" t="s">
        <v>2543</v>
      </c>
      <c r="Z8" s="3249"/>
      <c r="AA8" s="773" t="e">
        <f t="shared" ref="AA8:AA36" si="3">D8/F8</f>
        <v>#DIV/0!</v>
      </c>
      <c r="AB8" s="773" t="e">
        <f t="shared" ref="AB8:AB36" si="4">D8/H8</f>
        <v>#DIV/0!</v>
      </c>
      <c r="AC8" s="773" t="e">
        <f t="shared" ref="AC8:AC36" si="5">D8/J8</f>
        <v>#DIV/0!</v>
      </c>
    </row>
    <row r="9" spans="1:29" s="117" customFormat="1">
      <c r="A9" s="68" t="s">
        <v>2544</v>
      </c>
      <c r="B9" s="640" t="s">
        <v>2545</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212" t="s">
        <v>2546</v>
      </c>
      <c r="Q9" s="1798" t="str">
        <f t="shared" ref="Q9:Q14" si="6">B9</f>
        <v>用途</v>
      </c>
      <c r="R9" s="770" t="s">
        <v>17</v>
      </c>
      <c r="S9" s="771">
        <f t="shared" si="0"/>
        <v>100</v>
      </c>
      <c r="T9" s="770" t="s">
        <v>17</v>
      </c>
      <c r="U9" s="771">
        <f t="shared" si="1"/>
        <v>100</v>
      </c>
      <c r="V9" s="770" t="s">
        <v>17</v>
      </c>
      <c r="W9" s="771">
        <f t="shared" si="2"/>
        <v>100</v>
      </c>
      <c r="X9" s="772"/>
      <c r="Y9" s="3037" t="s">
        <v>2547</v>
      </c>
      <c r="Z9" s="55" t="str">
        <f t="shared" ref="Z9:Z14" si="7">Q9</f>
        <v>用途</v>
      </c>
      <c r="AA9" s="773">
        <f t="shared" si="3"/>
        <v>1</v>
      </c>
      <c r="AB9" s="773">
        <f t="shared" si="4"/>
        <v>1</v>
      </c>
      <c r="AC9" s="773">
        <f t="shared" si="5"/>
        <v>1</v>
      </c>
    </row>
    <row r="10" spans="1:29" s="427" customFormat="1" ht="27">
      <c r="A10" s="641"/>
      <c r="B10" s="642" t="s">
        <v>2548</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212"/>
      <c r="Q10" s="1798"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212"/>
      <c r="Q11" s="1798">
        <f t="shared" si="6"/>
        <v>111</v>
      </c>
      <c r="R11" s="770" t="s">
        <v>17</v>
      </c>
      <c r="S11" s="771">
        <f t="shared" si="0"/>
        <v>100</v>
      </c>
      <c r="T11" s="770" t="s">
        <v>17</v>
      </c>
      <c r="U11" s="771">
        <f t="shared" si="1"/>
        <v>100</v>
      </c>
      <c r="V11" s="770" t="s">
        <v>17</v>
      </c>
      <c r="W11" s="771">
        <f t="shared" si="2"/>
        <v>100</v>
      </c>
      <c r="X11" s="772"/>
      <c r="Y11" s="3037"/>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212"/>
      <c r="Q12" s="1798">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212"/>
      <c r="Q13" s="1798">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773">
        <f t="shared" si="5"/>
        <v>1</v>
      </c>
    </row>
    <row r="14" spans="1:29" ht="85.5">
      <c r="A14" s="401" t="s">
        <v>2550</v>
      </c>
      <c r="B14" s="629" t="s">
        <v>2700</v>
      </c>
      <c r="C14" s="2696"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214" t="s">
        <v>2551</v>
      </c>
      <c r="Q14" s="1813" t="str">
        <f t="shared" si="6"/>
        <v>交通便捷度</v>
      </c>
      <c r="R14" s="774" t="s">
        <v>17</v>
      </c>
      <c r="S14" s="775">
        <f t="shared" si="0"/>
        <v>100</v>
      </c>
      <c r="T14" s="774" t="s">
        <v>17</v>
      </c>
      <c r="U14" s="775">
        <f t="shared" si="1"/>
        <v>100</v>
      </c>
      <c r="V14" s="774" t="s">
        <v>17</v>
      </c>
      <c r="W14" s="775">
        <f t="shared" si="2"/>
        <v>100</v>
      </c>
      <c r="X14" s="1816"/>
      <c r="Y14" s="3214" t="s">
        <v>2551</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215"/>
      <c r="Q15" s="1813"/>
      <c r="R15" s="774"/>
      <c r="S15" s="775"/>
      <c r="T15" s="774"/>
      <c r="U15" s="775"/>
      <c r="V15" s="774"/>
      <c r="W15" s="775"/>
      <c r="X15" s="1816"/>
      <c r="Y15" s="3215"/>
      <c r="Z15" s="1817"/>
      <c r="AA15" s="1814">
        <v>1</v>
      </c>
      <c r="AB15" s="1814">
        <v>1</v>
      </c>
      <c r="AC15" s="1814">
        <v>1</v>
      </c>
    </row>
    <row r="16" spans="1:29" ht="42.75">
      <c r="A16" s="404"/>
      <c r="B16" s="631" t="s">
        <v>2679</v>
      </c>
      <c r="C16" s="2610"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215"/>
      <c r="Q16" s="1813" t="str">
        <f>B16</f>
        <v>公共配套设施</v>
      </c>
      <c r="R16" s="774" t="s">
        <v>17</v>
      </c>
      <c r="S16" s="775">
        <f>F16</f>
        <v>100</v>
      </c>
      <c r="T16" s="774" t="s">
        <v>17</v>
      </c>
      <c r="U16" s="775">
        <f>H16</f>
        <v>100</v>
      </c>
      <c r="V16" s="774" t="s">
        <v>17</v>
      </c>
      <c r="W16" s="775">
        <f>J16</f>
        <v>100</v>
      </c>
      <c r="X16" s="1816"/>
      <c r="Y16" s="3215"/>
      <c r="Z16" s="1817" t="str">
        <f>Q16</f>
        <v>公共配套设施</v>
      </c>
      <c r="AA16" s="1814">
        <f t="shared" si="3"/>
        <v>1</v>
      </c>
      <c r="AB16" s="1814">
        <f t="shared" si="4"/>
        <v>1</v>
      </c>
      <c r="AC16" s="1814">
        <f t="shared" si="5"/>
        <v>1</v>
      </c>
    </row>
    <row r="17" spans="1:29" ht="15">
      <c r="A17" s="404"/>
      <c r="B17" s="632"/>
      <c r="C17" s="2611"/>
      <c r="D17" s="448"/>
      <c r="E17" s="447"/>
      <c r="F17" s="449"/>
      <c r="G17" s="447"/>
      <c r="H17" s="448"/>
      <c r="I17" s="447"/>
      <c r="J17" s="448"/>
      <c r="K17" s="615"/>
      <c r="L17" s="1143"/>
      <c r="M17" s="1134"/>
      <c r="N17" s="1134"/>
      <c r="O17" s="1134"/>
      <c r="P17" s="3215"/>
      <c r="Q17" s="1813"/>
      <c r="R17" s="774"/>
      <c r="S17" s="775"/>
      <c r="T17" s="774"/>
      <c r="U17" s="775"/>
      <c r="V17" s="774"/>
      <c r="W17" s="775"/>
      <c r="X17" s="1816"/>
      <c r="Y17" s="3215"/>
      <c r="Z17" s="1817"/>
      <c r="AA17" s="1814">
        <v>1</v>
      </c>
      <c r="AB17" s="1814">
        <v>1</v>
      </c>
      <c r="AC17" s="1814">
        <v>1</v>
      </c>
    </row>
    <row r="18" spans="1:29" ht="28.5">
      <c r="A18" s="404"/>
      <c r="B18" s="633" t="s">
        <v>2680</v>
      </c>
      <c r="C18" s="2610"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215"/>
      <c r="Q18" s="1813" t="str">
        <f>B18</f>
        <v>基础设施水平</v>
      </c>
      <c r="R18" s="774" t="s">
        <v>17</v>
      </c>
      <c r="S18" s="775">
        <f>F18</f>
        <v>100</v>
      </c>
      <c r="T18" s="774" t="s">
        <v>17</v>
      </c>
      <c r="U18" s="775">
        <f>H18</f>
        <v>100</v>
      </c>
      <c r="V18" s="774" t="s">
        <v>17</v>
      </c>
      <c r="W18" s="775">
        <f>J18</f>
        <v>100</v>
      </c>
      <c r="X18" s="1816"/>
      <c r="Y18" s="3215"/>
      <c r="Z18" s="1817" t="str">
        <f>Q18</f>
        <v>基础设施水平</v>
      </c>
      <c r="AA18" s="1814">
        <f t="shared" ref="AA18" si="8">D18/F18</f>
        <v>1</v>
      </c>
      <c r="AB18" s="1814">
        <f t="shared" ref="AB18" si="9">D18/H18</f>
        <v>1</v>
      </c>
      <c r="AC18" s="1814">
        <f t="shared" ref="AC18" si="10">D18/J18</f>
        <v>1</v>
      </c>
    </row>
    <row r="19" spans="1:29" ht="15">
      <c r="A19" s="404"/>
      <c r="B19" s="633"/>
      <c r="C19" s="2611"/>
      <c r="D19" s="450"/>
      <c r="E19" s="2611"/>
      <c r="F19" s="453"/>
      <c r="G19" s="2611"/>
      <c r="H19" s="448"/>
      <c r="I19" s="447"/>
      <c r="J19" s="448"/>
      <c r="K19" s="1386"/>
      <c r="L19" s="1143"/>
      <c r="M19" s="1134"/>
      <c r="N19" s="1134"/>
      <c r="O19" s="1134"/>
      <c r="P19" s="3215"/>
      <c r="Q19" s="1813"/>
      <c r="R19" s="774"/>
      <c r="S19" s="775"/>
      <c r="T19" s="774"/>
      <c r="U19" s="775"/>
      <c r="V19" s="774"/>
      <c r="W19" s="775"/>
      <c r="X19" s="1816"/>
      <c r="Y19" s="3215"/>
      <c r="Z19" s="1817"/>
      <c r="AA19" s="1814">
        <v>1</v>
      </c>
      <c r="AB19" s="1814">
        <v>1</v>
      </c>
      <c r="AC19" s="1814">
        <v>1</v>
      </c>
    </row>
    <row r="20" spans="1:29" ht="57">
      <c r="A20" s="404"/>
      <c r="B20" s="631" t="s">
        <v>2701</v>
      </c>
      <c r="C20" s="2610"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215"/>
      <c r="Q20" s="1813" t="str">
        <f>B20</f>
        <v>自然及人文环境</v>
      </c>
      <c r="R20" s="774" t="s">
        <v>17</v>
      </c>
      <c r="S20" s="775">
        <f>F20</f>
        <v>100</v>
      </c>
      <c r="T20" s="774" t="s">
        <v>17</v>
      </c>
      <c r="U20" s="775">
        <f>H20</f>
        <v>100</v>
      </c>
      <c r="V20" s="774" t="s">
        <v>17</v>
      </c>
      <c r="W20" s="775">
        <f>J20</f>
        <v>100</v>
      </c>
      <c r="X20" s="1816"/>
      <c r="Y20" s="3215"/>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215"/>
      <c r="Q21" s="1813"/>
      <c r="R21" s="774"/>
      <c r="S21" s="775"/>
      <c r="T21" s="774"/>
      <c r="U21" s="775"/>
      <c r="V21" s="774"/>
      <c r="W21" s="775"/>
      <c r="X21" s="1816"/>
      <c r="Y21" s="3215"/>
      <c r="Z21" s="1817"/>
      <c r="AA21" s="1814">
        <v>1</v>
      </c>
      <c r="AB21" s="1814">
        <v>1</v>
      </c>
      <c r="AC21" s="1814">
        <v>1</v>
      </c>
    </row>
    <row r="22" spans="1:29" ht="15">
      <c r="A22" s="404"/>
      <c r="B22" s="631" t="s">
        <v>2702</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215"/>
      <c r="Q22" s="1813" t="str">
        <f>B22</f>
        <v>楼层</v>
      </c>
      <c r="R22" s="774" t="s">
        <v>17</v>
      </c>
      <c r="S22" s="775">
        <f>F22</f>
        <v>100</v>
      </c>
      <c r="T22" s="774" t="s">
        <v>17</v>
      </c>
      <c r="U22" s="775">
        <f>H22</f>
        <v>100</v>
      </c>
      <c r="V22" s="774" t="s">
        <v>17</v>
      </c>
      <c r="W22" s="775">
        <f>J22</f>
        <v>100</v>
      </c>
      <c r="X22" s="1816"/>
      <c r="Y22" s="3215"/>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215"/>
      <c r="Q23" s="1813">
        <f>B23</f>
        <v>111</v>
      </c>
      <c r="R23" s="774" t="s">
        <v>17</v>
      </c>
      <c r="S23" s="775">
        <f>F23</f>
        <v>100</v>
      </c>
      <c r="T23" s="774" t="s">
        <v>17</v>
      </c>
      <c r="U23" s="775">
        <f>H23</f>
        <v>100</v>
      </c>
      <c r="V23" s="774" t="s">
        <v>17</v>
      </c>
      <c r="W23" s="775">
        <f>J23</f>
        <v>100</v>
      </c>
      <c r="X23" s="1816"/>
      <c r="Y23" s="3215"/>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215"/>
      <c r="Q24" s="1813">
        <f t="shared" ref="Q24:Q36" si="11">B24</f>
        <v>111</v>
      </c>
      <c r="R24" s="774" t="s">
        <v>17</v>
      </c>
      <c r="S24" s="775">
        <f>F24</f>
        <v>100</v>
      </c>
      <c r="T24" s="774" t="s">
        <v>17</v>
      </c>
      <c r="U24" s="775">
        <f>H24</f>
        <v>100</v>
      </c>
      <c r="V24" s="774" t="s">
        <v>17</v>
      </c>
      <c r="W24" s="775">
        <f>J24</f>
        <v>100</v>
      </c>
      <c r="X24" s="1816"/>
      <c r="Y24" s="3215"/>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215"/>
      <c r="Q25" s="1798">
        <f t="shared" si="11"/>
        <v>111</v>
      </c>
      <c r="R25" s="770" t="s">
        <v>17</v>
      </c>
      <c r="S25" s="771">
        <f>F25</f>
        <v>100</v>
      </c>
      <c r="T25" s="770" t="s">
        <v>17</v>
      </c>
      <c r="U25" s="771">
        <f>H25</f>
        <v>100</v>
      </c>
      <c r="V25" s="770" t="s">
        <v>17</v>
      </c>
      <c r="W25" s="771">
        <f>J25</f>
        <v>100</v>
      </c>
      <c r="X25" s="772"/>
      <c r="Y25" s="3215"/>
      <c r="Z25" s="55">
        <f>Q25</f>
        <v>111</v>
      </c>
      <c r="AA25" s="1814">
        <f>D25/F25</f>
        <v>1</v>
      </c>
      <c r="AB25" s="1814">
        <f>D25/H25</f>
        <v>1</v>
      </c>
      <c r="AC25" s="1814">
        <f>D25/J25</f>
        <v>1</v>
      </c>
    </row>
    <row r="26" spans="1:29" ht="28.5">
      <c r="A26" s="652" t="s">
        <v>2554</v>
      </c>
      <c r="B26" s="70" t="s">
        <v>2703</v>
      </c>
      <c r="C26" s="2697">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70" t="s">
        <v>2556</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219" t="s">
        <v>2556</v>
      </c>
      <c r="Z26" s="1817" t="str">
        <f t="shared" ref="Z26:Z36" si="15">Q26</f>
        <v>配套类型</v>
      </c>
      <c r="AA26" s="1814">
        <f t="shared" si="3"/>
        <v>1</v>
      </c>
      <c r="AB26" s="1814">
        <f t="shared" si="4"/>
        <v>1</v>
      </c>
      <c r="AC26" s="1814">
        <f t="shared" si="5"/>
        <v>1</v>
      </c>
    </row>
    <row r="27" spans="1:29" s="471" customFormat="1" ht="15">
      <c r="A27" s="653"/>
      <c r="B27" s="654" t="s">
        <v>2704</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19"/>
      <c r="Q27" s="776" t="str">
        <f t="shared" si="11"/>
        <v>项目停车位配比</v>
      </c>
      <c r="R27" s="777" t="s">
        <v>17</v>
      </c>
      <c r="S27" s="778">
        <f t="shared" si="12"/>
        <v>100</v>
      </c>
      <c r="T27" s="777" t="s">
        <v>17</v>
      </c>
      <c r="U27" s="778">
        <f t="shared" si="13"/>
        <v>100</v>
      </c>
      <c r="V27" s="777" t="s">
        <v>17</v>
      </c>
      <c r="W27" s="778">
        <f t="shared" si="14"/>
        <v>100</v>
      </c>
      <c r="X27" s="779"/>
      <c r="Y27" s="3219"/>
      <c r="Z27" s="780" t="str">
        <f t="shared" si="15"/>
        <v>项目停车位配比</v>
      </c>
      <c r="AA27" s="1814">
        <f t="shared" si="3"/>
        <v>1</v>
      </c>
      <c r="AB27" s="1814">
        <f t="shared" si="4"/>
        <v>1</v>
      </c>
      <c r="AC27" s="1814">
        <f t="shared" si="5"/>
        <v>1</v>
      </c>
    </row>
    <row r="28" spans="1:29" ht="15">
      <c r="A28" s="656"/>
      <c r="B28" s="654" t="s">
        <v>2705</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19"/>
      <c r="Q28" s="1813" t="str">
        <f t="shared" si="11"/>
        <v>公共部分装修</v>
      </c>
      <c r="R28" s="774" t="s">
        <v>17</v>
      </c>
      <c r="S28" s="775">
        <f t="shared" si="12"/>
        <v>100</v>
      </c>
      <c r="T28" s="774" t="s">
        <v>17</v>
      </c>
      <c r="U28" s="775">
        <f t="shared" si="13"/>
        <v>100</v>
      </c>
      <c r="V28" s="774" t="s">
        <v>17</v>
      </c>
      <c r="W28" s="775">
        <f t="shared" si="14"/>
        <v>100</v>
      </c>
      <c r="X28" s="1816"/>
      <c r="Y28" s="3219"/>
      <c r="Z28" s="1817" t="str">
        <f t="shared" si="15"/>
        <v>公共部分装修</v>
      </c>
      <c r="AA28" s="1814">
        <f t="shared" si="3"/>
        <v>1</v>
      </c>
      <c r="AB28" s="1814">
        <f t="shared" si="4"/>
        <v>1</v>
      </c>
      <c r="AC28" s="1814">
        <f t="shared" si="5"/>
        <v>1</v>
      </c>
    </row>
    <row r="29" spans="1:29" ht="15">
      <c r="A29" s="656"/>
      <c r="B29" s="654" t="s">
        <v>2706</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19"/>
      <c r="Q29" s="1813" t="str">
        <f t="shared" si="11"/>
        <v>成新率</v>
      </c>
      <c r="R29" s="774" t="s">
        <v>17</v>
      </c>
      <c r="S29" s="775" t="e">
        <f t="shared" si="12"/>
        <v>#N/A</v>
      </c>
      <c r="T29" s="774" t="s">
        <v>17</v>
      </c>
      <c r="U29" s="775" t="e">
        <f t="shared" si="13"/>
        <v>#N/A</v>
      </c>
      <c r="V29" s="774" t="s">
        <v>17</v>
      </c>
      <c r="W29" s="775" t="e">
        <f t="shared" si="14"/>
        <v>#N/A</v>
      </c>
      <c r="X29" s="1816"/>
      <c r="Y29" s="3219"/>
      <c r="Z29" s="1817" t="str">
        <f t="shared" si="15"/>
        <v>成新率</v>
      </c>
      <c r="AA29" s="1814" t="e">
        <f t="shared" si="3"/>
        <v>#N/A</v>
      </c>
      <c r="AB29" s="1814" t="e">
        <f t="shared" si="4"/>
        <v>#N/A</v>
      </c>
      <c r="AC29" s="1814" t="e">
        <f t="shared" si="5"/>
        <v>#N/A</v>
      </c>
    </row>
    <row r="30" spans="1:29" ht="15">
      <c r="A30" s="656"/>
      <c r="B30" s="654" t="s">
        <v>2707</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19"/>
      <c r="Q30" s="1813" t="str">
        <f t="shared" si="11"/>
        <v>物业等级</v>
      </c>
      <c r="R30" s="774" t="s">
        <v>17</v>
      </c>
      <c r="S30" s="775">
        <f t="shared" si="12"/>
        <v>100</v>
      </c>
      <c r="T30" s="774" t="s">
        <v>17</v>
      </c>
      <c r="U30" s="775">
        <f t="shared" si="13"/>
        <v>100</v>
      </c>
      <c r="V30" s="774" t="s">
        <v>17</v>
      </c>
      <c r="W30" s="775">
        <f t="shared" si="14"/>
        <v>100</v>
      </c>
      <c r="X30" s="1816"/>
      <c r="Y30" s="3219"/>
      <c r="Z30" s="1817" t="str">
        <f t="shared" si="15"/>
        <v>物业等级</v>
      </c>
      <c r="AA30" s="1814">
        <f t="shared" si="3"/>
        <v>1</v>
      </c>
      <c r="AB30" s="1814">
        <f t="shared" si="4"/>
        <v>1</v>
      </c>
      <c r="AC30" s="1814">
        <f t="shared" si="5"/>
        <v>1</v>
      </c>
    </row>
    <row r="31" spans="1:29" s="117" customFormat="1" ht="15">
      <c r="A31" s="658"/>
      <c r="B31" s="654" t="s">
        <v>2708</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19"/>
      <c r="Q31" s="1798" t="str">
        <f t="shared" si="11"/>
        <v>停车位面积</v>
      </c>
      <c r="R31" s="770" t="s">
        <v>17</v>
      </c>
      <c r="S31" s="771" t="e">
        <f t="shared" si="12"/>
        <v>#N/A</v>
      </c>
      <c r="T31" s="770" t="s">
        <v>17</v>
      </c>
      <c r="U31" s="771" t="e">
        <f t="shared" si="13"/>
        <v>#N/A</v>
      </c>
      <c r="V31" s="770" t="s">
        <v>17</v>
      </c>
      <c r="W31" s="771" t="e">
        <f t="shared" si="14"/>
        <v>#N/A</v>
      </c>
      <c r="X31" s="772"/>
      <c r="Y31" s="3219"/>
      <c r="Z31" s="55" t="str">
        <f t="shared" si="15"/>
        <v>停车位面积</v>
      </c>
      <c r="AA31" s="773" t="e">
        <f t="shared" si="3"/>
        <v>#N/A</v>
      </c>
      <c r="AB31" s="773" t="e">
        <f t="shared" si="4"/>
        <v>#N/A</v>
      </c>
      <c r="AC31" s="773" t="e">
        <f t="shared" si="5"/>
        <v>#N/A</v>
      </c>
    </row>
    <row r="32" spans="1:29" ht="15">
      <c r="A32" s="656"/>
      <c r="B32" s="654" t="s">
        <v>2709</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19" t="s">
        <v>2556</v>
      </c>
      <c r="Q32" s="1813" t="str">
        <f t="shared" si="11"/>
        <v>车位类型</v>
      </c>
      <c r="R32" s="774" t="s">
        <v>17</v>
      </c>
      <c r="S32" s="775">
        <f t="shared" si="12"/>
        <v>100</v>
      </c>
      <c r="T32" s="774" t="s">
        <v>17</v>
      </c>
      <c r="U32" s="775">
        <f t="shared" si="13"/>
        <v>100</v>
      </c>
      <c r="V32" s="774" t="s">
        <v>17</v>
      </c>
      <c r="W32" s="775">
        <f t="shared" si="14"/>
        <v>100</v>
      </c>
      <c r="X32" s="1816"/>
      <c r="Y32" s="3219" t="s">
        <v>2556</v>
      </c>
      <c r="Z32" s="1817" t="str">
        <f t="shared" si="15"/>
        <v>车位类型</v>
      </c>
      <c r="AA32" s="1814">
        <f t="shared" si="3"/>
        <v>1</v>
      </c>
      <c r="AB32" s="1814">
        <f t="shared" si="4"/>
        <v>1</v>
      </c>
      <c r="AC32" s="1814">
        <f t="shared" si="5"/>
        <v>1</v>
      </c>
    </row>
    <row r="33" spans="1:29" ht="15">
      <c r="A33" s="656"/>
      <c r="B33" s="654" t="s">
        <v>2710</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19"/>
      <c r="Q33" s="1813" t="str">
        <f t="shared" si="11"/>
        <v>是否直接入户</v>
      </c>
      <c r="R33" s="774" t="s">
        <v>17</v>
      </c>
      <c r="S33" s="775">
        <f t="shared" si="12"/>
        <v>100</v>
      </c>
      <c r="T33" s="774" t="s">
        <v>17</v>
      </c>
      <c r="U33" s="775">
        <f t="shared" si="13"/>
        <v>100</v>
      </c>
      <c r="V33" s="774" t="s">
        <v>17</v>
      </c>
      <c r="W33" s="775">
        <f t="shared" si="14"/>
        <v>100</v>
      </c>
      <c r="X33" s="1816"/>
      <c r="Y33" s="3219"/>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19"/>
      <c r="Q34" s="1813">
        <f t="shared" si="11"/>
        <v>111</v>
      </c>
      <c r="R34" s="774" t="s">
        <v>17</v>
      </c>
      <c r="S34" s="775">
        <f t="shared" si="12"/>
        <v>100</v>
      </c>
      <c r="T34" s="774" t="s">
        <v>17</v>
      </c>
      <c r="U34" s="775">
        <f t="shared" si="13"/>
        <v>100</v>
      </c>
      <c r="V34" s="774" t="s">
        <v>17</v>
      </c>
      <c r="W34" s="775">
        <f t="shared" si="14"/>
        <v>100</v>
      </c>
      <c r="X34" s="1816"/>
      <c r="Y34" s="3219"/>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19"/>
      <c r="Q35" s="776">
        <f t="shared" si="11"/>
        <v>111</v>
      </c>
      <c r="R35" s="777" t="s">
        <v>17</v>
      </c>
      <c r="S35" s="778">
        <f t="shared" si="12"/>
        <v>100</v>
      </c>
      <c r="T35" s="777" t="s">
        <v>17</v>
      </c>
      <c r="U35" s="778">
        <f t="shared" si="13"/>
        <v>100</v>
      </c>
      <c r="V35" s="777" t="s">
        <v>17</v>
      </c>
      <c r="W35" s="778">
        <f t="shared" si="14"/>
        <v>100</v>
      </c>
      <c r="X35" s="779"/>
      <c r="Y35" s="3219"/>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19"/>
      <c r="Q36" s="1813">
        <f t="shared" si="11"/>
        <v>111</v>
      </c>
      <c r="R36" s="774" t="s">
        <v>17</v>
      </c>
      <c r="S36" s="775">
        <f t="shared" si="12"/>
        <v>100</v>
      </c>
      <c r="T36" s="774" t="s">
        <v>17</v>
      </c>
      <c r="U36" s="775">
        <f t="shared" si="13"/>
        <v>100</v>
      </c>
      <c r="V36" s="774" t="s">
        <v>17</v>
      </c>
      <c r="W36" s="775">
        <f t="shared" si="14"/>
        <v>100</v>
      </c>
      <c r="X36" s="1816"/>
      <c r="Y36" s="3219"/>
      <c r="Z36" s="1817">
        <f t="shared" si="15"/>
        <v>111</v>
      </c>
      <c r="AA36" s="1814">
        <f t="shared" si="3"/>
        <v>1</v>
      </c>
      <c r="AB36" s="1814">
        <f t="shared" si="4"/>
        <v>1</v>
      </c>
      <c r="AC36" s="1814">
        <f t="shared" si="5"/>
        <v>1</v>
      </c>
    </row>
    <row r="37" spans="1:29" ht="15">
      <c r="A37" s="479" t="s">
        <v>2711</v>
      </c>
      <c r="B37" s="2698" t="s">
        <v>2712</v>
      </c>
      <c r="C37" s="1410" t="s">
        <v>1</v>
      </c>
      <c r="D37" s="1411"/>
      <c r="E37" s="1412"/>
      <c r="F37" s="1413"/>
      <c r="G37" s="1414"/>
      <c r="H37" s="1415"/>
      <c r="I37" s="1412"/>
      <c r="J37" s="1415"/>
      <c r="K37" s="619"/>
      <c r="L37" s="1146"/>
      <c r="M37" s="1147"/>
      <c r="N37" s="1134"/>
      <c r="O37" s="1147"/>
      <c r="P37" s="3212" t="str">
        <f>A37</f>
        <v>成交单价</v>
      </c>
      <c r="Q37" s="3212"/>
      <c r="R37" s="3213">
        <f>E37</f>
        <v>0</v>
      </c>
      <c r="S37" s="3213"/>
      <c r="T37" s="3213">
        <f>G37</f>
        <v>0</v>
      </c>
      <c r="U37" s="3213"/>
      <c r="V37" s="3213">
        <f>I37</f>
        <v>0</v>
      </c>
      <c r="W37" s="3213"/>
      <c r="X37" s="759"/>
      <c r="Y37" s="781"/>
      <c r="Z37" s="759"/>
      <c r="AA37" s="759"/>
      <c r="AB37" s="759"/>
      <c r="AC37" s="759"/>
    </row>
    <row r="38" spans="1:29" ht="15.75" thickBot="1">
      <c r="A38" s="486" t="s">
        <v>2713</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212" t="str">
        <f>A38</f>
        <v>比较价值（元/平方米）</v>
      </c>
      <c r="Q38" s="3212"/>
      <c r="R38" s="3213" t="e">
        <f>IF(F1="售价",ROUND(PRODUCT(R37,AA7:AA36),0),ROUND(PRODUCT(R37,AA7:AA36),1))</f>
        <v>#DIV/0!</v>
      </c>
      <c r="S38" s="3213"/>
      <c r="T38" s="3213" t="e">
        <f>IF(F1="售价",ROUND(PRODUCT(T37,AB7:AB36),0),ROUND(PRODUCT(T37,AB7:AB36),1))</f>
        <v>#DIV/0!</v>
      </c>
      <c r="U38" s="3213"/>
      <c r="V38" s="3213" t="e">
        <f>IF(F1="售价",ROUND(PRODUCT(V37,AC7:AC36),0),ROUND(PRODUCT(V37,AC7:AC36),1))</f>
        <v>#DIV/0!</v>
      </c>
      <c r="W38" s="3213"/>
      <c r="X38" s="759"/>
      <c r="Y38" s="759"/>
      <c r="Z38" s="759"/>
      <c r="AA38" s="759"/>
      <c r="AB38" s="759"/>
      <c r="AC38" s="759"/>
    </row>
    <row r="39" spans="1:29" ht="15.75" thickBot="1">
      <c r="A39" s="492" t="s">
        <v>2714</v>
      </c>
      <c r="B39" s="493"/>
      <c r="C39" s="1420" t="e">
        <f>R39</f>
        <v>#DIV/0!</v>
      </c>
      <c r="D39" s="1420"/>
      <c r="E39" s="1420"/>
      <c r="F39" s="1420"/>
      <c r="G39" s="1420"/>
      <c r="H39" s="1420"/>
      <c r="I39" s="1420"/>
      <c r="J39" s="1420"/>
      <c r="K39" s="621"/>
      <c r="L39" s="1146"/>
      <c r="M39" s="1147"/>
      <c r="N39" s="1147"/>
      <c r="O39" s="1147"/>
      <c r="P39" s="3209" t="str">
        <f>A39</f>
        <v>估价对象XX用房的比较价值（楼面单价，元/平方米）</v>
      </c>
      <c r="Q39" s="3210"/>
      <c r="R39" s="3211" t="e">
        <f>IF(F1="售价",ROUND(AVERAGE(R38:V38),0),ROUND(AVERAGE(R38:V38),1))</f>
        <v>#DIV/0!</v>
      </c>
      <c r="S39" s="3211"/>
      <c r="T39" s="3211"/>
      <c r="U39" s="3211"/>
      <c r="V39" s="3211"/>
      <c r="W39" s="3211"/>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2715</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2716</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2717</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2718</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2719</v>
      </c>
      <c r="B48" s="506"/>
      <c r="C48" s="1577" t="str">
        <f>YEAR(C7)&amp;"-"&amp;MONTH(C7)</f>
        <v>2019-3</v>
      </c>
      <c r="D48" s="1578">
        <f>EDATE(C48,-1)</f>
        <v>43497</v>
      </c>
      <c r="E48" s="1578">
        <f t="shared" ref="E48:O48" si="16">EDATE(D48,-1)</f>
        <v>43466</v>
      </c>
      <c r="F48" s="1578">
        <f t="shared" si="16"/>
        <v>43435</v>
      </c>
      <c r="G48" s="1578">
        <f t="shared" si="16"/>
        <v>43405</v>
      </c>
      <c r="H48" s="1578">
        <f t="shared" si="16"/>
        <v>43374</v>
      </c>
      <c r="I48" s="1578">
        <f t="shared" si="16"/>
        <v>43344</v>
      </c>
      <c r="J48" s="1578">
        <f t="shared" si="16"/>
        <v>43313</v>
      </c>
      <c r="K48" s="1578">
        <f t="shared" si="16"/>
        <v>43282</v>
      </c>
      <c r="L48" s="1578">
        <f t="shared" si="16"/>
        <v>43252</v>
      </c>
      <c r="M48" s="1578">
        <f t="shared" si="16"/>
        <v>43221</v>
      </c>
      <c r="N48" s="1578">
        <f t="shared" si="16"/>
        <v>43191</v>
      </c>
      <c r="O48" s="1578">
        <f t="shared" si="16"/>
        <v>43160</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2576</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2541</v>
      </c>
      <c r="B51" s="510"/>
      <c r="C51" s="522" t="s">
        <v>2643</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2579</v>
      </c>
      <c r="B53" s="528" t="s">
        <v>2545</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2548</v>
      </c>
      <c r="C55" s="539" t="s">
        <v>2580</v>
      </c>
      <c r="D55" s="539" t="s">
        <v>2581</v>
      </c>
      <c r="E55" s="539" t="s">
        <v>2582</v>
      </c>
      <c r="F55" s="539" t="s">
        <v>2583</v>
      </c>
      <c r="G55" s="539" t="s">
        <v>2584</v>
      </c>
      <c r="H55" s="539" t="s">
        <v>2585</v>
      </c>
      <c r="I55" s="539" t="s">
        <v>2586</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2550</v>
      </c>
      <c r="B63" s="528" t="s">
        <v>2593</v>
      </c>
      <c r="C63" s="573" t="s">
        <v>2588</v>
      </c>
      <c r="D63" s="573" t="s">
        <v>2589</v>
      </c>
      <c r="E63" s="573" t="s">
        <v>2590</v>
      </c>
      <c r="F63" s="573" t="s">
        <v>2591</v>
      </c>
      <c r="G63" s="573" t="s">
        <v>2592</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2594</v>
      </c>
      <c r="C65" s="578" t="s">
        <v>2588</v>
      </c>
      <c r="D65" s="578" t="s">
        <v>2589</v>
      </c>
      <c r="E65" s="578" t="s">
        <v>2590</v>
      </c>
      <c r="F65" s="578" t="s">
        <v>2591</v>
      </c>
      <c r="G65" s="578" t="s">
        <v>2592</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2680</v>
      </c>
      <c r="C67" s="660" t="s">
        <v>2666</v>
      </c>
      <c r="D67" s="660" t="s">
        <v>2667</v>
      </c>
      <c r="E67" s="660" t="s">
        <v>2668</v>
      </c>
      <c r="F67" s="660" t="s">
        <v>2669</v>
      </c>
      <c r="G67" s="660" t="s">
        <v>2670</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2600</v>
      </c>
      <c r="C69" s="578" t="s">
        <v>2588</v>
      </c>
      <c r="D69" s="578" t="s">
        <v>2589</v>
      </c>
      <c r="E69" s="578" t="s">
        <v>2590</v>
      </c>
      <c r="F69" s="578" t="s">
        <v>2591</v>
      </c>
      <c r="G69" s="578" t="s">
        <v>2592</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2720</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2554</v>
      </c>
      <c r="B79" s="528" t="s">
        <v>2721</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2722</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2607</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2723</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2724</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2725</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2726</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2727</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AN6" sqref="AN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2698</v>
      </c>
      <c r="B1" s="1622"/>
      <c r="C1" s="1623" t="s">
        <v>2521</v>
      </c>
      <c r="D1" s="1624"/>
      <c r="E1" s="1633"/>
      <c r="F1" s="2587"/>
      <c r="G1" s="1634" t="s">
        <v>2634</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2318</v>
      </c>
      <c r="B2" s="1421" t="e">
        <f ca="1">IF(C2="——",ROUND(C37*D3/10000,0),ROUND(C37*D3/10000,0)-D2)</f>
        <v>#DIV/0!</v>
      </c>
      <c r="C2" s="2589"/>
      <c r="D2" s="1127" t="e">
        <f ca="1">SUMIF(INDIRECT("'"&amp;F2&amp;"'"&amp;"!A:A"),"承租人权益价值",INDIRECT("'"&amp;F2&amp;"'"&amp;"!c:c"))</f>
        <v>#REF!</v>
      </c>
      <c r="E2" s="2590" t="s">
        <v>2319</v>
      </c>
      <c r="F2" s="2591"/>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2320</v>
      </c>
      <c r="B3" s="609" t="e">
        <f ca="1">IF(C2="——",C37,ROUND(B2*10000/D3,0))</f>
        <v>#DIV/0!</v>
      </c>
      <c r="C3" s="400" t="s">
        <v>2635</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2636</v>
      </c>
      <c r="B4" s="402"/>
      <c r="C4" s="3227" t="s">
        <v>2637</v>
      </c>
      <c r="D4" s="3228"/>
      <c r="E4" s="3229" t="s">
        <v>2638</v>
      </c>
      <c r="F4" s="3230"/>
      <c r="G4" s="3227" t="s">
        <v>2639</v>
      </c>
      <c r="H4" s="3228"/>
      <c r="I4" s="3227" t="s">
        <v>2640</v>
      </c>
      <c r="J4" s="3228"/>
      <c r="K4" s="610" t="s">
        <v>2641</v>
      </c>
      <c r="L4" s="1133"/>
      <c r="M4" s="1134"/>
      <c r="N4" s="1134"/>
      <c r="O4" s="1134"/>
      <c r="P4" s="3231" t="s">
        <v>2642</v>
      </c>
      <c r="Q4" s="3232"/>
      <c r="R4" s="3237" t="s">
        <v>2638</v>
      </c>
      <c r="S4" s="3238"/>
      <c r="T4" s="3237" t="s">
        <v>2639</v>
      </c>
      <c r="U4" s="3238"/>
      <c r="V4" s="3243" t="s">
        <v>2640</v>
      </c>
      <c r="W4" s="3243"/>
      <c r="X4" s="1816"/>
      <c r="Y4" s="3237" t="s">
        <v>2642</v>
      </c>
      <c r="Z4" s="3238"/>
      <c r="AA4" s="3224" t="s">
        <v>2638</v>
      </c>
      <c r="AB4" s="3225" t="s">
        <v>2639</v>
      </c>
      <c r="AC4" s="3224" t="s">
        <v>2640</v>
      </c>
    </row>
    <row r="5" spans="1:29" ht="15">
      <c r="A5" s="404"/>
      <c r="B5" s="405"/>
      <c r="C5" s="3246" t="s">
        <v>2533</v>
      </c>
      <c r="D5" s="3247"/>
      <c r="E5" s="3253" t="s">
        <v>2534</v>
      </c>
      <c r="F5" s="3254"/>
      <c r="G5" s="3246" t="s">
        <v>2535</v>
      </c>
      <c r="H5" s="3247"/>
      <c r="I5" s="3246" t="s">
        <v>2536</v>
      </c>
      <c r="J5" s="3247"/>
      <c r="K5" s="610"/>
      <c r="L5" s="1133"/>
      <c r="M5" s="1134"/>
      <c r="N5" s="1134"/>
      <c r="O5" s="1134"/>
      <c r="P5" s="3233"/>
      <c r="Q5" s="3234"/>
      <c r="R5" s="3239"/>
      <c r="S5" s="3240"/>
      <c r="T5" s="3239"/>
      <c r="U5" s="3240"/>
      <c r="V5" s="3243"/>
      <c r="W5" s="3243"/>
      <c r="X5" s="1816"/>
      <c r="Y5" s="3239"/>
      <c r="Z5" s="3240"/>
      <c r="AA5" s="3225"/>
      <c r="AB5" s="3225"/>
      <c r="AC5" s="3225"/>
    </row>
    <row r="6" spans="1:29" ht="15.75" thickBot="1">
      <c r="A6" s="406"/>
      <c r="B6" s="407"/>
      <c r="C6" s="3244" t="s">
        <v>2537</v>
      </c>
      <c r="D6" s="3245"/>
      <c r="E6" s="3251" t="s">
        <v>2537</v>
      </c>
      <c r="F6" s="3252"/>
      <c r="G6" s="3244" t="s">
        <v>2537</v>
      </c>
      <c r="H6" s="3245"/>
      <c r="I6" s="3244" t="s">
        <v>2537</v>
      </c>
      <c r="J6" s="3245"/>
      <c r="K6" s="610" t="s">
        <v>2538</v>
      </c>
      <c r="L6" s="1133"/>
      <c r="M6" s="1134"/>
      <c r="N6" s="1134"/>
      <c r="O6" s="1134"/>
      <c r="P6" s="3235"/>
      <c r="Q6" s="3236"/>
      <c r="R6" s="3239"/>
      <c r="S6" s="3240"/>
      <c r="T6" s="3241"/>
      <c r="U6" s="3242"/>
      <c r="V6" s="3243"/>
      <c r="W6" s="3243"/>
      <c r="X6" s="1816"/>
      <c r="Y6" s="3241"/>
      <c r="Z6" s="3242"/>
      <c r="AA6" s="3226"/>
      <c r="AB6" s="3226"/>
      <c r="AC6" s="3226"/>
    </row>
    <row r="7" spans="1:29" s="117" customFormat="1" ht="15.75" thickBot="1">
      <c r="A7" s="408" t="s">
        <v>2539</v>
      </c>
      <c r="B7" s="409"/>
      <c r="C7" s="410">
        <f>'数据-取费表'!B2</f>
        <v>43528</v>
      </c>
      <c r="D7" s="411">
        <v>100</v>
      </c>
      <c r="E7" s="412"/>
      <c r="F7" s="413">
        <f>SUMIF(46:46,YEAR(E7)&amp;"-"&amp;MONTH(E7),47:47)</f>
        <v>0</v>
      </c>
      <c r="G7" s="2699"/>
      <c r="H7" s="411">
        <f>SUMIF(46:46,YEAR(G7)&amp;"-"&amp;MONTH(G7),47:47)</f>
        <v>0</v>
      </c>
      <c r="I7" s="412"/>
      <c r="J7" s="411">
        <f>SUMIF(46:46,YEAR(I7)&amp;"-"&amp;MONTH(I7),47:47)</f>
        <v>0</v>
      </c>
      <c r="K7" s="611"/>
      <c r="L7" s="1135"/>
      <c r="M7" s="1136"/>
      <c r="N7" s="1136"/>
      <c r="O7" s="1136"/>
      <c r="P7" s="3248" t="s">
        <v>2540</v>
      </c>
      <c r="Q7" s="3250"/>
      <c r="R7" s="770" t="s">
        <v>17</v>
      </c>
      <c r="S7" s="771">
        <f t="shared" ref="S7:S14" si="0">F7</f>
        <v>0</v>
      </c>
      <c r="T7" s="770" t="s">
        <v>17</v>
      </c>
      <c r="U7" s="771">
        <f t="shared" ref="U7:U14" si="1">H7</f>
        <v>0</v>
      </c>
      <c r="V7" s="770" t="s">
        <v>17</v>
      </c>
      <c r="W7" s="771">
        <f t="shared" ref="W7:W14" si="2">J7</f>
        <v>0</v>
      </c>
      <c r="X7" s="772"/>
      <c r="Y7" s="3248" t="s">
        <v>2540</v>
      </c>
      <c r="Z7" s="3249"/>
      <c r="AA7" s="773" t="e">
        <f>D7/F7</f>
        <v>#DIV/0!</v>
      </c>
      <c r="AB7" s="773" t="e">
        <f>D7/H7</f>
        <v>#DIV/0!</v>
      </c>
      <c r="AC7" s="773" t="e">
        <f>D7/J7</f>
        <v>#DIV/0!</v>
      </c>
    </row>
    <row r="8" spans="1:29" s="117" customFormat="1" ht="15.75" thickBot="1">
      <c r="A8" s="408" t="s">
        <v>2541</v>
      </c>
      <c r="B8" s="409"/>
      <c r="C8" s="414" t="s">
        <v>2643</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48" t="s">
        <v>2543</v>
      </c>
      <c r="Q8" s="3249"/>
      <c r="R8" s="770" t="s">
        <v>17</v>
      </c>
      <c r="S8" s="771">
        <f t="shared" si="0"/>
        <v>0</v>
      </c>
      <c r="T8" s="770" t="s">
        <v>17</v>
      </c>
      <c r="U8" s="771">
        <f t="shared" si="1"/>
        <v>0</v>
      </c>
      <c r="V8" s="770" t="s">
        <v>17</v>
      </c>
      <c r="W8" s="771">
        <f t="shared" si="2"/>
        <v>0</v>
      </c>
      <c r="X8" s="772"/>
      <c r="Y8" s="3248" t="s">
        <v>2543</v>
      </c>
      <c r="Z8" s="3249"/>
      <c r="AA8" s="773" t="e">
        <f t="shared" ref="AA8:AA34" si="3">D8/F8</f>
        <v>#DIV/0!</v>
      </c>
      <c r="AB8" s="773" t="e">
        <f t="shared" ref="AB8:AB34" si="4">D8/H8</f>
        <v>#DIV/0!</v>
      </c>
      <c r="AC8" s="773" t="e">
        <f t="shared" ref="AC8:AC34" si="5">D8/J8</f>
        <v>#DIV/0!</v>
      </c>
    </row>
    <row r="9" spans="1:29" s="117" customFormat="1">
      <c r="A9" s="415" t="s">
        <v>2544</v>
      </c>
      <c r="B9" s="71" t="s">
        <v>2545</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212" t="s">
        <v>2546</v>
      </c>
      <c r="Q9" s="1798" t="str">
        <f t="shared" ref="Q9:Q14" si="6">B9</f>
        <v>用途</v>
      </c>
      <c r="R9" s="770" t="s">
        <v>17</v>
      </c>
      <c r="S9" s="771">
        <f t="shared" si="0"/>
        <v>100</v>
      </c>
      <c r="T9" s="770" t="s">
        <v>17</v>
      </c>
      <c r="U9" s="771">
        <f t="shared" si="1"/>
        <v>100</v>
      </c>
      <c r="V9" s="770" t="s">
        <v>17</v>
      </c>
      <c r="W9" s="771">
        <f t="shared" si="2"/>
        <v>100</v>
      </c>
      <c r="X9" s="772"/>
      <c r="Y9" s="3037" t="s">
        <v>2547</v>
      </c>
      <c r="Z9" s="55" t="str">
        <f t="shared" ref="Z9:Z14" si="7">Q9</f>
        <v>用途</v>
      </c>
      <c r="AA9" s="773">
        <f t="shared" si="3"/>
        <v>1</v>
      </c>
      <c r="AB9" s="773">
        <f t="shared" si="4"/>
        <v>1</v>
      </c>
      <c r="AC9" s="773">
        <f t="shared" si="5"/>
        <v>1</v>
      </c>
    </row>
    <row r="10" spans="1:29" s="427" customFormat="1" ht="27">
      <c r="A10" s="421"/>
      <c r="B10" s="422" t="s">
        <v>2548</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212"/>
      <c r="Q10" s="1798"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773">
        <f t="shared" si="5"/>
        <v>1</v>
      </c>
    </row>
    <row r="11" spans="1:29" ht="15">
      <c r="A11" s="428"/>
      <c r="B11" s="2603">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212"/>
      <c r="Q11" s="1798">
        <f t="shared" si="6"/>
        <v>111</v>
      </c>
      <c r="R11" s="770" t="s">
        <v>17</v>
      </c>
      <c r="S11" s="771">
        <f t="shared" si="0"/>
        <v>100</v>
      </c>
      <c r="T11" s="770" t="s">
        <v>17</v>
      </c>
      <c r="U11" s="771">
        <f t="shared" si="1"/>
        <v>100</v>
      </c>
      <c r="V11" s="770" t="s">
        <v>17</v>
      </c>
      <c r="W11" s="771">
        <f t="shared" si="2"/>
        <v>100</v>
      </c>
      <c r="X11" s="772"/>
      <c r="Y11" s="3037"/>
      <c r="Z11" s="55">
        <f t="shared" si="7"/>
        <v>111</v>
      </c>
      <c r="AA11" s="773">
        <f t="shared" si="3"/>
        <v>1</v>
      </c>
      <c r="AB11" s="773">
        <f t="shared" si="4"/>
        <v>1</v>
      </c>
      <c r="AC11" s="773">
        <f t="shared" si="5"/>
        <v>1</v>
      </c>
    </row>
    <row r="12" spans="1:29" s="117" customFormat="1" ht="15">
      <c r="A12" s="431"/>
      <c r="B12" s="2603">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212"/>
      <c r="Q12" s="1798">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773">
        <f>D12/J12</f>
        <v>1</v>
      </c>
    </row>
    <row r="13" spans="1:29" ht="15.75" thickBot="1">
      <c r="A13" s="428"/>
      <c r="B13" s="2603">
        <v>111</v>
      </c>
      <c r="C13" s="434"/>
      <c r="D13" s="435">
        <v>100</v>
      </c>
      <c r="E13" s="469"/>
      <c r="F13" s="425">
        <f>SUMIF(59:59,E13,60:60)-SUMIF(59:59,C13,60:60)+100</f>
        <v>100</v>
      </c>
      <c r="G13" s="2700"/>
      <c r="H13" s="438">
        <f>SUMIF(59:59,G13,60:60)-SUMIF(59:59,C13,60:60)+100</f>
        <v>100</v>
      </c>
      <c r="I13" s="469"/>
      <c r="J13" s="435">
        <f>SUMIF(59:59,I13,60:60)-SUMIF(59:59,C13,60:60)+100</f>
        <v>100</v>
      </c>
      <c r="K13" s="613"/>
      <c r="L13" s="1143"/>
      <c r="M13" s="1134"/>
      <c r="N13" s="1134"/>
      <c r="O13" s="1142"/>
      <c r="P13" s="3212"/>
      <c r="Q13" s="1798">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773">
        <f t="shared" si="5"/>
        <v>1</v>
      </c>
    </row>
    <row r="14" spans="1:29" ht="85.5">
      <c r="A14" s="440" t="s">
        <v>2550</v>
      </c>
      <c r="B14" s="69" t="s">
        <v>2700</v>
      </c>
      <c r="C14" s="2696"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214" t="s">
        <v>2551</v>
      </c>
      <c r="Q14" s="1813" t="str">
        <f t="shared" si="6"/>
        <v>交通便捷度</v>
      </c>
      <c r="R14" s="774" t="s">
        <v>17</v>
      </c>
      <c r="S14" s="775">
        <f t="shared" si="0"/>
        <v>100</v>
      </c>
      <c r="T14" s="774" t="s">
        <v>17</v>
      </c>
      <c r="U14" s="775">
        <f t="shared" si="1"/>
        <v>100</v>
      </c>
      <c r="V14" s="774" t="s">
        <v>17</v>
      </c>
      <c r="W14" s="775">
        <f t="shared" si="2"/>
        <v>100</v>
      </c>
      <c r="X14" s="1816"/>
      <c r="Y14" s="3214" t="s">
        <v>2551</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215"/>
      <c r="Q15" s="1813"/>
      <c r="R15" s="774"/>
      <c r="S15" s="775"/>
      <c r="T15" s="774"/>
      <c r="U15" s="775"/>
      <c r="V15" s="774"/>
      <c r="W15" s="775"/>
      <c r="X15" s="1816"/>
      <c r="Y15" s="3215"/>
      <c r="Z15" s="1817"/>
      <c r="AA15" s="1814">
        <v>1</v>
      </c>
      <c r="AB15" s="1814">
        <v>1</v>
      </c>
      <c r="AC15" s="1814">
        <v>1</v>
      </c>
    </row>
    <row r="16" spans="1:29" ht="42.75">
      <c r="A16" s="428"/>
      <c r="B16" s="451" t="s">
        <v>2679</v>
      </c>
      <c r="C16" s="2610"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215"/>
      <c r="Q16" s="1813" t="str">
        <f>B16</f>
        <v>公共配套设施</v>
      </c>
      <c r="R16" s="774" t="s">
        <v>17</v>
      </c>
      <c r="S16" s="775">
        <f>F16</f>
        <v>100</v>
      </c>
      <c r="T16" s="774" t="s">
        <v>17</v>
      </c>
      <c r="U16" s="775">
        <f>H16</f>
        <v>100</v>
      </c>
      <c r="V16" s="774" t="s">
        <v>17</v>
      </c>
      <c r="W16" s="775">
        <f>J16</f>
        <v>100</v>
      </c>
      <c r="X16" s="1816"/>
      <c r="Y16" s="3215"/>
      <c r="Z16" s="1817" t="str">
        <f>Q16</f>
        <v>公共配套设施</v>
      </c>
      <c r="AA16" s="1814">
        <f t="shared" si="3"/>
        <v>1</v>
      </c>
      <c r="AB16" s="1814">
        <f t="shared" si="4"/>
        <v>1</v>
      </c>
      <c r="AC16" s="1814">
        <f t="shared" si="5"/>
        <v>1</v>
      </c>
    </row>
    <row r="17" spans="1:29" ht="15">
      <c r="A17" s="428"/>
      <c r="B17" s="456"/>
      <c r="C17" s="2611"/>
      <c r="D17" s="448"/>
      <c r="E17" s="447"/>
      <c r="F17" s="449"/>
      <c r="G17" s="447"/>
      <c r="H17" s="448"/>
      <c r="I17" s="447"/>
      <c r="J17" s="448"/>
      <c r="K17" s="615"/>
      <c r="L17" s="1143"/>
      <c r="M17" s="1134"/>
      <c r="N17" s="1134"/>
      <c r="O17" s="1142"/>
      <c r="P17" s="3215"/>
      <c r="Q17" s="1813"/>
      <c r="R17" s="774"/>
      <c r="S17" s="775"/>
      <c r="T17" s="774"/>
      <c r="U17" s="775"/>
      <c r="V17" s="774"/>
      <c r="W17" s="775"/>
      <c r="X17" s="1816"/>
      <c r="Y17" s="3215"/>
      <c r="Z17" s="1817"/>
      <c r="AA17" s="1814">
        <v>1</v>
      </c>
      <c r="AB17" s="1814">
        <v>1</v>
      </c>
      <c r="AC17" s="1814">
        <v>1</v>
      </c>
    </row>
    <row r="18" spans="1:29" ht="28.5">
      <c r="A18" s="428"/>
      <c r="B18" s="1387" t="s">
        <v>2680</v>
      </c>
      <c r="C18" s="2610"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215"/>
      <c r="Q18" s="1813" t="str">
        <f>B18</f>
        <v>基础设施水平</v>
      </c>
      <c r="R18" s="774" t="s">
        <v>17</v>
      </c>
      <c r="S18" s="775">
        <f>F18</f>
        <v>100</v>
      </c>
      <c r="T18" s="774" t="s">
        <v>17</v>
      </c>
      <c r="U18" s="775">
        <f>H18</f>
        <v>100</v>
      </c>
      <c r="V18" s="774" t="s">
        <v>17</v>
      </c>
      <c r="W18" s="775">
        <f>J18</f>
        <v>100</v>
      </c>
      <c r="X18" s="1816"/>
      <c r="Y18" s="3215"/>
      <c r="Z18" s="1817" t="str">
        <f>Q18</f>
        <v>基础设施水平</v>
      </c>
      <c r="AA18" s="1814">
        <f t="shared" ref="AA18" si="8">D18/F18</f>
        <v>1</v>
      </c>
      <c r="AB18" s="1814">
        <f t="shared" ref="AB18" si="9">D18/H18</f>
        <v>1</v>
      </c>
      <c r="AC18" s="1814">
        <f t="shared" ref="AC18" si="10">D18/J18</f>
        <v>1</v>
      </c>
    </row>
    <row r="19" spans="1:29" ht="15">
      <c r="A19" s="428"/>
      <c r="B19" s="1387"/>
      <c r="C19" s="2611"/>
      <c r="D19" s="450"/>
      <c r="E19" s="2611"/>
      <c r="F19" s="453"/>
      <c r="G19" s="2611"/>
      <c r="H19" s="448"/>
      <c r="I19" s="447"/>
      <c r="J19" s="448"/>
      <c r="K19" s="1386"/>
      <c r="L19" s="1143"/>
      <c r="M19" s="1134"/>
      <c r="N19" s="1134"/>
      <c r="O19" s="1142"/>
      <c r="P19" s="3215"/>
      <c r="Q19" s="1813"/>
      <c r="R19" s="774"/>
      <c r="S19" s="775"/>
      <c r="T19" s="774"/>
      <c r="U19" s="775"/>
      <c r="V19" s="774"/>
      <c r="W19" s="775"/>
      <c r="X19" s="1816"/>
      <c r="Y19" s="3215"/>
      <c r="Z19" s="1817"/>
      <c r="AA19" s="1814">
        <v>1</v>
      </c>
      <c r="AB19" s="1814">
        <v>1</v>
      </c>
      <c r="AC19" s="1814">
        <v>1</v>
      </c>
    </row>
    <row r="20" spans="1:29" ht="57">
      <c r="A20" s="428"/>
      <c r="B20" s="451" t="s">
        <v>2701</v>
      </c>
      <c r="C20" s="2610"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215"/>
      <c r="Q20" s="1813" t="str">
        <f>B20</f>
        <v>自然及人文环境</v>
      </c>
      <c r="R20" s="774" t="s">
        <v>17</v>
      </c>
      <c r="S20" s="775">
        <f>F20</f>
        <v>100</v>
      </c>
      <c r="T20" s="774" t="s">
        <v>17</v>
      </c>
      <c r="U20" s="775">
        <f>H20</f>
        <v>100</v>
      </c>
      <c r="V20" s="774" t="s">
        <v>17</v>
      </c>
      <c r="W20" s="775">
        <f>J20</f>
        <v>100</v>
      </c>
      <c r="X20" s="1816"/>
      <c r="Y20" s="3215"/>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215"/>
      <c r="Q21" s="1813"/>
      <c r="R21" s="774"/>
      <c r="S21" s="775"/>
      <c r="T21" s="774"/>
      <c r="U21" s="775"/>
      <c r="V21" s="774"/>
      <c r="W21" s="775"/>
      <c r="X21" s="1816"/>
      <c r="Y21" s="3215"/>
      <c r="Z21" s="1817"/>
      <c r="AA21" s="1814">
        <v>1</v>
      </c>
      <c r="AB21" s="1814">
        <v>1</v>
      </c>
      <c r="AC21" s="1814">
        <v>1</v>
      </c>
    </row>
    <row r="22" spans="1:29" ht="15">
      <c r="A22" s="428"/>
      <c r="B22" s="451" t="s">
        <v>2702</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215"/>
      <c r="Q22" s="1813" t="str">
        <f>B22</f>
        <v>楼层</v>
      </c>
      <c r="R22" s="774" t="s">
        <v>17</v>
      </c>
      <c r="S22" s="775">
        <f>F22</f>
        <v>100</v>
      </c>
      <c r="T22" s="774" t="s">
        <v>17</v>
      </c>
      <c r="U22" s="775">
        <f>H22</f>
        <v>100</v>
      </c>
      <c r="V22" s="774" t="s">
        <v>17</v>
      </c>
      <c r="W22" s="775">
        <f>J22</f>
        <v>100</v>
      </c>
      <c r="X22" s="1816"/>
      <c r="Y22" s="3215"/>
      <c r="Z22" s="1817" t="str">
        <f>Q22</f>
        <v>楼层</v>
      </c>
      <c r="AA22" s="1814">
        <f t="shared" si="3"/>
        <v>1</v>
      </c>
      <c r="AB22" s="1814">
        <f t="shared" si="4"/>
        <v>1</v>
      </c>
      <c r="AC22" s="1814">
        <f t="shared" si="5"/>
        <v>1</v>
      </c>
    </row>
    <row r="23" spans="1:29" ht="15">
      <c r="A23" s="404"/>
      <c r="B23" s="2603">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215"/>
      <c r="Q23" s="1813">
        <f>B23</f>
        <v>111</v>
      </c>
      <c r="R23" s="774" t="s">
        <v>17</v>
      </c>
      <c r="S23" s="775">
        <f>F23</f>
        <v>100</v>
      </c>
      <c r="T23" s="774" t="s">
        <v>17</v>
      </c>
      <c r="U23" s="775">
        <f>H23</f>
        <v>100</v>
      </c>
      <c r="V23" s="774" t="s">
        <v>17</v>
      </c>
      <c r="W23" s="775">
        <f>J23</f>
        <v>100</v>
      </c>
      <c r="X23" s="1816"/>
      <c r="Y23" s="3215"/>
      <c r="Z23" s="1817">
        <f>Q23</f>
        <v>111</v>
      </c>
      <c r="AA23" s="1814">
        <f t="shared" si="3"/>
        <v>1</v>
      </c>
      <c r="AB23" s="1814">
        <f t="shared" si="4"/>
        <v>1</v>
      </c>
      <c r="AC23" s="1814">
        <f t="shared" si="5"/>
        <v>1</v>
      </c>
    </row>
    <row r="24" spans="1:29" ht="15">
      <c r="A24" s="428"/>
      <c r="B24" s="2603">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215"/>
      <c r="Q24" s="1813">
        <f t="shared" ref="Q24:Q34" si="11">B24</f>
        <v>111</v>
      </c>
      <c r="R24" s="774" t="s">
        <v>17</v>
      </c>
      <c r="S24" s="775">
        <f>F24</f>
        <v>100</v>
      </c>
      <c r="T24" s="774" t="s">
        <v>17</v>
      </c>
      <c r="U24" s="775">
        <f>H24</f>
        <v>100</v>
      </c>
      <c r="V24" s="774" t="s">
        <v>17</v>
      </c>
      <c r="W24" s="775">
        <f>J24</f>
        <v>100</v>
      </c>
      <c r="X24" s="1816"/>
      <c r="Y24" s="3215"/>
      <c r="Z24" s="1817">
        <f>Q24</f>
        <v>111</v>
      </c>
      <c r="AA24" s="1814">
        <f t="shared" si="3"/>
        <v>1</v>
      </c>
      <c r="AB24" s="1814">
        <f t="shared" si="4"/>
        <v>1</v>
      </c>
      <c r="AC24" s="1814">
        <f t="shared" si="5"/>
        <v>1</v>
      </c>
    </row>
    <row r="25" spans="1:29" s="117" customFormat="1" ht="15.75" thickBot="1">
      <c r="A25" s="431"/>
      <c r="B25" s="2603">
        <v>111</v>
      </c>
      <c r="C25" s="2701"/>
      <c r="D25" s="665">
        <v>100</v>
      </c>
      <c r="E25" s="2701"/>
      <c r="F25" s="666">
        <f>SUMIF(75:75,E25,76:76)-SUMIF(75:75,C25,76:76)+100</f>
        <v>100</v>
      </c>
      <c r="G25" s="2701"/>
      <c r="H25" s="665">
        <f>SUMIF(75:75,G25,76:76)-SUMIF(75:75,C25,76:76)+100</f>
        <v>100</v>
      </c>
      <c r="I25" s="2701"/>
      <c r="J25" s="665">
        <f>SUMIF(75:75,I25,76:76)-SUMIF(75:75,C25,76:76)+100</f>
        <v>100</v>
      </c>
      <c r="K25" s="613"/>
      <c r="L25" s="1135"/>
      <c r="M25" s="1136"/>
      <c r="N25" s="1136"/>
      <c r="O25" s="1137"/>
      <c r="P25" s="3215"/>
      <c r="Q25" s="1798">
        <f t="shared" si="11"/>
        <v>111</v>
      </c>
      <c r="R25" s="770" t="s">
        <v>17</v>
      </c>
      <c r="S25" s="771">
        <f>F25</f>
        <v>100</v>
      </c>
      <c r="T25" s="770" t="s">
        <v>17</v>
      </c>
      <c r="U25" s="771">
        <f>H25</f>
        <v>100</v>
      </c>
      <c r="V25" s="770" t="s">
        <v>17</v>
      </c>
      <c r="W25" s="771">
        <f>J25</f>
        <v>100</v>
      </c>
      <c r="X25" s="772"/>
      <c r="Y25" s="3215"/>
      <c r="Z25" s="55">
        <f>Q25</f>
        <v>111</v>
      </c>
      <c r="AA25" s="1814">
        <f>D25/F25</f>
        <v>1</v>
      </c>
      <c r="AB25" s="1814">
        <f>D25/H25</f>
        <v>1</v>
      </c>
      <c r="AC25" s="1814">
        <f>D25/J25</f>
        <v>1</v>
      </c>
    </row>
    <row r="26" spans="1:29" ht="28.5">
      <c r="A26" s="466" t="s">
        <v>2554</v>
      </c>
      <c r="B26" s="71" t="s">
        <v>2705</v>
      </c>
      <c r="C26" s="2682"/>
      <c r="D26" s="467">
        <v>100</v>
      </c>
      <c r="E26" s="2682"/>
      <c r="F26" s="667">
        <f>SUMIF(77:77,E26,78:78)-SUMIF(77:77,C26,78:78)+100</f>
        <v>100</v>
      </c>
      <c r="G26" s="2682"/>
      <c r="H26" s="467">
        <f>SUMIF(77:77,G26,78:78)-SUMIF(77:77,C26,78:78)+100</f>
        <v>100</v>
      </c>
      <c r="I26" s="2682"/>
      <c r="J26" s="467">
        <f>SUMIF(77:77,I26,78:78)-SUMIF(77:77,C26,78:78)+100</f>
        <v>100</v>
      </c>
      <c r="K26" s="612"/>
      <c r="L26" s="1143"/>
      <c r="M26" s="1134"/>
      <c r="N26" s="1134"/>
      <c r="O26" s="1142"/>
      <c r="P26" s="3270" t="s">
        <v>2556</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219" t="s">
        <v>2556</v>
      </c>
      <c r="Z26" s="1817" t="str">
        <f t="shared" ref="Z26:Z34" si="15">Q26</f>
        <v>公共部分装修</v>
      </c>
      <c r="AA26" s="1814">
        <f t="shared" si="3"/>
        <v>1</v>
      </c>
      <c r="AB26" s="1814">
        <f t="shared" si="4"/>
        <v>1</v>
      </c>
      <c r="AC26" s="1814">
        <f t="shared" si="5"/>
        <v>1</v>
      </c>
    </row>
    <row r="27" spans="1:29" s="471" customFormat="1" ht="15">
      <c r="A27" s="468"/>
      <c r="B27" s="422" t="s">
        <v>2706</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19"/>
      <c r="Q27" s="776" t="str">
        <f t="shared" si="11"/>
        <v>成新率</v>
      </c>
      <c r="R27" s="777" t="s">
        <v>17</v>
      </c>
      <c r="S27" s="778" t="e">
        <f t="shared" si="12"/>
        <v>#N/A</v>
      </c>
      <c r="T27" s="777" t="s">
        <v>17</v>
      </c>
      <c r="U27" s="778" t="e">
        <f t="shared" si="13"/>
        <v>#N/A</v>
      </c>
      <c r="V27" s="777" t="s">
        <v>17</v>
      </c>
      <c r="W27" s="778" t="e">
        <f t="shared" si="14"/>
        <v>#N/A</v>
      </c>
      <c r="X27" s="779"/>
      <c r="Y27" s="3219"/>
      <c r="Z27" s="780" t="str">
        <f t="shared" si="15"/>
        <v>成新率</v>
      </c>
      <c r="AA27" s="1814" t="e">
        <f t="shared" si="3"/>
        <v>#N/A</v>
      </c>
      <c r="AB27" s="1814" t="e">
        <f t="shared" si="4"/>
        <v>#N/A</v>
      </c>
      <c r="AC27" s="1814" t="e">
        <f t="shared" si="5"/>
        <v>#N/A</v>
      </c>
    </row>
    <row r="28" spans="1:29" ht="15">
      <c r="A28" s="472"/>
      <c r="B28" s="422" t="s">
        <v>2707</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19"/>
      <c r="Q28" s="1813" t="str">
        <f t="shared" si="11"/>
        <v>物业等级</v>
      </c>
      <c r="R28" s="774" t="s">
        <v>17</v>
      </c>
      <c r="S28" s="775">
        <f t="shared" si="12"/>
        <v>100</v>
      </c>
      <c r="T28" s="774" t="s">
        <v>17</v>
      </c>
      <c r="U28" s="775">
        <f t="shared" si="13"/>
        <v>100</v>
      </c>
      <c r="V28" s="774" t="s">
        <v>17</v>
      </c>
      <c r="W28" s="775">
        <f t="shared" si="14"/>
        <v>100</v>
      </c>
      <c r="X28" s="1816"/>
      <c r="Y28" s="3219"/>
      <c r="Z28" s="1817" t="str">
        <f t="shared" si="15"/>
        <v>物业等级</v>
      </c>
      <c r="AA28" s="1814">
        <f t="shared" si="3"/>
        <v>1</v>
      </c>
      <c r="AB28" s="1814">
        <f t="shared" si="4"/>
        <v>1</v>
      </c>
      <c r="AC28" s="1814">
        <f t="shared" si="5"/>
        <v>1</v>
      </c>
    </row>
    <row r="29" spans="1:29" ht="15">
      <c r="A29" s="472"/>
      <c r="B29" s="422" t="s">
        <v>2728</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19"/>
      <c r="Q29" s="1813" t="str">
        <f t="shared" si="11"/>
        <v>有无电梯</v>
      </c>
      <c r="R29" s="774" t="s">
        <v>17</v>
      </c>
      <c r="S29" s="775">
        <f t="shared" si="12"/>
        <v>100</v>
      </c>
      <c r="T29" s="774" t="s">
        <v>17</v>
      </c>
      <c r="U29" s="775">
        <f t="shared" si="13"/>
        <v>100</v>
      </c>
      <c r="V29" s="774" t="s">
        <v>17</v>
      </c>
      <c r="W29" s="775">
        <f t="shared" si="14"/>
        <v>100</v>
      </c>
      <c r="X29" s="1816"/>
      <c r="Y29" s="3219"/>
      <c r="Z29" s="1817" t="str">
        <f t="shared" si="15"/>
        <v>有无电梯</v>
      </c>
      <c r="AA29" s="1814">
        <f t="shared" si="3"/>
        <v>1</v>
      </c>
      <c r="AB29" s="1814">
        <f t="shared" si="4"/>
        <v>1</v>
      </c>
      <c r="AC29" s="1814">
        <f t="shared" si="5"/>
        <v>1</v>
      </c>
    </row>
    <row r="30" spans="1:29" ht="15">
      <c r="A30" s="472"/>
      <c r="B30" s="422" t="s">
        <v>2729</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19"/>
      <c r="Q30" s="1813" t="str">
        <f t="shared" si="11"/>
        <v>建筑面积</v>
      </c>
      <c r="R30" s="774" t="s">
        <v>17</v>
      </c>
      <c r="S30" s="775" t="e">
        <f t="shared" si="12"/>
        <v>#N/A</v>
      </c>
      <c r="T30" s="774" t="s">
        <v>17</v>
      </c>
      <c r="U30" s="775" t="e">
        <f t="shared" si="13"/>
        <v>#N/A</v>
      </c>
      <c r="V30" s="774" t="s">
        <v>17</v>
      </c>
      <c r="W30" s="775" t="e">
        <f t="shared" si="14"/>
        <v>#N/A</v>
      </c>
      <c r="X30" s="1816"/>
      <c r="Y30" s="3219"/>
      <c r="Z30" s="1817" t="str">
        <f t="shared" si="15"/>
        <v>建筑面积</v>
      </c>
      <c r="AA30" s="1814" t="e">
        <f t="shared" si="3"/>
        <v>#N/A</v>
      </c>
      <c r="AB30" s="1814" t="e">
        <f t="shared" si="4"/>
        <v>#N/A</v>
      </c>
      <c r="AC30" s="1814" t="e">
        <f t="shared" si="5"/>
        <v>#N/A</v>
      </c>
    </row>
    <row r="31" spans="1:29" s="117" customFormat="1" ht="15">
      <c r="A31" s="473"/>
      <c r="B31" s="422" t="s">
        <v>2730</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19"/>
      <c r="Q31" s="1798" t="str">
        <f t="shared" si="11"/>
        <v>是否封闭</v>
      </c>
      <c r="R31" s="770" t="s">
        <v>17</v>
      </c>
      <c r="S31" s="771">
        <f t="shared" si="12"/>
        <v>100</v>
      </c>
      <c r="T31" s="770" t="s">
        <v>17</v>
      </c>
      <c r="U31" s="771">
        <f t="shared" si="13"/>
        <v>100</v>
      </c>
      <c r="V31" s="770" t="s">
        <v>17</v>
      </c>
      <c r="W31" s="771">
        <f t="shared" si="14"/>
        <v>100</v>
      </c>
      <c r="X31" s="772"/>
      <c r="Y31" s="3219"/>
      <c r="Z31" s="55" t="str">
        <f t="shared" si="15"/>
        <v>是否封闭</v>
      </c>
      <c r="AA31" s="773">
        <f t="shared" si="3"/>
        <v>1</v>
      </c>
      <c r="AB31" s="773">
        <f t="shared" si="4"/>
        <v>1</v>
      </c>
      <c r="AC31" s="773">
        <f t="shared" si="5"/>
        <v>1</v>
      </c>
    </row>
    <row r="32" spans="1:29" ht="15">
      <c r="A32" s="472"/>
      <c r="B32" s="2603">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19" t="s">
        <v>2556</v>
      </c>
      <c r="Q32" s="1813">
        <f t="shared" si="11"/>
        <v>111</v>
      </c>
      <c r="R32" s="774" t="s">
        <v>17</v>
      </c>
      <c r="S32" s="775">
        <f t="shared" si="12"/>
        <v>100</v>
      </c>
      <c r="T32" s="774" t="s">
        <v>17</v>
      </c>
      <c r="U32" s="775">
        <f t="shared" si="13"/>
        <v>100</v>
      </c>
      <c r="V32" s="774" t="s">
        <v>17</v>
      </c>
      <c r="W32" s="775">
        <f t="shared" si="14"/>
        <v>100</v>
      </c>
      <c r="X32" s="1816"/>
      <c r="Y32" s="3219" t="s">
        <v>2556</v>
      </c>
      <c r="Z32" s="1817">
        <f t="shared" si="15"/>
        <v>111</v>
      </c>
      <c r="AA32" s="1814">
        <f t="shared" si="3"/>
        <v>1</v>
      </c>
      <c r="AB32" s="1814">
        <f t="shared" si="4"/>
        <v>1</v>
      </c>
      <c r="AC32" s="1814">
        <f t="shared" si="5"/>
        <v>1</v>
      </c>
    </row>
    <row r="33" spans="1:29" ht="15">
      <c r="A33" s="472"/>
      <c r="B33" s="2603">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19"/>
      <c r="Q33" s="1813">
        <f t="shared" si="11"/>
        <v>111</v>
      </c>
      <c r="R33" s="774" t="s">
        <v>17</v>
      </c>
      <c r="S33" s="775">
        <f t="shared" si="12"/>
        <v>100</v>
      </c>
      <c r="T33" s="774" t="s">
        <v>17</v>
      </c>
      <c r="U33" s="775">
        <f t="shared" si="13"/>
        <v>100</v>
      </c>
      <c r="V33" s="774" t="s">
        <v>17</v>
      </c>
      <c r="W33" s="775">
        <f t="shared" si="14"/>
        <v>100</v>
      </c>
      <c r="X33" s="1816"/>
      <c r="Y33" s="3219"/>
      <c r="Z33" s="1817">
        <f t="shared" si="15"/>
        <v>111</v>
      </c>
      <c r="AA33" s="1814">
        <f t="shared" si="3"/>
        <v>1</v>
      </c>
      <c r="AB33" s="1814">
        <f t="shared" si="4"/>
        <v>1</v>
      </c>
      <c r="AC33" s="1814">
        <f t="shared" si="5"/>
        <v>1</v>
      </c>
    </row>
    <row r="34" spans="1:29" ht="15.75" thickBot="1">
      <c r="A34" s="478"/>
      <c r="B34" s="2605">
        <v>111</v>
      </c>
      <c r="C34" s="437"/>
      <c r="D34" s="438">
        <v>100</v>
      </c>
      <c r="E34" s="2700"/>
      <c r="F34" s="439">
        <f>SUMIF(95:95,E34,96:96)-SUMIF(95:95,C34,96:96)+100</f>
        <v>100</v>
      </c>
      <c r="G34" s="2700"/>
      <c r="H34" s="438">
        <f>SUMIF(95:95,G34,96:96)-SUMIF(95:95,C34,96:96)+100</f>
        <v>100</v>
      </c>
      <c r="I34" s="2700"/>
      <c r="J34" s="438">
        <f>SUMIF(95:95,I34,96:96)-SUMIF(95:95,C34,96:96)+100</f>
        <v>100</v>
      </c>
      <c r="K34" s="613"/>
      <c r="L34" s="1143"/>
      <c r="M34" s="1134"/>
      <c r="N34" s="1134"/>
      <c r="O34" s="1142"/>
      <c r="P34" s="3219"/>
      <c r="Q34" s="1813">
        <f t="shared" si="11"/>
        <v>111</v>
      </c>
      <c r="R34" s="774" t="s">
        <v>17</v>
      </c>
      <c r="S34" s="775">
        <f t="shared" si="12"/>
        <v>100</v>
      </c>
      <c r="T34" s="774" t="s">
        <v>17</v>
      </c>
      <c r="U34" s="775">
        <f t="shared" si="13"/>
        <v>100</v>
      </c>
      <c r="V34" s="774" t="s">
        <v>17</v>
      </c>
      <c r="W34" s="775">
        <f t="shared" si="14"/>
        <v>100</v>
      </c>
      <c r="X34" s="1816"/>
      <c r="Y34" s="3219"/>
      <c r="Z34" s="1817">
        <f t="shared" si="15"/>
        <v>111</v>
      </c>
      <c r="AA34" s="1814">
        <f t="shared" si="3"/>
        <v>1</v>
      </c>
      <c r="AB34" s="1814">
        <f t="shared" si="4"/>
        <v>1</v>
      </c>
      <c r="AC34" s="1814">
        <f t="shared" si="5"/>
        <v>1</v>
      </c>
    </row>
    <row r="35" spans="1:29" ht="15">
      <c r="A35" s="479" t="s">
        <v>2568</v>
      </c>
      <c r="B35" s="480"/>
      <c r="C35" s="1410" t="s">
        <v>1</v>
      </c>
      <c r="D35" s="1411"/>
      <c r="E35" s="1412"/>
      <c r="F35" s="1413"/>
      <c r="G35" s="1414"/>
      <c r="H35" s="1415"/>
      <c r="I35" s="1412"/>
      <c r="J35" s="1415"/>
      <c r="K35" s="783"/>
      <c r="L35" s="1146"/>
      <c r="M35" s="1147"/>
      <c r="N35" s="1134"/>
      <c r="O35" s="1147"/>
      <c r="P35" s="3212" t="str">
        <f>A35</f>
        <v>成交单价（元/平方米）</v>
      </c>
      <c r="Q35" s="3212"/>
      <c r="R35" s="3213">
        <f>E35</f>
        <v>0</v>
      </c>
      <c r="S35" s="3213"/>
      <c r="T35" s="3213">
        <f>G35</f>
        <v>0</v>
      </c>
      <c r="U35" s="3213"/>
      <c r="V35" s="3213">
        <f>I35</f>
        <v>0</v>
      </c>
      <c r="W35" s="3213"/>
      <c r="X35" s="759"/>
      <c r="Y35" s="781"/>
      <c r="Z35" s="759"/>
      <c r="AA35" s="759"/>
      <c r="AB35" s="759"/>
      <c r="AC35" s="759"/>
    </row>
    <row r="36" spans="1:29" ht="15.75" thickBot="1">
      <c r="A36" s="486" t="s">
        <v>2660</v>
      </c>
      <c r="B36" s="487"/>
      <c r="C36" s="1416" t="e">
        <f>R37</f>
        <v>#DIV/0!</v>
      </c>
      <c r="D36" s="1417"/>
      <c r="E36" s="1418" t="e">
        <f>R36</f>
        <v>#DIV/0!</v>
      </c>
      <c r="F36" s="1418"/>
      <c r="G36" s="1416" t="e">
        <f>T36</f>
        <v>#DIV/0!</v>
      </c>
      <c r="H36" s="1417"/>
      <c r="I36" s="1418" t="e">
        <f>V36</f>
        <v>#DIV/0!</v>
      </c>
      <c r="J36" s="1417"/>
      <c r="K36" s="784"/>
      <c r="L36" s="1146"/>
      <c r="M36" s="1147"/>
      <c r="N36" s="1134"/>
      <c r="O36" s="1147"/>
      <c r="P36" s="3212" t="str">
        <f>A36</f>
        <v>比较价值（元/平方米）</v>
      </c>
      <c r="Q36" s="3212"/>
      <c r="R36" s="3213" t="e">
        <f>IF(F1="售价",ROUND(PRODUCT(R35,AA7:AA34),0),ROUND(PRODUCT(R35,AA7:AA34),1))</f>
        <v>#DIV/0!</v>
      </c>
      <c r="S36" s="3213"/>
      <c r="T36" s="3213" t="e">
        <f>IF(F1="售价",ROUND(PRODUCT(T35,AB7:AB34),0),ROUND(PRODUCT(T35,AB7:AB34),1))</f>
        <v>#DIV/0!</v>
      </c>
      <c r="U36" s="3213"/>
      <c r="V36" s="3213" t="e">
        <f>IF(F1="售价",ROUND(PRODUCT(V35,AC7:AC34),0),ROUND(PRODUCT(V35,AC7:AC34),1))</f>
        <v>#DIV/0!</v>
      </c>
      <c r="W36" s="3213"/>
      <c r="X36" s="759"/>
      <c r="Y36" s="759"/>
      <c r="Z36" s="759"/>
      <c r="AA36" s="759"/>
      <c r="AB36" s="759"/>
      <c r="AC36" s="759"/>
    </row>
    <row r="37" spans="1:29" ht="15.75" thickBot="1">
      <c r="A37" s="492" t="s">
        <v>2661</v>
      </c>
      <c r="B37" s="493"/>
      <c r="C37" s="1420" t="e">
        <f>R37</f>
        <v>#DIV/0!</v>
      </c>
      <c r="D37" s="1420"/>
      <c r="E37" s="1420"/>
      <c r="F37" s="1420"/>
      <c r="G37" s="1420"/>
      <c r="H37" s="1420"/>
      <c r="I37" s="1420"/>
      <c r="J37" s="1420"/>
      <c r="K37" s="785"/>
      <c r="L37" s="1146"/>
      <c r="M37" s="1147"/>
      <c r="N37" s="1147"/>
      <c r="O37" s="1147"/>
      <c r="P37" s="3209" t="str">
        <f>A37</f>
        <v>估价对象XX用房的比较价值（楼面单价，元/平方米）</v>
      </c>
      <c r="Q37" s="3210"/>
      <c r="R37" s="3211" t="e">
        <f>IF(F1="售价",ROUND(AVERAGE(R36:V36),0),ROUND(AVERAGE(R36:V36),1))</f>
        <v>#DIV/0!</v>
      </c>
      <c r="S37" s="3211"/>
      <c r="T37" s="3211"/>
      <c r="U37" s="3211"/>
      <c r="V37" s="3211"/>
      <c r="W37" s="3211"/>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2662</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2663</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2664</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2665</v>
      </c>
      <c r="B45" s="759"/>
      <c r="C45" s="764"/>
      <c r="D45" s="764"/>
      <c r="E45" s="764"/>
      <c r="F45" s="765"/>
      <c r="G45" s="765"/>
      <c r="H45" s="764"/>
      <c r="I45" s="764"/>
      <c r="J45" s="764"/>
      <c r="K45" s="766"/>
      <c r="L45" s="767"/>
      <c r="M45" s="764"/>
      <c r="N45" s="764"/>
      <c r="O45" s="764"/>
      <c r="P45" s="503"/>
      <c r="Q45" s="504"/>
    </row>
    <row r="46" spans="1:29" s="508" customFormat="1" ht="15">
      <c r="A46" s="505" t="s">
        <v>2539</v>
      </c>
      <c r="B46" s="506"/>
      <c r="C46" s="1577" t="str">
        <f>YEAR(C7)&amp;"-"&amp;MONTH(C7)</f>
        <v>2019-3</v>
      </c>
      <c r="D46" s="1578">
        <f>EDATE(C46,-1)</f>
        <v>43497</v>
      </c>
      <c r="E46" s="1578">
        <f t="shared" ref="E46:O46" si="16">EDATE(D46,-1)</f>
        <v>43466</v>
      </c>
      <c r="F46" s="1578">
        <f t="shared" si="16"/>
        <v>43435</v>
      </c>
      <c r="G46" s="1578">
        <f t="shared" si="16"/>
        <v>43405</v>
      </c>
      <c r="H46" s="1578">
        <f t="shared" si="16"/>
        <v>43374</v>
      </c>
      <c r="I46" s="1578">
        <f t="shared" si="16"/>
        <v>43344</v>
      </c>
      <c r="J46" s="1578">
        <f t="shared" si="16"/>
        <v>43313</v>
      </c>
      <c r="K46" s="1578">
        <f t="shared" si="16"/>
        <v>43282</v>
      </c>
      <c r="L46" s="1578">
        <f t="shared" si="16"/>
        <v>43252</v>
      </c>
      <c r="M46" s="1578">
        <f t="shared" si="16"/>
        <v>43221</v>
      </c>
      <c r="N46" s="1578">
        <f t="shared" si="16"/>
        <v>43191</v>
      </c>
      <c r="O46" s="1578">
        <f t="shared" si="16"/>
        <v>43160</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2576</v>
      </c>
      <c r="B48" s="516"/>
      <c r="C48" s="517"/>
      <c r="D48" s="518"/>
      <c r="E48" s="518"/>
      <c r="F48" s="518"/>
      <c r="G48" s="518"/>
      <c r="H48" s="518"/>
      <c r="I48" s="518"/>
      <c r="J48" s="518"/>
      <c r="K48" s="518"/>
      <c r="L48" s="518"/>
      <c r="M48" s="519"/>
      <c r="N48" s="518"/>
      <c r="O48" s="520"/>
      <c r="P48" s="504"/>
      <c r="Q48" s="504"/>
    </row>
    <row r="49" spans="1:17" s="117" customFormat="1" ht="15">
      <c r="A49" s="521" t="s">
        <v>2541</v>
      </c>
      <c r="B49" s="510"/>
      <c r="C49" s="522" t="s">
        <v>2643</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2579</v>
      </c>
      <c r="B51" s="528" t="s">
        <v>2545</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2548</v>
      </c>
      <c r="C53" s="539" t="s">
        <v>2580</v>
      </c>
      <c r="D53" s="539" t="s">
        <v>2581</v>
      </c>
      <c r="E53" s="539" t="s">
        <v>2582</v>
      </c>
      <c r="F53" s="539" t="s">
        <v>2583</v>
      </c>
      <c r="G53" s="539" t="s">
        <v>2584</v>
      </c>
      <c r="H53" s="539" t="s">
        <v>2585</v>
      </c>
      <c r="I53" s="539" t="s">
        <v>2586</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2550</v>
      </c>
      <c r="B61" s="528" t="s">
        <v>2593</v>
      </c>
      <c r="C61" s="573" t="s">
        <v>2588</v>
      </c>
      <c r="D61" s="573" t="s">
        <v>2589</v>
      </c>
      <c r="E61" s="573" t="s">
        <v>2590</v>
      </c>
      <c r="F61" s="573" t="s">
        <v>2591</v>
      </c>
      <c r="G61" s="573" t="s">
        <v>2592</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2731</v>
      </c>
      <c r="C63" s="578" t="s">
        <v>2588</v>
      </c>
      <c r="D63" s="578" t="s">
        <v>2589</v>
      </c>
      <c r="E63" s="578" t="s">
        <v>2590</v>
      </c>
      <c r="F63" s="578" t="s">
        <v>2591</v>
      </c>
      <c r="G63" s="578" t="s">
        <v>2592</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2680</v>
      </c>
      <c r="C65" s="660" t="s">
        <v>2666</v>
      </c>
      <c r="D65" s="660" t="s">
        <v>2667</v>
      </c>
      <c r="E65" s="660" t="s">
        <v>2668</v>
      </c>
      <c r="F65" s="660" t="s">
        <v>2669</v>
      </c>
      <c r="G65" s="660" t="s">
        <v>2670</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2600</v>
      </c>
      <c r="C67" s="578" t="s">
        <v>2588</v>
      </c>
      <c r="D67" s="578" t="s">
        <v>2589</v>
      </c>
      <c r="E67" s="578" t="s">
        <v>2590</v>
      </c>
      <c r="F67" s="578" t="s">
        <v>2591</v>
      </c>
      <c r="G67" s="578" t="s">
        <v>2592</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2720</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2554</v>
      </c>
      <c r="B77" s="528" t="s">
        <v>2607</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2723</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2724</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2732</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2733</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2734</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AN6" sqref="AN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2735</v>
      </c>
      <c r="B1" s="395"/>
      <c r="C1" s="396" t="s">
        <v>2736</v>
      </c>
      <c r="D1" s="755"/>
      <c r="E1" s="755"/>
      <c r="F1" s="754" t="s">
        <v>2634</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2318</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2320</v>
      </c>
      <c r="B3" s="609" t="e">
        <f>ROUND(IF(D3="",B2*10000/'数据-汇总表'!E3,B2*10000/D3),0)</f>
        <v>#DIV/0!</v>
      </c>
      <c r="C3" s="247" t="s">
        <v>2737</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2636</v>
      </c>
      <c r="B4" s="402"/>
      <c r="C4" s="3227" t="s">
        <v>2637</v>
      </c>
      <c r="D4" s="3228"/>
      <c r="E4" s="3229" t="s">
        <v>2638</v>
      </c>
      <c r="F4" s="3230"/>
      <c r="G4" s="3227" t="s">
        <v>2639</v>
      </c>
      <c r="H4" s="3228"/>
      <c r="I4" s="3227" t="s">
        <v>2640</v>
      </c>
      <c r="J4" s="3228"/>
      <c r="K4" s="610" t="s">
        <v>2641</v>
      </c>
      <c r="L4" s="1133"/>
      <c r="M4" s="1134"/>
      <c r="N4" s="1134"/>
      <c r="O4" s="1134"/>
      <c r="P4" s="3231" t="s">
        <v>2642</v>
      </c>
      <c r="Q4" s="3232"/>
      <c r="R4" s="3237" t="s">
        <v>2638</v>
      </c>
      <c r="S4" s="3238"/>
      <c r="T4" s="3237" t="s">
        <v>2639</v>
      </c>
      <c r="U4" s="3238"/>
      <c r="V4" s="3243" t="s">
        <v>2640</v>
      </c>
      <c r="W4" s="3243"/>
      <c r="X4" s="1816"/>
      <c r="Y4" s="3237" t="s">
        <v>2642</v>
      </c>
      <c r="Z4" s="3238"/>
      <c r="AA4" s="3224" t="s">
        <v>2638</v>
      </c>
      <c r="AB4" s="3225" t="s">
        <v>2639</v>
      </c>
      <c r="AC4" s="3224" t="s">
        <v>2640</v>
      </c>
    </row>
    <row r="5" spans="1:30" ht="15">
      <c r="A5" s="404"/>
      <c r="B5" s="405"/>
      <c r="C5" s="3246" t="s">
        <v>2533</v>
      </c>
      <c r="D5" s="3247"/>
      <c r="E5" s="3253" t="s">
        <v>2534</v>
      </c>
      <c r="F5" s="3254"/>
      <c r="G5" s="3246" t="s">
        <v>2535</v>
      </c>
      <c r="H5" s="3247"/>
      <c r="I5" s="3246" t="s">
        <v>2536</v>
      </c>
      <c r="J5" s="3247"/>
      <c r="K5" s="610"/>
      <c r="L5" s="1133"/>
      <c r="M5" s="1134"/>
      <c r="N5" s="1134"/>
      <c r="O5" s="1134"/>
      <c r="P5" s="3233"/>
      <c r="Q5" s="3234"/>
      <c r="R5" s="3239"/>
      <c r="S5" s="3240"/>
      <c r="T5" s="3239"/>
      <c r="U5" s="3240"/>
      <c r="V5" s="3243"/>
      <c r="W5" s="3243"/>
      <c r="X5" s="1816"/>
      <c r="Y5" s="3239"/>
      <c r="Z5" s="3240"/>
      <c r="AA5" s="3225"/>
      <c r="AB5" s="3225"/>
      <c r="AC5" s="3225"/>
    </row>
    <row r="6" spans="1:30" ht="15.75" thickBot="1">
      <c r="A6" s="406"/>
      <c r="B6" s="407"/>
      <c r="C6" s="3244" t="s">
        <v>2537</v>
      </c>
      <c r="D6" s="3245"/>
      <c r="E6" s="3251" t="s">
        <v>2537</v>
      </c>
      <c r="F6" s="3252"/>
      <c r="G6" s="3244" t="s">
        <v>2537</v>
      </c>
      <c r="H6" s="3245"/>
      <c r="I6" s="3244" t="s">
        <v>2537</v>
      </c>
      <c r="J6" s="3245"/>
      <c r="K6" s="610" t="s">
        <v>2538</v>
      </c>
      <c r="L6" s="1133"/>
      <c r="M6" s="1134"/>
      <c r="N6" s="1134"/>
      <c r="O6" s="1134"/>
      <c r="P6" s="3235"/>
      <c r="Q6" s="3236"/>
      <c r="R6" s="3239"/>
      <c r="S6" s="3240"/>
      <c r="T6" s="3241"/>
      <c r="U6" s="3242"/>
      <c r="V6" s="3243"/>
      <c r="W6" s="3243"/>
      <c r="X6" s="1816"/>
      <c r="Y6" s="3241"/>
      <c r="Z6" s="3242"/>
      <c r="AA6" s="3226"/>
      <c r="AB6" s="3226"/>
      <c r="AC6" s="3226"/>
    </row>
    <row r="7" spans="1:30" s="117" customFormat="1" ht="15.75" thickBot="1">
      <c r="A7" s="408" t="s">
        <v>2539</v>
      </c>
      <c r="B7" s="409"/>
      <c r="C7" s="410">
        <f>'数据-取费表'!B2</f>
        <v>43528</v>
      </c>
      <c r="D7" s="411">
        <v>100</v>
      </c>
      <c r="E7" s="412">
        <v>42309</v>
      </c>
      <c r="F7" s="413">
        <f>SUMIF(70:70,YEAR(E7)&amp;"-"&amp;INT((MONTH(E7)+2)/3),71:71)</f>
        <v>0</v>
      </c>
      <c r="G7" s="2699">
        <v>42309</v>
      </c>
      <c r="H7" s="411">
        <f>SUMIF(70:70,YEAR(G7)&amp;"-"&amp;INT((MONTH(G7)+2)/3),71:71)</f>
        <v>0</v>
      </c>
      <c r="I7" s="2699">
        <v>42036</v>
      </c>
      <c r="J7" s="411">
        <f>SUMIF(70:70,YEAR(I7)&amp;"-"&amp;INT((MONTH(I7)+2)/3),71:71)</f>
        <v>0</v>
      </c>
      <c r="K7" s="611"/>
      <c r="L7" s="1135"/>
      <c r="M7" s="1136"/>
      <c r="N7" s="1136"/>
      <c r="O7" s="1136"/>
      <c r="P7" s="3248" t="s">
        <v>2540</v>
      </c>
      <c r="Q7" s="3250"/>
      <c r="R7" s="770" t="s">
        <v>17</v>
      </c>
      <c r="S7" s="771">
        <f t="shared" ref="S7:S15" si="0">F7</f>
        <v>0</v>
      </c>
      <c r="T7" s="770" t="s">
        <v>17</v>
      </c>
      <c r="U7" s="771">
        <f t="shared" ref="U7:U15" si="1">H7</f>
        <v>0</v>
      </c>
      <c r="V7" s="770" t="s">
        <v>17</v>
      </c>
      <c r="W7" s="771">
        <f t="shared" ref="W7:W15" si="2">J7</f>
        <v>0</v>
      </c>
      <c r="X7" s="772"/>
      <c r="Y7" s="3248" t="s">
        <v>2540</v>
      </c>
      <c r="Z7" s="3249"/>
      <c r="AA7" s="773" t="e">
        <f>D7/F7</f>
        <v>#DIV/0!</v>
      </c>
      <c r="AB7" s="773" t="e">
        <f>D7/H7</f>
        <v>#DIV/0!</v>
      </c>
      <c r="AC7" s="773" t="e">
        <f>D7/J7</f>
        <v>#DIV/0!</v>
      </c>
    </row>
    <row r="8" spans="1:30" s="117" customFormat="1" ht="15.75" thickBot="1">
      <c r="A8" s="408" t="s">
        <v>2541</v>
      </c>
      <c r="B8" s="409"/>
      <c r="C8" s="414" t="s">
        <v>2542</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248" t="s">
        <v>2543</v>
      </c>
      <c r="Q8" s="3249"/>
      <c r="R8" s="770" t="s">
        <v>17</v>
      </c>
      <c r="S8" s="771">
        <f t="shared" si="0"/>
        <v>0</v>
      </c>
      <c r="T8" s="770" t="s">
        <v>17</v>
      </c>
      <c r="U8" s="771">
        <f t="shared" si="1"/>
        <v>0</v>
      </c>
      <c r="V8" s="770" t="s">
        <v>17</v>
      </c>
      <c r="W8" s="771">
        <f t="shared" si="2"/>
        <v>0</v>
      </c>
      <c r="X8" s="772"/>
      <c r="Y8" s="3248" t="s">
        <v>2543</v>
      </c>
      <c r="Z8" s="3249"/>
      <c r="AA8" s="773" t="e">
        <f t="shared" ref="AA8:AA45" si="3">D8/F8</f>
        <v>#DIV/0!</v>
      </c>
      <c r="AB8" s="773" t="e">
        <f t="shared" ref="AB8:AB45" si="4">D8/H8</f>
        <v>#DIV/0!</v>
      </c>
      <c r="AC8" s="773" t="e">
        <f t="shared" ref="AC8:AC45" si="5">D8/J8</f>
        <v>#DIV/0!</v>
      </c>
    </row>
    <row r="9" spans="1:30" s="117" customFormat="1">
      <c r="A9" s="415" t="s">
        <v>2544</v>
      </c>
      <c r="B9" s="71" t="s">
        <v>2545</v>
      </c>
      <c r="C9" s="2702"/>
      <c r="D9" s="135">
        <v>100</v>
      </c>
      <c r="E9" s="2702"/>
      <c r="F9" s="135">
        <f>SUMIF(75:75,E9,76:76)-SUMIF(75:75,C9,76:76)+100</f>
        <v>100</v>
      </c>
      <c r="G9" s="2702"/>
      <c r="H9" s="135">
        <f>SUMIF(75:75,G9,76:76)-SUMIF(75:75,C9,76:76)+100</f>
        <v>100</v>
      </c>
      <c r="I9" s="2702"/>
      <c r="J9" s="135">
        <f>SUMIF(75:75,I9,76:76)-SUMIF(75:75,C9,76:76)+100</f>
        <v>100</v>
      </c>
      <c r="K9" s="611"/>
      <c r="L9" s="1135"/>
      <c r="M9" s="1136"/>
      <c r="N9" s="1136"/>
      <c r="O9" s="1137"/>
      <c r="P9" s="3212" t="s">
        <v>2546</v>
      </c>
      <c r="Q9" s="1798" t="str">
        <f t="shared" ref="Q9:Q15" si="6">B9</f>
        <v>用途</v>
      </c>
      <c r="R9" s="770" t="s">
        <v>17</v>
      </c>
      <c r="S9" s="771">
        <f t="shared" si="0"/>
        <v>100</v>
      </c>
      <c r="T9" s="770" t="s">
        <v>17</v>
      </c>
      <c r="U9" s="771">
        <f t="shared" si="1"/>
        <v>100</v>
      </c>
      <c r="V9" s="770" t="s">
        <v>17</v>
      </c>
      <c r="W9" s="771">
        <f t="shared" si="2"/>
        <v>100</v>
      </c>
      <c r="X9" s="772"/>
      <c r="Y9" s="3037" t="s">
        <v>2547</v>
      </c>
      <c r="Z9" s="55" t="str">
        <f t="shared" ref="Z9:Z15" si="7">Q9</f>
        <v>用途</v>
      </c>
      <c r="AA9" s="773">
        <f t="shared" si="3"/>
        <v>1</v>
      </c>
      <c r="AB9" s="773">
        <f t="shared" si="4"/>
        <v>1</v>
      </c>
      <c r="AC9" s="773">
        <f t="shared" si="5"/>
        <v>1</v>
      </c>
    </row>
    <row r="10" spans="1:30" s="427" customFormat="1" ht="27">
      <c r="A10" s="421"/>
      <c r="B10" s="422" t="s">
        <v>2548</v>
      </c>
      <c r="C10" s="432"/>
      <c r="D10" s="136">
        <v>100</v>
      </c>
      <c r="E10" s="465"/>
      <c r="F10" s="136">
        <f>ROUND(100/'数据-取费表'!G16,0)</f>
        <v>120</v>
      </c>
      <c r="G10" s="463"/>
      <c r="H10" s="136">
        <f>ROUND(100/'数据-取费表'!G16,0)</f>
        <v>120</v>
      </c>
      <c r="I10" s="463"/>
      <c r="J10" s="136">
        <f>ROUND(100/'数据-取费表'!G16,0)</f>
        <v>120</v>
      </c>
      <c r="K10" s="672"/>
      <c r="L10" s="1138"/>
      <c r="M10" s="1139"/>
      <c r="N10" s="1139"/>
      <c r="O10" s="1140"/>
      <c r="P10" s="3212"/>
      <c r="Q10" s="1798" t="str">
        <f t="shared" si="6"/>
        <v>土地使用年限（年）</v>
      </c>
      <c r="R10" s="770" t="s">
        <v>17</v>
      </c>
      <c r="S10" s="771">
        <f t="shared" si="0"/>
        <v>120</v>
      </c>
      <c r="T10" s="770" t="s">
        <v>17</v>
      </c>
      <c r="U10" s="771">
        <f t="shared" si="1"/>
        <v>120</v>
      </c>
      <c r="V10" s="770" t="s">
        <v>17</v>
      </c>
      <c r="W10" s="771">
        <f t="shared" si="2"/>
        <v>120</v>
      </c>
      <c r="X10" s="772"/>
      <c r="Y10" s="3037"/>
      <c r="Z10" s="55" t="str">
        <f t="shared" si="7"/>
        <v>土地使用年限（年）</v>
      </c>
      <c r="AA10" s="773">
        <f t="shared" si="3"/>
        <v>0.83333333333333337</v>
      </c>
      <c r="AB10" s="773">
        <f t="shared" si="4"/>
        <v>0.83333333333333337</v>
      </c>
      <c r="AC10" s="773">
        <f t="shared" si="5"/>
        <v>0.83333333333333337</v>
      </c>
    </row>
    <row r="11" spans="1:30" ht="15">
      <c r="A11" s="428"/>
      <c r="B11" s="422" t="s">
        <v>2549</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212"/>
      <c r="Q11" s="1798" t="str">
        <f t="shared" si="6"/>
        <v>容积率</v>
      </c>
      <c r="R11" s="770" t="s">
        <v>17</v>
      </c>
      <c r="S11" s="771" t="e">
        <f t="shared" si="0"/>
        <v>#N/A</v>
      </c>
      <c r="T11" s="770" t="s">
        <v>17</v>
      </c>
      <c r="U11" s="771" t="e">
        <f t="shared" si="1"/>
        <v>#N/A</v>
      </c>
      <c r="V11" s="770" t="s">
        <v>17</v>
      </c>
      <c r="W11" s="771" t="e">
        <f t="shared" si="2"/>
        <v>#N/A</v>
      </c>
      <c r="X11" s="772"/>
      <c r="Y11" s="3037"/>
      <c r="Z11" s="55" t="str">
        <f t="shared" si="7"/>
        <v>容积率</v>
      </c>
      <c r="AA11" s="773" t="e">
        <f t="shared" si="3"/>
        <v>#N/A</v>
      </c>
      <c r="AB11" s="773" t="e">
        <f t="shared" si="4"/>
        <v>#N/A</v>
      </c>
      <c r="AC11" s="773" t="e">
        <f t="shared" si="5"/>
        <v>#N/A</v>
      </c>
    </row>
    <row r="12" spans="1:30" s="117" customFormat="1" ht="15">
      <c r="A12" s="431"/>
      <c r="B12" s="2603" t="s">
        <v>2738</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212"/>
      <c r="Q12" s="1798" t="str">
        <f t="shared" si="6"/>
        <v>配建</v>
      </c>
      <c r="R12" s="770" t="s">
        <v>17</v>
      </c>
      <c r="S12" s="771">
        <f t="shared" si="0"/>
        <v>100</v>
      </c>
      <c r="T12" s="770" t="s">
        <v>17</v>
      </c>
      <c r="U12" s="771">
        <f t="shared" si="1"/>
        <v>100</v>
      </c>
      <c r="V12" s="770" t="s">
        <v>17</v>
      </c>
      <c r="W12" s="771">
        <f t="shared" si="2"/>
        <v>100</v>
      </c>
      <c r="X12" s="772"/>
      <c r="Y12" s="3037"/>
      <c r="Z12" s="55" t="str">
        <f t="shared" si="7"/>
        <v>配建</v>
      </c>
      <c r="AA12" s="773">
        <f>D12/F12</f>
        <v>1</v>
      </c>
      <c r="AB12" s="773">
        <f>D12/H12</f>
        <v>1</v>
      </c>
      <c r="AC12" s="773">
        <f>D12/J12</f>
        <v>1</v>
      </c>
    </row>
    <row r="13" spans="1:30" ht="15">
      <c r="A13" s="428"/>
      <c r="B13" s="2603">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212"/>
      <c r="Q13" s="1798">
        <f t="shared" si="6"/>
        <v>111</v>
      </c>
      <c r="R13" s="770" t="s">
        <v>17</v>
      </c>
      <c r="S13" s="771">
        <f t="shared" si="0"/>
        <v>100</v>
      </c>
      <c r="T13" s="770" t="s">
        <v>17</v>
      </c>
      <c r="U13" s="771">
        <f t="shared" si="1"/>
        <v>100</v>
      </c>
      <c r="V13" s="770" t="s">
        <v>17</v>
      </c>
      <c r="W13" s="771">
        <f t="shared" si="2"/>
        <v>100</v>
      </c>
      <c r="X13" s="772"/>
      <c r="Y13" s="3037"/>
      <c r="Z13" s="55">
        <f t="shared" si="7"/>
        <v>111</v>
      </c>
      <c r="AA13" s="773">
        <f>D13/F13</f>
        <v>1</v>
      </c>
      <c r="AB13" s="773">
        <f>D13/H13</f>
        <v>1</v>
      </c>
      <c r="AC13" s="773">
        <f>D13/J13</f>
        <v>1</v>
      </c>
    </row>
    <row r="14" spans="1:30" ht="15.75" thickBot="1">
      <c r="A14" s="436"/>
      <c r="B14" s="2605">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212"/>
      <c r="Q14" s="1798">
        <f t="shared" si="6"/>
        <v>111</v>
      </c>
      <c r="R14" s="770" t="s">
        <v>17</v>
      </c>
      <c r="S14" s="771">
        <f t="shared" si="0"/>
        <v>100</v>
      </c>
      <c r="T14" s="770" t="s">
        <v>17</v>
      </c>
      <c r="U14" s="771">
        <f t="shared" si="1"/>
        <v>100</v>
      </c>
      <c r="V14" s="770" t="s">
        <v>17</v>
      </c>
      <c r="W14" s="771">
        <f t="shared" si="2"/>
        <v>100</v>
      </c>
      <c r="X14" s="772"/>
      <c r="Y14" s="3037"/>
      <c r="Z14" s="55">
        <f t="shared" si="7"/>
        <v>111</v>
      </c>
      <c r="AA14" s="773">
        <f>D14/F14</f>
        <v>1</v>
      </c>
      <c r="AB14" s="773">
        <f>D14/H14</f>
        <v>1</v>
      </c>
      <c r="AC14" s="773">
        <f>D14/J14</f>
        <v>1</v>
      </c>
    </row>
    <row r="15" spans="1:30" ht="99.75">
      <c r="A15" s="440" t="s">
        <v>2550</v>
      </c>
      <c r="B15" s="69" t="s">
        <v>2078</v>
      </c>
      <c r="C15" s="2606"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214" t="s">
        <v>2551</v>
      </c>
      <c r="Q15" s="1813" t="str">
        <f t="shared" si="6"/>
        <v>居住社区成熟度</v>
      </c>
      <c r="R15" s="774" t="s">
        <v>17</v>
      </c>
      <c r="S15" s="775">
        <f t="shared" si="0"/>
        <v>100</v>
      </c>
      <c r="T15" s="774" t="s">
        <v>17</v>
      </c>
      <c r="U15" s="775">
        <f t="shared" si="1"/>
        <v>100</v>
      </c>
      <c r="V15" s="774" t="s">
        <v>17</v>
      </c>
      <c r="W15" s="775">
        <f t="shared" si="2"/>
        <v>100</v>
      </c>
      <c r="X15" s="1816"/>
      <c r="Y15" s="3214" t="s">
        <v>2551</v>
      </c>
      <c r="Z15" s="1817" t="str">
        <f t="shared" si="7"/>
        <v>居住社区成熟度</v>
      </c>
      <c r="AA15" s="1814">
        <f t="shared" si="3"/>
        <v>1</v>
      </c>
      <c r="AB15" s="1814">
        <f t="shared" si="4"/>
        <v>1</v>
      </c>
      <c r="AC15" s="1814">
        <f t="shared" si="5"/>
        <v>1</v>
      </c>
    </row>
    <row r="16" spans="1:30" ht="15">
      <c r="A16" s="428"/>
      <c r="B16" s="446"/>
      <c r="C16" s="447"/>
      <c r="D16" s="448"/>
      <c r="E16" s="2608"/>
      <c r="F16" s="448"/>
      <c r="G16" s="2608"/>
      <c r="H16" s="450"/>
      <c r="I16" s="2607"/>
      <c r="J16" s="448"/>
      <c r="K16" s="672"/>
      <c r="L16" s="1143"/>
      <c r="M16" s="1134"/>
      <c r="N16" s="1134"/>
      <c r="O16" s="1142"/>
      <c r="P16" s="3215"/>
      <c r="Q16" s="1813"/>
      <c r="R16" s="774"/>
      <c r="S16" s="775"/>
      <c r="T16" s="774"/>
      <c r="U16" s="775"/>
      <c r="V16" s="774"/>
      <c r="W16" s="775"/>
      <c r="X16" s="1816"/>
      <c r="Y16" s="3215"/>
      <c r="Z16" s="1817"/>
      <c r="AA16" s="1814">
        <v>1</v>
      </c>
      <c r="AB16" s="1814">
        <v>1</v>
      </c>
      <c r="AC16" s="1814">
        <v>1</v>
      </c>
    </row>
    <row r="17" spans="1:29" ht="71.25">
      <c r="A17" s="428"/>
      <c r="B17" s="451" t="s">
        <v>2644</v>
      </c>
      <c r="C17" s="2667"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215"/>
      <c r="Q17" s="1813" t="str">
        <f>B17</f>
        <v>商业繁华度</v>
      </c>
      <c r="R17" s="774" t="s">
        <v>17</v>
      </c>
      <c r="S17" s="775">
        <f>F17</f>
        <v>100</v>
      </c>
      <c r="T17" s="774" t="s">
        <v>17</v>
      </c>
      <c r="U17" s="775">
        <f>H17</f>
        <v>100</v>
      </c>
      <c r="V17" s="774" t="s">
        <v>17</v>
      </c>
      <c r="W17" s="775">
        <f>J17</f>
        <v>100</v>
      </c>
      <c r="X17" s="1816"/>
      <c r="Y17" s="3215"/>
      <c r="Z17" s="1817" t="str">
        <f>Q17</f>
        <v>商业繁华度</v>
      </c>
      <c r="AA17" s="1814">
        <f t="shared" si="3"/>
        <v>1</v>
      </c>
      <c r="AB17" s="1814">
        <f t="shared" si="4"/>
        <v>1</v>
      </c>
      <c r="AC17" s="1814">
        <f t="shared" si="5"/>
        <v>1</v>
      </c>
    </row>
    <row r="18" spans="1:29" ht="15">
      <c r="A18" s="428"/>
      <c r="B18" s="456"/>
      <c r="C18" s="2611"/>
      <c r="D18" s="450"/>
      <c r="E18" s="2613"/>
      <c r="F18" s="450"/>
      <c r="G18" s="2613"/>
      <c r="H18" s="448"/>
      <c r="I18" s="2612"/>
      <c r="J18" s="448"/>
      <c r="K18" s="672"/>
      <c r="L18" s="1143"/>
      <c r="M18" s="1134"/>
      <c r="N18" s="1134"/>
      <c r="O18" s="1142"/>
      <c r="P18" s="3215"/>
      <c r="Q18" s="1813"/>
      <c r="R18" s="774"/>
      <c r="S18" s="775"/>
      <c r="T18" s="774"/>
      <c r="U18" s="775"/>
      <c r="V18" s="774"/>
      <c r="W18" s="775"/>
      <c r="X18" s="1816"/>
      <c r="Y18" s="3215"/>
      <c r="Z18" s="1817"/>
      <c r="AA18" s="1814">
        <v>1</v>
      </c>
      <c r="AB18" s="1814">
        <v>1</v>
      </c>
      <c r="AC18" s="1814">
        <v>1</v>
      </c>
    </row>
    <row r="19" spans="1:29" ht="71.25">
      <c r="A19" s="428"/>
      <c r="B19" s="451" t="s">
        <v>2678</v>
      </c>
      <c r="C19" s="2667"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215"/>
      <c r="Q19" s="1813" t="str">
        <f>B19</f>
        <v>办公集聚程度</v>
      </c>
      <c r="R19" s="774" t="s">
        <v>17</v>
      </c>
      <c r="S19" s="775">
        <f>F19</f>
        <v>100</v>
      </c>
      <c r="T19" s="774" t="s">
        <v>17</v>
      </c>
      <c r="U19" s="775">
        <f>H19</f>
        <v>100</v>
      </c>
      <c r="V19" s="774" t="s">
        <v>17</v>
      </c>
      <c r="W19" s="775">
        <f>J19</f>
        <v>100</v>
      </c>
      <c r="X19" s="1816"/>
      <c r="Y19" s="3215"/>
      <c r="Z19" s="1817" t="str">
        <f>Q19</f>
        <v>办公集聚程度</v>
      </c>
      <c r="AA19" s="1814">
        <f t="shared" si="3"/>
        <v>1</v>
      </c>
      <c r="AB19" s="1814">
        <f t="shared" si="4"/>
        <v>1</v>
      </c>
      <c r="AC19" s="1814">
        <f t="shared" si="5"/>
        <v>1</v>
      </c>
    </row>
    <row r="20" spans="1:29" ht="15">
      <c r="A20" s="428"/>
      <c r="B20" s="456"/>
      <c r="C20" s="447"/>
      <c r="D20" s="448"/>
      <c r="E20" s="2608"/>
      <c r="F20" s="448"/>
      <c r="G20" s="2608"/>
      <c r="H20" s="448"/>
      <c r="I20" s="2607"/>
      <c r="J20" s="448"/>
      <c r="K20" s="672"/>
      <c r="L20" s="1143"/>
      <c r="M20" s="1134"/>
      <c r="N20" s="1134"/>
      <c r="O20" s="1142"/>
      <c r="P20" s="3215"/>
      <c r="Q20" s="1813"/>
      <c r="R20" s="774"/>
      <c r="S20" s="775"/>
      <c r="T20" s="774"/>
      <c r="U20" s="775"/>
      <c r="V20" s="774"/>
      <c r="W20" s="775"/>
      <c r="X20" s="1816"/>
      <c r="Y20" s="3215"/>
      <c r="Z20" s="1817"/>
      <c r="AA20" s="1814">
        <v>1</v>
      </c>
      <c r="AB20" s="1814">
        <v>1</v>
      </c>
      <c r="AC20" s="1814">
        <v>1</v>
      </c>
    </row>
    <row r="21" spans="1:29" ht="85.5">
      <c r="A21" s="428"/>
      <c r="B21" s="451" t="s">
        <v>2700</v>
      </c>
      <c r="C21" s="2610"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215"/>
      <c r="Q21" s="1813" t="str">
        <f>B21</f>
        <v>交通便捷度</v>
      </c>
      <c r="R21" s="774" t="s">
        <v>17</v>
      </c>
      <c r="S21" s="775">
        <f>F21</f>
        <v>100</v>
      </c>
      <c r="T21" s="774" t="s">
        <v>17</v>
      </c>
      <c r="U21" s="775">
        <f>H21</f>
        <v>100</v>
      </c>
      <c r="V21" s="774" t="s">
        <v>17</v>
      </c>
      <c r="W21" s="775">
        <f>J21</f>
        <v>100</v>
      </c>
      <c r="X21" s="1816"/>
      <c r="Y21" s="3215"/>
      <c r="Z21" s="1817" t="str">
        <f>Q21</f>
        <v>交通便捷度</v>
      </c>
      <c r="AA21" s="1814">
        <f t="shared" si="3"/>
        <v>1</v>
      </c>
      <c r="AB21" s="1814">
        <f t="shared" si="4"/>
        <v>1</v>
      </c>
      <c r="AC21" s="1814">
        <f t="shared" si="5"/>
        <v>1</v>
      </c>
    </row>
    <row r="22" spans="1:29" ht="15">
      <c r="A22" s="428"/>
      <c r="B22" s="1387"/>
      <c r="C22" s="447"/>
      <c r="D22" s="450"/>
      <c r="E22" s="2608"/>
      <c r="F22" s="448"/>
      <c r="G22" s="2608"/>
      <c r="H22" s="448"/>
      <c r="I22" s="2607"/>
      <c r="J22" s="448"/>
      <c r="K22" s="672"/>
      <c r="L22" s="1143"/>
      <c r="M22" s="1134"/>
      <c r="N22" s="1134"/>
      <c r="O22" s="1142"/>
      <c r="P22" s="3215"/>
      <c r="Q22" s="1813"/>
      <c r="R22" s="774"/>
      <c r="S22" s="775"/>
      <c r="T22" s="774"/>
      <c r="U22" s="775"/>
      <c r="V22" s="774"/>
      <c r="W22" s="775"/>
      <c r="X22" s="1816"/>
      <c r="Y22" s="3215"/>
      <c r="Z22" s="1817"/>
      <c r="AA22" s="1814">
        <v>1</v>
      </c>
      <c r="AB22" s="1814">
        <v>1</v>
      </c>
      <c r="AC22" s="1814">
        <v>1</v>
      </c>
    </row>
    <row r="23" spans="1:29" ht="15">
      <c r="A23" s="404"/>
      <c r="B23" s="451" t="s">
        <v>2739</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215"/>
      <c r="Q23" s="1813" t="str">
        <f t="shared" ref="Q23:Q37" si="8">B23</f>
        <v>区域土地利用方向</v>
      </c>
      <c r="R23" s="774" t="s">
        <v>17</v>
      </c>
      <c r="S23" s="775">
        <f>F23</f>
        <v>100</v>
      </c>
      <c r="T23" s="774" t="s">
        <v>17</v>
      </c>
      <c r="U23" s="775">
        <f>H23</f>
        <v>100</v>
      </c>
      <c r="V23" s="774" t="s">
        <v>17</v>
      </c>
      <c r="W23" s="775">
        <f>J23</f>
        <v>100</v>
      </c>
      <c r="X23" s="1816"/>
      <c r="Y23" s="3215"/>
      <c r="Z23" s="1817" t="str">
        <f>Q23</f>
        <v>区域土地利用方向</v>
      </c>
      <c r="AA23" s="1814">
        <f t="shared" si="3"/>
        <v>1</v>
      </c>
      <c r="AB23" s="1814">
        <f t="shared" si="4"/>
        <v>1</v>
      </c>
      <c r="AC23" s="1814">
        <f t="shared" si="5"/>
        <v>1</v>
      </c>
    </row>
    <row r="24" spans="1:29" ht="15">
      <c r="A24" s="404"/>
      <c r="B24" s="456"/>
      <c r="C24" s="616"/>
      <c r="D24" s="448"/>
      <c r="E24" s="2608"/>
      <c r="F24" s="448"/>
      <c r="G24" s="2607"/>
      <c r="H24" s="448"/>
      <c r="I24" s="2607"/>
      <c r="J24" s="448"/>
      <c r="K24" s="812"/>
      <c r="L24" s="1143"/>
      <c r="M24" s="1134"/>
      <c r="N24" s="1134"/>
      <c r="O24" s="1142"/>
      <c r="P24" s="3215"/>
      <c r="Q24" s="1813"/>
      <c r="R24" s="774"/>
      <c r="S24" s="775"/>
      <c r="T24" s="774"/>
      <c r="U24" s="775"/>
      <c r="V24" s="774"/>
      <c r="W24" s="775"/>
      <c r="X24" s="1816"/>
      <c r="Y24" s="3215"/>
      <c r="Z24" s="1817"/>
      <c r="AA24" s="1814"/>
      <c r="AB24" s="1814"/>
      <c r="AC24" s="1814"/>
    </row>
    <row r="25" spans="1:29" ht="57">
      <c r="A25" s="404"/>
      <c r="B25" s="1387" t="s">
        <v>2740</v>
      </c>
      <c r="C25" s="2667"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215"/>
      <c r="Q25" s="1813" t="str">
        <f t="shared" si="8"/>
        <v>自然及人文环境状况</v>
      </c>
      <c r="R25" s="774" t="s">
        <v>17</v>
      </c>
      <c r="S25" s="775">
        <f>F25</f>
        <v>100</v>
      </c>
      <c r="T25" s="774" t="s">
        <v>17</v>
      </c>
      <c r="U25" s="775">
        <f>H25</f>
        <v>100</v>
      </c>
      <c r="V25" s="774" t="s">
        <v>17</v>
      </c>
      <c r="W25" s="775">
        <f>J25</f>
        <v>100</v>
      </c>
      <c r="X25" s="1816"/>
      <c r="Y25" s="3215"/>
      <c r="Z25" s="1817" t="str">
        <f>Q25</f>
        <v>自然及人文环境状况</v>
      </c>
      <c r="AA25" s="1814">
        <f t="shared" si="3"/>
        <v>1</v>
      </c>
      <c r="AB25" s="1814">
        <f t="shared" si="4"/>
        <v>1</v>
      </c>
      <c r="AC25" s="1814">
        <f t="shared" si="5"/>
        <v>1</v>
      </c>
    </row>
    <row r="26" spans="1:29" ht="15">
      <c r="A26" s="404"/>
      <c r="B26" s="456"/>
      <c r="C26" s="447"/>
      <c r="D26" s="448"/>
      <c r="E26" s="2614"/>
      <c r="F26" s="448"/>
      <c r="G26" s="2614"/>
      <c r="H26" s="448"/>
      <c r="I26" s="447"/>
      <c r="J26" s="448"/>
      <c r="K26" s="672"/>
      <c r="L26" s="1143"/>
      <c r="M26" s="1134"/>
      <c r="N26" s="1134"/>
      <c r="O26" s="1142"/>
      <c r="P26" s="3215"/>
      <c r="Q26" s="1813"/>
      <c r="R26" s="774"/>
      <c r="S26" s="775"/>
      <c r="T26" s="774"/>
      <c r="U26" s="775"/>
      <c r="V26" s="774"/>
      <c r="W26" s="775"/>
      <c r="X26" s="1816"/>
      <c r="Y26" s="3215"/>
      <c r="Z26" s="1817"/>
      <c r="AA26" s="1814">
        <v>1</v>
      </c>
      <c r="AB26" s="1814">
        <v>1</v>
      </c>
      <c r="AC26" s="1814">
        <v>1</v>
      </c>
    </row>
    <row r="27" spans="1:29" s="117" customFormat="1" ht="42.75">
      <c r="A27" s="649"/>
      <c r="B27" s="1387" t="s">
        <v>2645</v>
      </c>
      <c r="C27" s="2610"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215"/>
      <c r="Q27" s="1798" t="str">
        <f t="shared" si="8"/>
        <v>公共配套设施</v>
      </c>
      <c r="R27" s="770" t="s">
        <v>17</v>
      </c>
      <c r="S27" s="771">
        <f>F27</f>
        <v>100</v>
      </c>
      <c r="T27" s="770" t="s">
        <v>17</v>
      </c>
      <c r="U27" s="771">
        <f>H27</f>
        <v>100</v>
      </c>
      <c r="V27" s="770" t="s">
        <v>17</v>
      </c>
      <c r="W27" s="771">
        <f>J27</f>
        <v>100</v>
      </c>
      <c r="X27" s="772"/>
      <c r="Y27" s="3215"/>
      <c r="Z27" s="55" t="str">
        <f>Q27</f>
        <v>公共配套设施</v>
      </c>
      <c r="AA27" s="1814">
        <f>D27/F27</f>
        <v>1</v>
      </c>
      <c r="AB27" s="1814">
        <f>D27/H27</f>
        <v>1</v>
      </c>
      <c r="AC27" s="1814">
        <f>D27/J27</f>
        <v>1</v>
      </c>
    </row>
    <row r="28" spans="1:29" s="117" customFormat="1" ht="15">
      <c r="A28" s="649"/>
      <c r="B28" s="456"/>
      <c r="C28" s="2703"/>
      <c r="D28" s="448"/>
      <c r="E28" s="2614"/>
      <c r="F28" s="448"/>
      <c r="G28" s="2614"/>
      <c r="H28" s="448"/>
      <c r="I28" s="447"/>
      <c r="J28" s="448"/>
      <c r="K28" s="672"/>
      <c r="L28" s="1135"/>
      <c r="M28" s="1136"/>
      <c r="N28" s="1136"/>
      <c r="O28" s="1137"/>
      <c r="P28" s="3215"/>
      <c r="Q28" s="1798"/>
      <c r="R28" s="770"/>
      <c r="S28" s="771"/>
      <c r="T28" s="770"/>
      <c r="U28" s="771"/>
      <c r="V28" s="770"/>
      <c r="W28" s="771"/>
      <c r="X28" s="772"/>
      <c r="Y28" s="3215"/>
      <c r="Z28" s="55"/>
      <c r="AA28" s="1814">
        <v>1</v>
      </c>
      <c r="AB28" s="1814">
        <v>1</v>
      </c>
      <c r="AC28" s="1814">
        <v>1</v>
      </c>
    </row>
    <row r="29" spans="1:29" s="117" customFormat="1" ht="28.5">
      <c r="A29" s="649"/>
      <c r="B29" s="1387" t="s">
        <v>2646</v>
      </c>
      <c r="C29" s="2610"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215"/>
      <c r="Q29" s="1798" t="str">
        <f t="shared" ref="Q29" si="9">B29</f>
        <v>基础设施水平</v>
      </c>
      <c r="R29" s="770" t="s">
        <v>17</v>
      </c>
      <c r="S29" s="771">
        <f>F29</f>
        <v>100</v>
      </c>
      <c r="T29" s="770" t="s">
        <v>17</v>
      </c>
      <c r="U29" s="771">
        <f>H29</f>
        <v>100</v>
      </c>
      <c r="V29" s="770" t="s">
        <v>17</v>
      </c>
      <c r="W29" s="771">
        <f>J29</f>
        <v>100</v>
      </c>
      <c r="X29" s="772"/>
      <c r="Y29" s="3215"/>
      <c r="Z29" s="55" t="str">
        <f>Q29</f>
        <v>基础设施水平</v>
      </c>
      <c r="AA29" s="1814">
        <f>D29/F29</f>
        <v>1</v>
      </c>
      <c r="AB29" s="1814">
        <f>D29/H29</f>
        <v>1</v>
      </c>
      <c r="AC29" s="1814">
        <f>D29/J29</f>
        <v>1</v>
      </c>
    </row>
    <row r="30" spans="1:29" s="117" customFormat="1" ht="15">
      <c r="A30" s="649"/>
      <c r="B30" s="456"/>
      <c r="C30" s="2703"/>
      <c r="D30" s="448"/>
      <c r="E30" s="2704"/>
      <c r="F30" s="448"/>
      <c r="G30" s="2704"/>
      <c r="H30" s="448"/>
      <c r="I30" s="2704"/>
      <c r="J30" s="448"/>
      <c r="K30" s="672"/>
      <c r="L30" s="1135"/>
      <c r="M30" s="1136"/>
      <c r="N30" s="1136"/>
      <c r="O30" s="1137"/>
      <c r="P30" s="3215"/>
      <c r="Q30" s="1798"/>
      <c r="R30" s="770"/>
      <c r="S30" s="771"/>
      <c r="T30" s="770"/>
      <c r="U30" s="771"/>
      <c r="V30" s="770"/>
      <c r="W30" s="771"/>
      <c r="X30" s="772"/>
      <c r="Y30" s="3215"/>
      <c r="Z30" s="55"/>
      <c r="AA30" s="1814">
        <v>1</v>
      </c>
      <c r="AB30" s="1814">
        <v>1</v>
      </c>
      <c r="AC30" s="1814">
        <v>1</v>
      </c>
    </row>
    <row r="31" spans="1:29" ht="15">
      <c r="A31" s="428"/>
      <c r="B31" s="456" t="s">
        <v>2647</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215"/>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215"/>
      <c r="Z31" s="1817" t="str">
        <f t="shared" ref="Z31:Z45" si="13">Q31</f>
        <v>临街状况</v>
      </c>
      <c r="AA31" s="1814">
        <f t="shared" si="3"/>
        <v>1</v>
      </c>
      <c r="AB31" s="1814">
        <f t="shared" si="4"/>
        <v>1</v>
      </c>
      <c r="AC31" s="1814">
        <f t="shared" si="5"/>
        <v>1</v>
      </c>
    </row>
    <row r="32" spans="1:29" ht="27">
      <c r="A32" s="428"/>
      <c r="B32" s="1387" t="s">
        <v>2682</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215"/>
      <c r="Q32" s="1813" t="str">
        <f t="shared" si="8"/>
        <v>毗邻道路的类型与等级</v>
      </c>
      <c r="R32" s="774" t="s">
        <v>17</v>
      </c>
      <c r="S32" s="775">
        <f t="shared" si="10"/>
        <v>100</v>
      </c>
      <c r="T32" s="774" t="s">
        <v>17</v>
      </c>
      <c r="U32" s="775">
        <f t="shared" si="11"/>
        <v>100</v>
      </c>
      <c r="V32" s="774" t="s">
        <v>17</v>
      </c>
      <c r="W32" s="775">
        <f t="shared" si="12"/>
        <v>100</v>
      </c>
      <c r="X32" s="1816"/>
      <c r="Y32" s="3215"/>
      <c r="Z32" s="1817" t="str">
        <f t="shared" si="13"/>
        <v>毗邻道路的类型与等级</v>
      </c>
      <c r="AA32" s="1814">
        <f t="shared" si="3"/>
        <v>1</v>
      </c>
      <c r="AB32" s="1814">
        <f t="shared" si="4"/>
        <v>1</v>
      </c>
      <c r="AC32" s="1814">
        <f t="shared" si="5"/>
        <v>1</v>
      </c>
    </row>
    <row r="33" spans="1:29" ht="15">
      <c r="A33" s="428"/>
      <c r="B33" s="456"/>
      <c r="C33" s="447"/>
      <c r="D33" s="448"/>
      <c r="E33" s="2614"/>
      <c r="F33" s="448"/>
      <c r="G33" s="2614"/>
      <c r="H33" s="448"/>
      <c r="I33" s="447"/>
      <c r="J33" s="448"/>
      <c r="K33" s="613"/>
      <c r="L33" s="1143"/>
      <c r="M33" s="1134"/>
      <c r="N33" s="1134"/>
      <c r="O33" s="1142"/>
      <c r="P33" s="3215"/>
      <c r="Q33" s="1813"/>
      <c r="R33" s="774"/>
      <c r="S33" s="775"/>
      <c r="T33" s="774"/>
      <c r="U33" s="775"/>
      <c r="V33" s="774"/>
      <c r="W33" s="775"/>
      <c r="X33" s="1816"/>
      <c r="Y33" s="3215"/>
      <c r="Z33" s="1817"/>
      <c r="AA33" s="1814">
        <v>1</v>
      </c>
      <c r="AB33" s="1814">
        <v>1</v>
      </c>
      <c r="AC33" s="1814">
        <v>1</v>
      </c>
    </row>
    <row r="34" spans="1:29" ht="15">
      <c r="A34" s="428"/>
      <c r="B34" s="422" t="s">
        <v>2741</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215"/>
      <c r="Q34" s="1813" t="str">
        <f t="shared" si="8"/>
        <v>土地级别</v>
      </c>
      <c r="R34" s="774" t="s">
        <v>17</v>
      </c>
      <c r="S34" s="775">
        <f t="shared" si="10"/>
        <v>100</v>
      </c>
      <c r="T34" s="774" t="s">
        <v>17</v>
      </c>
      <c r="U34" s="775">
        <f t="shared" si="11"/>
        <v>100</v>
      </c>
      <c r="V34" s="774" t="s">
        <v>17</v>
      </c>
      <c r="W34" s="775">
        <f t="shared" si="12"/>
        <v>100</v>
      </c>
      <c r="X34" s="1816"/>
      <c r="Y34" s="3215"/>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215"/>
      <c r="Q35" s="1813">
        <f t="shared" si="8"/>
        <v>111</v>
      </c>
      <c r="R35" s="774" t="s">
        <v>17</v>
      </c>
      <c r="S35" s="775">
        <f t="shared" si="10"/>
        <v>100</v>
      </c>
      <c r="T35" s="774" t="s">
        <v>17</v>
      </c>
      <c r="U35" s="775">
        <f t="shared" si="11"/>
        <v>100</v>
      </c>
      <c r="V35" s="774" t="s">
        <v>17</v>
      </c>
      <c r="W35" s="775">
        <f t="shared" si="12"/>
        <v>100</v>
      </c>
      <c r="X35" s="1816"/>
      <c r="Y35" s="3215"/>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70" t="s">
        <v>2556</v>
      </c>
      <c r="Q36" s="1813">
        <f t="shared" si="8"/>
        <v>111</v>
      </c>
      <c r="R36" s="774" t="s">
        <v>17</v>
      </c>
      <c r="S36" s="775">
        <f t="shared" si="10"/>
        <v>100</v>
      </c>
      <c r="T36" s="774" t="s">
        <v>17</v>
      </c>
      <c r="U36" s="775">
        <f t="shared" si="11"/>
        <v>100</v>
      </c>
      <c r="V36" s="774" t="s">
        <v>17</v>
      </c>
      <c r="W36" s="775">
        <f t="shared" si="12"/>
        <v>100</v>
      </c>
      <c r="X36" s="1816"/>
      <c r="Y36" s="3219" t="s">
        <v>2556</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19"/>
      <c r="Q37" s="1813">
        <f t="shared" si="8"/>
        <v>111</v>
      </c>
      <c r="R37" s="777" t="s">
        <v>17</v>
      </c>
      <c r="S37" s="778">
        <f t="shared" si="10"/>
        <v>100</v>
      </c>
      <c r="T37" s="777" t="s">
        <v>17</v>
      </c>
      <c r="U37" s="778">
        <f t="shared" si="11"/>
        <v>100</v>
      </c>
      <c r="V37" s="777" t="s">
        <v>17</v>
      </c>
      <c r="W37" s="778">
        <f t="shared" si="12"/>
        <v>100</v>
      </c>
      <c r="X37" s="779"/>
      <c r="Y37" s="3219"/>
      <c r="Z37" s="780">
        <f t="shared" si="13"/>
        <v>111</v>
      </c>
      <c r="AA37" s="1814">
        <f t="shared" si="3"/>
        <v>1</v>
      </c>
      <c r="AB37" s="1814">
        <f t="shared" si="4"/>
        <v>1</v>
      </c>
      <c r="AC37" s="1814">
        <f t="shared" si="5"/>
        <v>1</v>
      </c>
    </row>
    <row r="38" spans="1:29" ht="15">
      <c r="A38" s="472" t="s">
        <v>2554</v>
      </c>
      <c r="B38" s="456" t="s">
        <v>2742</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219"/>
      <c r="Q38" s="1813" t="str">
        <f>B38</f>
        <v>宗地面积</v>
      </c>
      <c r="R38" s="774" t="s">
        <v>17</v>
      </c>
      <c r="S38" s="775" t="e">
        <f t="shared" si="10"/>
        <v>#N/A</v>
      </c>
      <c r="T38" s="774" t="s">
        <v>17</v>
      </c>
      <c r="U38" s="775" t="e">
        <f t="shared" si="11"/>
        <v>#N/A</v>
      </c>
      <c r="V38" s="774" t="s">
        <v>17</v>
      </c>
      <c r="W38" s="775" t="e">
        <f t="shared" si="12"/>
        <v>#N/A</v>
      </c>
      <c r="X38" s="1816"/>
      <c r="Y38" s="3219"/>
      <c r="Z38" s="1817" t="str">
        <f t="shared" si="13"/>
        <v>宗地面积</v>
      </c>
      <c r="AA38" s="1814" t="e">
        <f t="shared" si="3"/>
        <v>#N/A</v>
      </c>
      <c r="AB38" s="1814" t="e">
        <f t="shared" si="4"/>
        <v>#N/A</v>
      </c>
      <c r="AC38" s="1814" t="e">
        <f t="shared" si="5"/>
        <v>#N/A</v>
      </c>
    </row>
    <row r="39" spans="1:29" ht="15">
      <c r="A39" s="472"/>
      <c r="B39" s="422" t="s">
        <v>2743</v>
      </c>
      <c r="C39" s="2616"/>
      <c r="D39" s="435">
        <v>100</v>
      </c>
      <c r="E39" s="2616"/>
      <c r="F39" s="435">
        <f>SUMIF(119:119,E39,120:120)-SUMIF(119:119,C39,120:120)+100</f>
        <v>100</v>
      </c>
      <c r="G39" s="2616"/>
      <c r="H39" s="435">
        <f>SUMIF(119:119,G39,120:120)-SUMIF(119:119,C39,120:120)+100</f>
        <v>100</v>
      </c>
      <c r="I39" s="2616"/>
      <c r="J39" s="435">
        <f>SUMIF(119:119,I39,120:120)-SUMIF(119:119,C39,120:120)+100</f>
        <v>100</v>
      </c>
      <c r="K39" s="612"/>
      <c r="L39" s="1143"/>
      <c r="M39" s="1134"/>
      <c r="N39" s="1134"/>
      <c r="O39" s="1142"/>
      <c r="P39" s="3219"/>
      <c r="Q39" s="1813" t="str">
        <f t="shared" ref="Q39:Q45" si="14">B39</f>
        <v>宗地形状</v>
      </c>
      <c r="R39" s="774" t="s">
        <v>17</v>
      </c>
      <c r="S39" s="775">
        <f t="shared" si="10"/>
        <v>100</v>
      </c>
      <c r="T39" s="774" t="s">
        <v>17</v>
      </c>
      <c r="U39" s="775">
        <f t="shared" si="11"/>
        <v>100</v>
      </c>
      <c r="V39" s="774" t="s">
        <v>17</v>
      </c>
      <c r="W39" s="775">
        <f t="shared" si="12"/>
        <v>100</v>
      </c>
      <c r="X39" s="1816"/>
      <c r="Y39" s="3219"/>
      <c r="Z39" s="1817" t="str">
        <f t="shared" si="13"/>
        <v>宗地形状</v>
      </c>
      <c r="AA39" s="1814">
        <f t="shared" si="3"/>
        <v>1</v>
      </c>
      <c r="AB39" s="1814">
        <f t="shared" si="4"/>
        <v>1</v>
      </c>
      <c r="AC39" s="1814">
        <f t="shared" si="5"/>
        <v>1</v>
      </c>
    </row>
    <row r="40" spans="1:29" ht="15">
      <c r="A40" s="472"/>
      <c r="B40" s="422" t="s">
        <v>2744</v>
      </c>
      <c r="C40" s="2616"/>
      <c r="D40" s="435">
        <v>100</v>
      </c>
      <c r="E40" s="2616"/>
      <c r="F40" s="435">
        <f>SUMIF(121:121,E40,122:122)-SUMIF(121:121,C40,122:122)+100</f>
        <v>100</v>
      </c>
      <c r="G40" s="2616"/>
      <c r="H40" s="435">
        <f>SUMIF(121:121,G40,122:122)-SUMIF(121:121,C40,122:122)+100</f>
        <v>100</v>
      </c>
      <c r="I40" s="2616"/>
      <c r="J40" s="435">
        <f>SUMIF(121:121,I40,122:122)-SUMIF(121:121,C40,122:122)+100</f>
        <v>100</v>
      </c>
      <c r="K40" s="612"/>
      <c r="L40" s="1143"/>
      <c r="M40" s="1134"/>
      <c r="N40" s="1134"/>
      <c r="O40" s="1142"/>
      <c r="P40" s="3219"/>
      <c r="Q40" s="1813" t="str">
        <f t="shared" si="14"/>
        <v>临街宽度及深度</v>
      </c>
      <c r="R40" s="774" t="s">
        <v>17</v>
      </c>
      <c r="S40" s="775">
        <f t="shared" si="10"/>
        <v>100</v>
      </c>
      <c r="T40" s="774" t="s">
        <v>17</v>
      </c>
      <c r="U40" s="775">
        <f t="shared" si="11"/>
        <v>100</v>
      </c>
      <c r="V40" s="774" t="s">
        <v>17</v>
      </c>
      <c r="W40" s="775">
        <f t="shared" si="12"/>
        <v>100</v>
      </c>
      <c r="X40" s="1816"/>
      <c r="Y40" s="3219"/>
      <c r="Z40" s="1817" t="str">
        <f t="shared" si="13"/>
        <v>临街宽度及深度</v>
      </c>
      <c r="AA40" s="1814">
        <f t="shared" si="3"/>
        <v>1</v>
      </c>
      <c r="AB40" s="1814">
        <f t="shared" si="4"/>
        <v>1</v>
      </c>
      <c r="AC40" s="1814">
        <f t="shared" si="5"/>
        <v>1</v>
      </c>
    </row>
    <row r="41" spans="1:29" s="117" customFormat="1" ht="15">
      <c r="A41" s="473"/>
      <c r="B41" s="422" t="s">
        <v>2745</v>
      </c>
      <c r="C41" s="2705"/>
      <c r="D41" s="136">
        <v>100</v>
      </c>
      <c r="E41" s="2705"/>
      <c r="F41" s="435">
        <f>SUMIF(123:123,E41,124:124)-SUMIF(123:123,C41,124:124)+100</f>
        <v>100</v>
      </c>
      <c r="G41" s="2705"/>
      <c r="H41" s="435">
        <f>SUMIF(123:123,G41,124:124)-SUMIF(123:123,C41,124:124)+100</f>
        <v>100</v>
      </c>
      <c r="I41" s="2705"/>
      <c r="J41" s="435">
        <f>SUMIF(123:123,I41,124:124)-SUMIF(123:123,C41,124:124)+100</f>
        <v>100</v>
      </c>
      <c r="K41" s="612"/>
      <c r="L41" s="1135"/>
      <c r="M41" s="1136"/>
      <c r="N41" s="1136"/>
      <c r="O41" s="1137"/>
      <c r="P41" s="3219"/>
      <c r="Q41" s="1813" t="str">
        <f t="shared" si="14"/>
        <v>宗地开发程度</v>
      </c>
      <c r="R41" s="770" t="s">
        <v>17</v>
      </c>
      <c r="S41" s="771">
        <f t="shared" si="10"/>
        <v>100</v>
      </c>
      <c r="T41" s="770" t="s">
        <v>17</v>
      </c>
      <c r="U41" s="771">
        <f t="shared" si="11"/>
        <v>100</v>
      </c>
      <c r="V41" s="770" t="s">
        <v>17</v>
      </c>
      <c r="W41" s="771">
        <f t="shared" si="12"/>
        <v>100</v>
      </c>
      <c r="X41" s="772"/>
      <c r="Y41" s="3219"/>
      <c r="Z41" s="55" t="str">
        <f t="shared" si="13"/>
        <v>宗地开发程度</v>
      </c>
      <c r="AA41" s="773">
        <f t="shared" si="3"/>
        <v>1</v>
      </c>
      <c r="AB41" s="773">
        <f t="shared" si="4"/>
        <v>1</v>
      </c>
      <c r="AC41" s="773">
        <f t="shared" si="5"/>
        <v>1</v>
      </c>
    </row>
    <row r="42" spans="1:29" ht="15">
      <c r="A42" s="472"/>
      <c r="B42" s="422" t="s">
        <v>2746</v>
      </c>
      <c r="C42" s="2616"/>
      <c r="D42" s="435">
        <v>100</v>
      </c>
      <c r="E42" s="2616"/>
      <c r="F42" s="435">
        <f>SUMIF(125:125,E42,126:126)-SUMIF(125:125,C42,126:126)+100</f>
        <v>100</v>
      </c>
      <c r="G42" s="2616"/>
      <c r="H42" s="435">
        <f>SUMIF(125:125,G42,126:126)-SUMIF(125:125,C42,126:126)+100</f>
        <v>100</v>
      </c>
      <c r="I42" s="2616"/>
      <c r="J42" s="435">
        <f>SUMIF(125:125,I42,126:126)-SUMIF(125:125,C42,126:126)+100</f>
        <v>100</v>
      </c>
      <c r="K42" s="612"/>
      <c r="L42" s="1143"/>
      <c r="M42" s="1134"/>
      <c r="N42" s="1134"/>
      <c r="O42" s="1142"/>
      <c r="P42" s="3219" t="s">
        <v>2556</v>
      </c>
      <c r="Q42" s="1813" t="str">
        <f t="shared" si="14"/>
        <v>工程地质条件</v>
      </c>
      <c r="R42" s="774" t="s">
        <v>17</v>
      </c>
      <c r="S42" s="775">
        <f t="shared" si="10"/>
        <v>100</v>
      </c>
      <c r="T42" s="774" t="s">
        <v>17</v>
      </c>
      <c r="U42" s="775">
        <f t="shared" si="11"/>
        <v>100</v>
      </c>
      <c r="V42" s="774" t="s">
        <v>17</v>
      </c>
      <c r="W42" s="775">
        <f t="shared" si="12"/>
        <v>100</v>
      </c>
      <c r="X42" s="1816"/>
      <c r="Y42" s="3219" t="s">
        <v>2556</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19"/>
      <c r="Q43" s="1813">
        <f t="shared" si="14"/>
        <v>111</v>
      </c>
      <c r="R43" s="774" t="s">
        <v>17</v>
      </c>
      <c r="S43" s="775">
        <f t="shared" si="10"/>
        <v>100</v>
      </c>
      <c r="T43" s="774" t="s">
        <v>17</v>
      </c>
      <c r="U43" s="775">
        <f t="shared" si="11"/>
        <v>100</v>
      </c>
      <c r="V43" s="774" t="s">
        <v>17</v>
      </c>
      <c r="W43" s="775">
        <f t="shared" si="12"/>
        <v>100</v>
      </c>
      <c r="X43" s="1816"/>
      <c r="Y43" s="3219"/>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19"/>
      <c r="Q44" s="1813">
        <f t="shared" si="14"/>
        <v>111</v>
      </c>
      <c r="R44" s="774" t="s">
        <v>17</v>
      </c>
      <c r="S44" s="775">
        <f t="shared" si="10"/>
        <v>100</v>
      </c>
      <c r="T44" s="774" t="s">
        <v>17</v>
      </c>
      <c r="U44" s="775">
        <f t="shared" si="11"/>
        <v>100</v>
      </c>
      <c r="V44" s="774" t="s">
        <v>17</v>
      </c>
      <c r="W44" s="775">
        <f t="shared" si="12"/>
        <v>100</v>
      </c>
      <c r="X44" s="1816"/>
      <c r="Y44" s="3219"/>
      <c r="Z44" s="1817">
        <f t="shared" si="13"/>
        <v>111</v>
      </c>
      <c r="AA44" s="1814">
        <f t="shared" si="3"/>
        <v>1</v>
      </c>
      <c r="AB44" s="1814">
        <f t="shared" si="4"/>
        <v>1</v>
      </c>
      <c r="AC44" s="1814">
        <f t="shared" si="5"/>
        <v>1</v>
      </c>
    </row>
    <row r="45" spans="1:29" s="471" customFormat="1" ht="15.75" thickBot="1">
      <c r="A45" s="468"/>
      <c r="B45" s="1390">
        <v>111</v>
      </c>
      <c r="C45" s="2706"/>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19"/>
      <c r="Q45" s="1813">
        <f t="shared" si="14"/>
        <v>111</v>
      </c>
      <c r="R45" s="777" t="s">
        <v>17</v>
      </c>
      <c r="S45" s="778">
        <f t="shared" si="10"/>
        <v>100</v>
      </c>
      <c r="T45" s="777" t="s">
        <v>17</v>
      </c>
      <c r="U45" s="778">
        <f t="shared" si="11"/>
        <v>100</v>
      </c>
      <c r="V45" s="777" t="s">
        <v>17</v>
      </c>
      <c r="W45" s="778">
        <f t="shared" si="12"/>
        <v>100</v>
      </c>
      <c r="X45" s="779"/>
      <c r="Y45" s="3219"/>
      <c r="Z45" s="780">
        <f t="shared" si="13"/>
        <v>111</v>
      </c>
      <c r="AA45" s="1814">
        <f t="shared" si="3"/>
        <v>1</v>
      </c>
      <c r="AB45" s="1814">
        <f t="shared" si="4"/>
        <v>1</v>
      </c>
      <c r="AC45" s="1814">
        <f t="shared" si="5"/>
        <v>1</v>
      </c>
    </row>
    <row r="46" spans="1:29" ht="15">
      <c r="A46" s="479" t="s">
        <v>2711</v>
      </c>
      <c r="B46" s="2707" t="s">
        <v>2747</v>
      </c>
      <c r="C46" s="682" t="s">
        <v>1</v>
      </c>
      <c r="D46" s="481"/>
      <c r="E46" s="482"/>
      <c r="F46" s="483"/>
      <c r="G46" s="484"/>
      <c r="H46" s="485"/>
      <c r="I46" s="482"/>
      <c r="J46" s="485"/>
      <c r="K46" s="783"/>
      <c r="L46" s="1146"/>
      <c r="M46" s="1147"/>
      <c r="N46" s="1134"/>
      <c r="O46" s="1147"/>
      <c r="P46" s="3212" t="str">
        <f>A46</f>
        <v>成交单价</v>
      </c>
      <c r="Q46" s="3212"/>
      <c r="R46" s="3243">
        <f>E46</f>
        <v>0</v>
      </c>
      <c r="S46" s="3243"/>
      <c r="T46" s="3243">
        <f>G46</f>
        <v>0</v>
      </c>
      <c r="U46" s="3243"/>
      <c r="V46" s="3243">
        <f>I46</f>
        <v>0</v>
      </c>
      <c r="W46" s="3243"/>
      <c r="X46" s="759"/>
      <c r="Y46" s="781"/>
      <c r="Z46" s="759"/>
      <c r="AA46" s="759"/>
      <c r="AB46" s="759"/>
      <c r="AC46" s="759"/>
    </row>
    <row r="47" spans="1:29" ht="15.75" thickBot="1">
      <c r="A47" s="486" t="s">
        <v>2660</v>
      </c>
      <c r="B47" s="683"/>
      <c r="C47" s="490" t="e">
        <f>R48</f>
        <v>#DIV/0!</v>
      </c>
      <c r="D47" s="489"/>
      <c r="E47" s="490" t="e">
        <f>R47</f>
        <v>#DIV/0!</v>
      </c>
      <c r="F47" s="491"/>
      <c r="G47" s="488" t="e">
        <f>T47</f>
        <v>#DIV/0!</v>
      </c>
      <c r="H47" s="489"/>
      <c r="I47" s="490" t="e">
        <f>V47</f>
        <v>#DIV/0!</v>
      </c>
      <c r="J47" s="489"/>
      <c r="K47" s="784"/>
      <c r="L47" s="1146"/>
      <c r="M47" s="1147"/>
      <c r="N47" s="1147"/>
      <c r="O47" s="1147"/>
      <c r="P47" s="3212" t="str">
        <f>A47</f>
        <v>比较价值（元/平方米）</v>
      </c>
      <c r="Q47" s="3212"/>
      <c r="R47" s="3271" t="e">
        <f>ROUND(PRODUCT(R46,AA7:AA45),0)</f>
        <v>#DIV/0!</v>
      </c>
      <c r="S47" s="3271"/>
      <c r="T47" s="3271" t="e">
        <f>ROUND(PRODUCT(T46,AB7:AB45),0)</f>
        <v>#DIV/0!</v>
      </c>
      <c r="U47" s="3271"/>
      <c r="V47" s="3271" t="e">
        <f>ROUND(PRODUCT(V46,AC7:AC45),0)</f>
        <v>#DIV/0!</v>
      </c>
      <c r="W47" s="3271"/>
      <c r="X47" s="759"/>
      <c r="Y47" s="759"/>
      <c r="Z47" s="759"/>
      <c r="AA47" s="759"/>
      <c r="AB47" s="759"/>
      <c r="AC47" s="759"/>
    </row>
    <row r="48" spans="1:29" ht="15.75" thickBot="1">
      <c r="A48" s="492" t="s">
        <v>2748</v>
      </c>
      <c r="B48" s="493"/>
      <c r="C48" s="494" t="e">
        <f>R48</f>
        <v>#DIV/0!</v>
      </c>
      <c r="D48" s="494"/>
      <c r="E48" s="494"/>
      <c r="F48" s="494"/>
      <c r="G48" s="494"/>
      <c r="H48" s="494"/>
      <c r="I48" s="494"/>
      <c r="J48" s="494"/>
      <c r="K48" s="785"/>
      <c r="L48" s="1146"/>
      <c r="M48" s="1147"/>
      <c r="N48" s="1147"/>
      <c r="O48" s="1147"/>
      <c r="P48" s="3209" t="str">
        <f>A48</f>
        <v>估价对象XX用房的比较价值（楼面单价，元/平方米）</v>
      </c>
      <c r="Q48" s="3210"/>
      <c r="R48" s="3272" t="e">
        <f>ROUND(AVERAGE(R47:V47),0)</f>
        <v>#DIV/0!</v>
      </c>
      <c r="S48" s="3272"/>
      <c r="T48" s="3272"/>
      <c r="U48" s="3272"/>
      <c r="V48" s="3272"/>
      <c r="W48" s="3272"/>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2662</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2663</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2664</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2749</v>
      </c>
      <c r="B55" s="685" t="s">
        <v>2750</v>
      </c>
      <c r="C55" s="2708" t="s">
        <v>2751</v>
      </c>
      <c r="D55" s="2709" t="s">
        <v>2752</v>
      </c>
      <c r="E55" s="686" t="s">
        <v>2753</v>
      </c>
      <c r="F55" s="1110" t="s">
        <v>2754</v>
      </c>
      <c r="G55" s="3227" t="s">
        <v>2755</v>
      </c>
      <c r="H55" s="3273"/>
      <c r="I55" s="144" t="s">
        <v>2756</v>
      </c>
      <c r="J55" s="2710">
        <f>项目基本情况!F35</f>
        <v>0</v>
      </c>
      <c r="K55" s="2711" t="s">
        <v>2757</v>
      </c>
      <c r="L55" s="1109"/>
      <c r="M55" s="1147"/>
      <c r="N55" s="1147"/>
      <c r="O55" s="1147"/>
    </row>
    <row r="56" spans="1:15" s="692" customFormat="1">
      <c r="A56" s="688" t="s">
        <v>2758</v>
      </c>
      <c r="B56" s="689" t="e">
        <f>C48</f>
        <v>#DIV/0!</v>
      </c>
      <c r="C56" s="690">
        <v>1</v>
      </c>
      <c r="D56" s="1166">
        <v>1</v>
      </c>
      <c r="E56" s="690">
        <f>'数据-汇总表'!E8+'数据-汇总表'!E9</f>
        <v>111369.40000000001</v>
      </c>
      <c r="F56" s="1106" t="e">
        <f t="shared" ref="F56:F65" si="15">ROUND(B56*E56/10000,0)</f>
        <v>#DIV/0!</v>
      </c>
      <c r="G56" s="3223"/>
      <c r="H56" s="3212"/>
      <c r="I56" s="1111">
        <v>1</v>
      </c>
      <c r="J56" s="1114">
        <v>1</v>
      </c>
      <c r="K56" s="1148"/>
      <c r="L56" s="944"/>
      <c r="M56" s="944"/>
      <c r="N56" s="944"/>
      <c r="O56" s="944"/>
    </row>
    <row r="57" spans="1:15" s="692" customFormat="1">
      <c r="A57" s="693" t="s">
        <v>2759</v>
      </c>
      <c r="B57" s="262" t="e">
        <f>ROUND($C$48*C57*D57,0)</f>
        <v>#DIV/0!</v>
      </c>
      <c r="C57" s="200">
        <f t="shared" ref="C57:C65" si="16">IF($C$55="北京市系数",I57,J57)</f>
        <v>0</v>
      </c>
      <c r="D57" s="1167">
        <v>0.25</v>
      </c>
      <c r="E57" s="694"/>
      <c r="F57" s="1106" t="e">
        <f t="shared" si="15"/>
        <v>#DIV/0!</v>
      </c>
      <c r="G57" s="3274" t="s">
        <v>2760</v>
      </c>
      <c r="H57" s="1107">
        <f>项目基本情况!B37</f>
        <v>0</v>
      </c>
      <c r="I57" s="1111">
        <f>SUMIF(修正!A45:A56,H57,修正!B45:B56)</f>
        <v>0</v>
      </c>
      <c r="J57" s="1115"/>
      <c r="K57" s="1147"/>
      <c r="L57" s="944"/>
      <c r="M57" s="944"/>
      <c r="N57" s="944"/>
      <c r="O57" s="944"/>
    </row>
    <row r="58" spans="1:15" s="692" customFormat="1">
      <c r="A58" s="693" t="s">
        <v>2761</v>
      </c>
      <c r="B58" s="262" t="e">
        <f t="shared" ref="B58:B65" si="17">ROUND($C$48*C58*D58,0)</f>
        <v>#DIV/0!</v>
      </c>
      <c r="C58" s="200">
        <f t="shared" si="16"/>
        <v>0</v>
      </c>
      <c r="D58" s="1167">
        <v>0.25</v>
      </c>
      <c r="E58" s="694"/>
      <c r="F58" s="1106" t="e">
        <f t="shared" si="15"/>
        <v>#DIV/0!</v>
      </c>
      <c r="G58" s="3274"/>
      <c r="H58" s="1107">
        <f>项目基本情况!B37</f>
        <v>0</v>
      </c>
      <c r="I58" s="1111">
        <f>SUMIF(修正!A45:A56,H58,修正!C45:C56)</f>
        <v>0</v>
      </c>
      <c r="J58" s="1115"/>
      <c r="K58" s="1148"/>
      <c r="L58" s="944"/>
      <c r="M58" s="944"/>
      <c r="N58" s="944"/>
      <c r="O58" s="944"/>
    </row>
    <row r="59" spans="1:15" s="692" customFormat="1">
      <c r="A59" s="693" t="s">
        <v>2762</v>
      </c>
      <c r="B59" s="262" t="e">
        <f t="shared" si="17"/>
        <v>#DIV/0!</v>
      </c>
      <c r="C59" s="200">
        <f t="shared" si="16"/>
        <v>0</v>
      </c>
      <c r="D59" s="1167">
        <v>0.25</v>
      </c>
      <c r="E59" s="694"/>
      <c r="F59" s="1106" t="e">
        <f t="shared" si="15"/>
        <v>#DIV/0!</v>
      </c>
      <c r="G59" s="3274"/>
      <c r="H59" s="1107">
        <f>项目基本情况!B37</f>
        <v>0</v>
      </c>
      <c r="I59" s="1111">
        <f>SUMIF(修正!A45:A56,H59,修正!D45:D56)</f>
        <v>0</v>
      </c>
      <c r="J59" s="1115"/>
      <c r="K59" s="1147"/>
      <c r="L59" s="944"/>
      <c r="M59" s="944"/>
      <c r="N59" s="944"/>
      <c r="O59" s="944"/>
    </row>
    <row r="60" spans="1:15" s="692" customFormat="1">
      <c r="A60" s="693" t="s">
        <v>2763</v>
      </c>
      <c r="B60" s="262" t="e">
        <f t="shared" si="17"/>
        <v>#DIV/0!</v>
      </c>
      <c r="C60" s="200">
        <f t="shared" si="16"/>
        <v>0</v>
      </c>
      <c r="D60" s="1167">
        <v>0.25</v>
      </c>
      <c r="E60" s="694"/>
      <c r="F60" s="1106" t="e">
        <f t="shared" si="15"/>
        <v>#DIV/0!</v>
      </c>
      <c r="G60" s="3274"/>
      <c r="H60" s="1107">
        <f>项目基本情况!B37</f>
        <v>0</v>
      </c>
      <c r="I60" s="1111">
        <f>SUMIF(修正!A45:A56,H60,修正!E45:E56)</f>
        <v>0</v>
      </c>
      <c r="J60" s="1115"/>
      <c r="K60" s="1148"/>
      <c r="L60" s="944"/>
      <c r="M60" s="944"/>
      <c r="N60" s="944"/>
      <c r="O60" s="944"/>
    </row>
    <row r="61" spans="1:15" s="692" customFormat="1">
      <c r="A61" s="693" t="s">
        <v>2764</v>
      </c>
      <c r="B61" s="262" t="e">
        <f t="shared" si="17"/>
        <v>#DIV/0!</v>
      </c>
      <c r="C61" s="200">
        <f t="shared" si="16"/>
        <v>0</v>
      </c>
      <c r="D61" s="1167">
        <v>0.25</v>
      </c>
      <c r="E61" s="261">
        <f>'数据-汇总表'!E11</f>
        <v>0</v>
      </c>
      <c r="F61" s="1106" t="e">
        <f t="shared" si="15"/>
        <v>#DIV/0!</v>
      </c>
      <c r="G61" s="2712" t="s">
        <v>2765</v>
      </c>
      <c r="H61" s="1107">
        <f>项目基本情况!C37</f>
        <v>0</v>
      </c>
      <c r="I61" s="1111">
        <f>SUMIF(修正!A45:A56,H61,修正!F45:F56)</f>
        <v>0</v>
      </c>
      <c r="J61" s="1115"/>
      <c r="K61" s="1147"/>
      <c r="L61" s="944"/>
      <c r="M61" s="944"/>
      <c r="N61" s="944"/>
      <c r="O61" s="944"/>
    </row>
    <row r="62" spans="1:15" s="692" customFormat="1">
      <c r="A62" s="693" t="s">
        <v>2766</v>
      </c>
      <c r="B62" s="262" t="e">
        <f t="shared" si="17"/>
        <v>#DIV/0!</v>
      </c>
      <c r="C62" s="200">
        <f t="shared" si="16"/>
        <v>0</v>
      </c>
      <c r="D62" s="1167">
        <v>0.25</v>
      </c>
      <c r="E62" s="261">
        <f>'数据-汇总表'!E12</f>
        <v>0</v>
      </c>
      <c r="F62" s="1106" t="e">
        <f t="shared" si="15"/>
        <v>#DIV/0!</v>
      </c>
      <c r="G62" s="1112" t="s">
        <v>2767</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2768</v>
      </c>
      <c r="B63" s="262" t="e">
        <f t="shared" si="17"/>
        <v>#DIV/0!</v>
      </c>
      <c r="C63" s="200">
        <f t="shared" si="16"/>
        <v>0</v>
      </c>
      <c r="D63" s="1167">
        <v>0.25</v>
      </c>
      <c r="E63" s="261">
        <f>'数据-汇总表'!E13</f>
        <v>0</v>
      </c>
      <c r="F63" s="1106" t="e">
        <f t="shared" si="15"/>
        <v>#DIV/0!</v>
      </c>
      <c r="G63" s="1112" t="s">
        <v>2769</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2770</v>
      </c>
      <c r="B64" s="262" t="e">
        <f t="shared" si="17"/>
        <v>#DIV/0!</v>
      </c>
      <c r="C64" s="200">
        <f t="shared" si="16"/>
        <v>0</v>
      </c>
      <c r="D64" s="1167">
        <v>0.25</v>
      </c>
      <c r="E64" s="261">
        <f>'数据-汇总表'!E14</f>
        <v>0</v>
      </c>
      <c r="F64" s="1106" t="e">
        <f t="shared" si="15"/>
        <v>#DIV/0!</v>
      </c>
      <c r="G64" s="2712" t="s">
        <v>2760</v>
      </c>
      <c r="H64" s="1107">
        <f>项目基本情况!B37</f>
        <v>0</v>
      </c>
      <c r="I64" s="1111">
        <f>SUMIF(修正!A45:A56,H64,修正!H45:H56)</f>
        <v>0</v>
      </c>
      <c r="J64" s="1115"/>
      <c r="K64" s="1148"/>
      <c r="L64" s="944"/>
      <c r="M64" s="944"/>
      <c r="N64" s="944"/>
      <c r="O64" s="944"/>
    </row>
    <row r="65" spans="1:17" s="692" customFormat="1" ht="15" thickBot="1">
      <c r="A65" s="693" t="s">
        <v>2771</v>
      </c>
      <c r="B65" s="262" t="e">
        <f t="shared" si="17"/>
        <v>#DIV/0!</v>
      </c>
      <c r="C65" s="200">
        <f t="shared" si="16"/>
        <v>0</v>
      </c>
      <c r="D65" s="1167">
        <v>0.25</v>
      </c>
      <c r="E65" s="261">
        <f>'数据-汇总表'!E15</f>
        <v>0</v>
      </c>
      <c r="F65" s="1106" t="e">
        <f t="shared" si="15"/>
        <v>#DIV/0!</v>
      </c>
      <c r="G65" s="2713" t="s">
        <v>2765</v>
      </c>
      <c r="H65" s="1117">
        <f>项目基本情况!C37</f>
        <v>0</v>
      </c>
      <c r="I65" s="1113">
        <f>SUMIF(修正!A45:A56,H65,修正!H45:H56)</f>
        <v>0</v>
      </c>
      <c r="J65" s="1116"/>
      <c r="K65" s="1147"/>
      <c r="L65" s="944"/>
      <c r="M65" s="944"/>
      <c r="N65" s="944"/>
      <c r="O65" s="944"/>
    </row>
    <row r="66" spans="1:17" s="692" customFormat="1" ht="13.5" thickBot="1">
      <c r="A66" s="695" t="s">
        <v>2772</v>
      </c>
      <c r="B66" s="696" t="s">
        <v>28</v>
      </c>
      <c r="C66" s="696" t="s">
        <v>29</v>
      </c>
      <c r="D66" s="696" t="s">
        <v>1026</v>
      </c>
      <c r="E66" s="696">
        <f>IF(B46="楼面地价",SUM(E56:E65),'数据-汇总表'!D3)</f>
        <v>111369.40000000001</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2019-3-1</v>
      </c>
      <c r="D68" s="761">
        <f>EDATE(C68,-3)</f>
        <v>43435</v>
      </c>
      <c r="E68" s="761">
        <f>EDATE(D68,-3)</f>
        <v>43344</v>
      </c>
      <c r="F68" s="761">
        <f t="shared" ref="F68:O68" si="18">EDATE(E68,-3)</f>
        <v>43252</v>
      </c>
      <c r="G68" s="761">
        <f t="shared" si="18"/>
        <v>43160</v>
      </c>
      <c r="H68" s="761">
        <f t="shared" si="18"/>
        <v>43070</v>
      </c>
      <c r="I68" s="761">
        <f t="shared" si="18"/>
        <v>42979</v>
      </c>
      <c r="J68" s="761">
        <f t="shared" si="18"/>
        <v>42887</v>
      </c>
      <c r="K68" s="761">
        <f t="shared" si="18"/>
        <v>42795</v>
      </c>
      <c r="L68" s="761">
        <f t="shared" si="18"/>
        <v>42705</v>
      </c>
      <c r="M68" s="761">
        <f t="shared" si="18"/>
        <v>42614</v>
      </c>
      <c r="N68" s="761">
        <f t="shared" si="18"/>
        <v>42522</v>
      </c>
      <c r="O68" s="761">
        <f t="shared" si="18"/>
        <v>42430</v>
      </c>
    </row>
    <row r="69" spans="1:17" ht="21.75" thickBot="1">
      <c r="A69" s="763" t="s">
        <v>2665</v>
      </c>
      <c r="B69" s="759"/>
      <c r="C69" s="764"/>
      <c r="D69" s="764"/>
      <c r="E69" s="764"/>
      <c r="F69" s="765"/>
      <c r="G69" s="765"/>
      <c r="H69" s="764"/>
      <c r="I69" s="764"/>
      <c r="J69" s="1162"/>
      <c r="K69" s="1163"/>
      <c r="L69" s="1164"/>
      <c r="M69" s="1162"/>
      <c r="N69" s="1162"/>
      <c r="O69" s="1162"/>
      <c r="P69" s="503"/>
      <c r="Q69" s="504"/>
    </row>
    <row r="70" spans="1:17" s="508" customFormat="1" ht="15">
      <c r="A70" s="2714" t="s">
        <v>2773</v>
      </c>
      <c r="B70" s="1362"/>
      <c r="C70" s="1575" t="str">
        <f>YEAR(C68)&amp;"-"&amp;ROUNDUP(MONTH(C68)/3,0)</f>
        <v>2019-1</v>
      </c>
      <c r="D70" s="1575" t="str">
        <f>YEAR(D68)&amp;"-"&amp;ROUNDUP(MONTH(D68)/3,0)</f>
        <v>2018-4</v>
      </c>
      <c r="E70" s="1575" t="str">
        <f t="shared" ref="E70:O70" si="19">YEAR(E68)&amp;"-"&amp;ROUNDUP(MONTH(E68)/3,0)</f>
        <v>2018-3</v>
      </c>
      <c r="F70" s="1575" t="str">
        <f t="shared" si="19"/>
        <v>2018-2</v>
      </c>
      <c r="G70" s="1575" t="str">
        <f t="shared" si="19"/>
        <v>2018-1</v>
      </c>
      <c r="H70" s="1575" t="str">
        <f t="shared" si="19"/>
        <v>2017-4</v>
      </c>
      <c r="I70" s="1575" t="str">
        <f t="shared" si="19"/>
        <v>2017-3</v>
      </c>
      <c r="J70" s="1575" t="str">
        <f t="shared" si="19"/>
        <v>2017-2</v>
      </c>
      <c r="K70" s="1575" t="str">
        <f t="shared" si="19"/>
        <v>2017-1</v>
      </c>
      <c r="L70" s="1575" t="str">
        <f t="shared" si="19"/>
        <v>2016-4</v>
      </c>
      <c r="M70" s="1575" t="str">
        <f t="shared" si="19"/>
        <v>2016-3</v>
      </c>
      <c r="N70" s="1575" t="str">
        <f t="shared" si="19"/>
        <v>2016-2</v>
      </c>
      <c r="O70" s="1575" t="str">
        <f t="shared" si="19"/>
        <v>2016-1</v>
      </c>
      <c r="P70" s="507"/>
    </row>
    <row r="71" spans="1:17" s="117" customFormat="1" ht="30" customHeight="1">
      <c r="A71" s="2715" t="s">
        <v>2774</v>
      </c>
      <c r="B71" s="332" t="str">
        <f>"北京市平均增长率"&amp;TEXT(SUMIF(基准地价修正!N21:N25,A71,基准地价修正!P21:P25),"0.00%")</f>
        <v>北京市平均增长率2.29%</v>
      </c>
      <c r="C71" s="603">
        <v>100</v>
      </c>
      <c r="D71" s="595"/>
      <c r="E71" s="595"/>
      <c r="F71" s="595"/>
      <c r="G71" s="595"/>
      <c r="H71" s="595"/>
      <c r="I71" s="595"/>
      <c r="J71" s="595"/>
      <c r="K71" s="595"/>
      <c r="L71" s="595"/>
      <c r="M71" s="1570"/>
      <c r="N71" s="595"/>
      <c r="O71" s="1571"/>
      <c r="P71" s="504"/>
    </row>
    <row r="72" spans="1:17" s="117" customFormat="1" ht="15.75" thickBot="1">
      <c r="A72" s="515" t="s">
        <v>2576</v>
      </c>
      <c r="B72" s="516"/>
      <c r="C72" s="517"/>
      <c r="D72" s="518"/>
      <c r="E72" s="518"/>
      <c r="F72" s="518"/>
      <c r="G72" s="518"/>
      <c r="H72" s="518"/>
      <c r="I72" s="518"/>
      <c r="J72" s="518"/>
      <c r="K72" s="518"/>
      <c r="L72" s="518"/>
      <c r="M72" s="519"/>
      <c r="N72" s="518"/>
      <c r="O72" s="1165"/>
      <c r="P72" s="504"/>
      <c r="Q72" s="504"/>
    </row>
    <row r="73" spans="1:17" s="117" customFormat="1" ht="15">
      <c r="A73" s="521" t="s">
        <v>2541</v>
      </c>
      <c r="B73" s="510"/>
      <c r="C73" s="522" t="s">
        <v>2643</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2579</v>
      </c>
      <c r="B75" s="528" t="s">
        <v>2545</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2548</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2549</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2550</v>
      </c>
      <c r="B88" s="528" t="s">
        <v>2587</v>
      </c>
      <c r="C88" s="573" t="s">
        <v>2588</v>
      </c>
      <c r="D88" s="573" t="s">
        <v>2589</v>
      </c>
      <c r="E88" s="573" t="s">
        <v>2590</v>
      </c>
      <c r="F88" s="573" t="s">
        <v>2591</v>
      </c>
      <c r="G88" s="573" t="s">
        <v>2592</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2775</v>
      </c>
      <c r="C90" s="578" t="s">
        <v>2588</v>
      </c>
      <c r="D90" s="578" t="s">
        <v>2589</v>
      </c>
      <c r="E90" s="578" t="s">
        <v>2590</v>
      </c>
      <c r="F90" s="578" t="s">
        <v>2591</v>
      </c>
      <c r="G90" s="578" t="s">
        <v>2592</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2688</v>
      </c>
      <c r="C92" s="578" t="s">
        <v>2588</v>
      </c>
      <c r="D92" s="578" t="s">
        <v>2589</v>
      </c>
      <c r="E92" s="578" t="s">
        <v>2590</v>
      </c>
      <c r="F92" s="578" t="s">
        <v>2591</v>
      </c>
      <c r="G92" s="578" t="s">
        <v>2592</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2593</v>
      </c>
      <c r="C94" s="578" t="s">
        <v>2588</v>
      </c>
      <c r="D94" s="578" t="s">
        <v>2589</v>
      </c>
      <c r="E94" s="578" t="s">
        <v>2590</v>
      </c>
      <c r="F94" s="578" t="s">
        <v>2591</v>
      </c>
      <c r="G94" s="578" t="s">
        <v>2592</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2776</v>
      </c>
      <c r="C96" s="578" t="s">
        <v>2588</v>
      </c>
      <c r="D96" s="578" t="s">
        <v>2589</v>
      </c>
      <c r="E96" s="578" t="s">
        <v>2590</v>
      </c>
      <c r="F96" s="578" t="s">
        <v>2591</v>
      </c>
      <c r="G96" s="578" t="s">
        <v>2592</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2777</v>
      </c>
      <c r="C98" s="573" t="s">
        <v>2588</v>
      </c>
      <c r="D98" s="573" t="s">
        <v>2589</v>
      </c>
      <c r="E98" s="573" t="s">
        <v>2590</v>
      </c>
      <c r="F98" s="573" t="s">
        <v>2591</v>
      </c>
      <c r="G98" s="573" t="s">
        <v>2592</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2645</v>
      </c>
      <c r="C100" s="573" t="s">
        <v>2588</v>
      </c>
      <c r="D100" s="573" t="s">
        <v>2589</v>
      </c>
      <c r="E100" s="573" t="s">
        <v>2590</v>
      </c>
      <c r="F100" s="573" t="s">
        <v>2591</v>
      </c>
      <c r="G100" s="573" t="s">
        <v>2592</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2646</v>
      </c>
      <c r="C102" s="660" t="s">
        <v>2666</v>
      </c>
      <c r="D102" s="660" t="s">
        <v>2667</v>
      </c>
      <c r="E102" s="660" t="s">
        <v>2668</v>
      </c>
      <c r="F102" s="660" t="s">
        <v>2669</v>
      </c>
      <c r="G102" s="660" t="s">
        <v>2670</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2778</v>
      </c>
      <c r="D104" s="539" t="s">
        <v>2779</v>
      </c>
      <c r="E104" s="539" t="s">
        <v>2780</v>
      </c>
      <c r="F104" s="539" t="s">
        <v>2781</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2682</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2741</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2554</v>
      </c>
      <c r="B116" s="528" t="s">
        <v>2782</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2783</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2784</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2785</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2786</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C45" sqref="C45"/>
    </sheetView>
  </sheetViews>
  <sheetFormatPr defaultColWidth="9" defaultRowHeight="14.25"/>
  <cols>
    <col min="1" max="1" width="14.375" style="403" customWidth="1"/>
    <col min="2" max="2" width="15.75" style="403" customWidth="1"/>
    <col min="3" max="3" width="14.375" style="403" customWidth="1"/>
    <col min="4" max="4" width="12.875" style="403" customWidth="1"/>
    <col min="5" max="5" width="16.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2735</v>
      </c>
      <c r="B1" s="395"/>
      <c r="C1" s="396" t="s">
        <v>2787</v>
      </c>
      <c r="D1" s="755"/>
      <c r="E1" s="755"/>
      <c r="F1" s="754" t="s">
        <v>2634</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2318</v>
      </c>
      <c r="B2" s="671">
        <f>F61</f>
        <v>22377</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2320</v>
      </c>
      <c r="B3" s="609">
        <f>ROUND(IF(D3="",B2*10000/'数据-汇总表'!E3,B2*10000/D3),0)</f>
        <v>1664</v>
      </c>
      <c r="C3" s="247" t="s">
        <v>2737</v>
      </c>
      <c r="D3" s="1586">
        <f>'数据-基础表'!B3</f>
        <v>134490.28</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2636</v>
      </c>
      <c r="B4" s="402"/>
      <c r="C4" s="3227" t="s">
        <v>2637</v>
      </c>
      <c r="D4" s="3228"/>
      <c r="E4" s="3229" t="s">
        <v>2638</v>
      </c>
      <c r="F4" s="3230"/>
      <c r="G4" s="3227" t="s">
        <v>2639</v>
      </c>
      <c r="H4" s="3228"/>
      <c r="I4" s="3227" t="s">
        <v>2640</v>
      </c>
      <c r="J4" s="3228"/>
      <c r="K4" s="610" t="s">
        <v>2641</v>
      </c>
      <c r="L4" s="1133"/>
      <c r="M4" s="1134"/>
      <c r="N4" s="1134"/>
      <c r="O4" s="1134"/>
      <c r="P4" s="3231" t="s">
        <v>2642</v>
      </c>
      <c r="Q4" s="3232"/>
      <c r="R4" s="3237" t="s">
        <v>2638</v>
      </c>
      <c r="S4" s="3238"/>
      <c r="T4" s="3237" t="s">
        <v>2639</v>
      </c>
      <c r="U4" s="3238"/>
      <c r="V4" s="3243" t="s">
        <v>2640</v>
      </c>
      <c r="W4" s="3243"/>
      <c r="X4" s="1816"/>
      <c r="Y4" s="3237" t="s">
        <v>2642</v>
      </c>
      <c r="Z4" s="3238"/>
      <c r="AA4" s="3224" t="s">
        <v>2638</v>
      </c>
      <c r="AB4" s="3225" t="s">
        <v>2639</v>
      </c>
      <c r="AC4" s="3224" t="s">
        <v>2640</v>
      </c>
    </row>
    <row r="5" spans="1:29" ht="15" customHeight="1">
      <c r="A5" s="404"/>
      <c r="B5" s="405"/>
      <c r="C5" s="3275" t="s">
        <v>3344</v>
      </c>
      <c r="D5" s="3247"/>
      <c r="E5" s="3282" t="s">
        <v>3355</v>
      </c>
      <c r="F5" s="3254"/>
      <c r="G5" s="3275" t="s">
        <v>3357</v>
      </c>
      <c r="H5" s="3247"/>
      <c r="I5" s="3278" t="s">
        <v>3358</v>
      </c>
      <c r="J5" s="3279"/>
      <c r="K5" s="610"/>
      <c r="L5" s="1133"/>
      <c r="M5" s="1134"/>
      <c r="N5" s="1134"/>
      <c r="O5" s="1134"/>
      <c r="P5" s="3233"/>
      <c r="Q5" s="3234"/>
      <c r="R5" s="3239"/>
      <c r="S5" s="3240"/>
      <c r="T5" s="3239"/>
      <c r="U5" s="3240"/>
      <c r="V5" s="3243"/>
      <c r="W5" s="3243"/>
      <c r="X5" s="1816"/>
      <c r="Y5" s="3239"/>
      <c r="Z5" s="3240"/>
      <c r="AA5" s="3225"/>
      <c r="AB5" s="3225"/>
      <c r="AC5" s="3225"/>
    </row>
    <row r="6" spans="1:29" ht="15.75" customHeight="1" thickBot="1">
      <c r="A6" s="406"/>
      <c r="B6" s="407"/>
      <c r="C6" s="3276" t="s">
        <v>3345</v>
      </c>
      <c r="D6" s="3277"/>
      <c r="E6" s="3280" t="s">
        <v>3356</v>
      </c>
      <c r="F6" s="3281"/>
      <c r="G6" s="3280" t="s">
        <v>3337</v>
      </c>
      <c r="H6" s="3281"/>
      <c r="I6" s="3280" t="s">
        <v>3337</v>
      </c>
      <c r="J6" s="3281"/>
      <c r="K6" s="610" t="s">
        <v>2538</v>
      </c>
      <c r="L6" s="1133"/>
      <c r="M6" s="1134"/>
      <c r="N6" s="1134"/>
      <c r="O6" s="1134"/>
      <c r="P6" s="3235"/>
      <c r="Q6" s="3236"/>
      <c r="R6" s="3239"/>
      <c r="S6" s="3240"/>
      <c r="T6" s="3241"/>
      <c r="U6" s="3242"/>
      <c r="V6" s="3243"/>
      <c r="W6" s="3243"/>
      <c r="X6" s="1816"/>
      <c r="Y6" s="3241"/>
      <c r="Z6" s="3242"/>
      <c r="AA6" s="3226"/>
      <c r="AB6" s="3226"/>
      <c r="AC6" s="3226"/>
    </row>
    <row r="7" spans="1:29" s="117" customFormat="1" ht="15.75" thickBot="1">
      <c r="A7" s="408" t="s">
        <v>2539</v>
      </c>
      <c r="B7" s="409"/>
      <c r="C7" s="410">
        <f>'数据-取费表'!B2</f>
        <v>43528</v>
      </c>
      <c r="D7" s="411">
        <v>100</v>
      </c>
      <c r="E7" s="412">
        <v>42964</v>
      </c>
      <c r="F7" s="413">
        <f>SUMIF(65:65,YEAR(E7)&amp;"-"&amp;INT((MONTH(E7)+2)/3),66:66)</f>
        <v>94</v>
      </c>
      <c r="G7" s="412">
        <v>42538</v>
      </c>
      <c r="H7" s="411">
        <f>SUMIF(65:65,YEAR(G7)&amp;"-"&amp;INT((MONTH(G7)+2)/3),66:66)</f>
        <v>89</v>
      </c>
      <c r="I7" s="412">
        <v>42535</v>
      </c>
      <c r="J7" s="411">
        <f>SUMIF(65:65,YEAR(I7)&amp;"-"&amp;INT((MONTH(I7)+2)/3),66:66)</f>
        <v>89</v>
      </c>
      <c r="K7" s="611"/>
      <c r="L7" s="1135"/>
      <c r="M7" s="1136"/>
      <c r="N7" s="1136"/>
      <c r="O7" s="1136"/>
      <c r="P7" s="3248" t="s">
        <v>2540</v>
      </c>
      <c r="Q7" s="3250"/>
      <c r="R7" s="770" t="s">
        <v>17</v>
      </c>
      <c r="S7" s="771">
        <f t="shared" ref="S7:S15" si="0">F7</f>
        <v>94</v>
      </c>
      <c r="T7" s="770" t="s">
        <v>17</v>
      </c>
      <c r="U7" s="771">
        <f t="shared" ref="U7:U15" si="1">H7</f>
        <v>89</v>
      </c>
      <c r="V7" s="770" t="s">
        <v>17</v>
      </c>
      <c r="W7" s="771">
        <f t="shared" ref="W7:W15" si="2">J7</f>
        <v>89</v>
      </c>
      <c r="X7" s="772"/>
      <c r="Y7" s="3248" t="s">
        <v>2540</v>
      </c>
      <c r="Z7" s="3249"/>
      <c r="AA7" s="773">
        <f>D7/F7</f>
        <v>1.0638297872340425</v>
      </c>
      <c r="AB7" s="773">
        <f>D7/H7</f>
        <v>1.1235955056179776</v>
      </c>
      <c r="AC7" s="773">
        <f>D7/J7</f>
        <v>1.1235955056179776</v>
      </c>
    </row>
    <row r="8" spans="1:29" s="117" customFormat="1" ht="15.75" thickBot="1">
      <c r="A8" s="408" t="s">
        <v>2541</v>
      </c>
      <c r="B8" s="409"/>
      <c r="C8" s="414" t="s">
        <v>2542</v>
      </c>
      <c r="D8" s="411">
        <v>100</v>
      </c>
      <c r="E8" s="414" t="s">
        <v>3062</v>
      </c>
      <c r="F8" s="413">
        <f>SUMIF(68:68,E8,69:69)-SUMIF(68:68,C8,69:69)+100</f>
        <v>100</v>
      </c>
      <c r="G8" s="414" t="s">
        <v>3062</v>
      </c>
      <c r="H8" s="411">
        <f>SUMIF(68:68,G8,69:69)-SUMIF(68:68,C8,69:69)+100</f>
        <v>100</v>
      </c>
      <c r="I8" s="414" t="s">
        <v>3062</v>
      </c>
      <c r="J8" s="411">
        <f>SUMIF(68:68,I8,69:69)-SUMIF(68:68,C8,69:69)+100</f>
        <v>100</v>
      </c>
      <c r="K8" s="611"/>
      <c r="L8" s="1135"/>
      <c r="M8" s="1136"/>
      <c r="N8" s="1136"/>
      <c r="O8" s="1136"/>
      <c r="P8" s="3248" t="s">
        <v>2543</v>
      </c>
      <c r="Q8" s="3249"/>
      <c r="R8" s="770" t="s">
        <v>17</v>
      </c>
      <c r="S8" s="771">
        <f t="shared" si="0"/>
        <v>100</v>
      </c>
      <c r="T8" s="770" t="s">
        <v>17</v>
      </c>
      <c r="U8" s="771">
        <f t="shared" si="1"/>
        <v>100</v>
      </c>
      <c r="V8" s="770" t="s">
        <v>17</v>
      </c>
      <c r="W8" s="771">
        <f t="shared" si="2"/>
        <v>100</v>
      </c>
      <c r="X8" s="772"/>
      <c r="Y8" s="3248" t="s">
        <v>2543</v>
      </c>
      <c r="Z8" s="3249"/>
      <c r="AA8" s="773">
        <f t="shared" ref="AA8:AA40" si="3">D8/F8</f>
        <v>1</v>
      </c>
      <c r="AB8" s="773">
        <f t="shared" ref="AB8:AB40" si="4">D8/H8</f>
        <v>1</v>
      </c>
      <c r="AC8" s="773">
        <f t="shared" ref="AC8:AC40" si="5">D8/J8</f>
        <v>1</v>
      </c>
    </row>
    <row r="9" spans="1:29" s="117" customFormat="1">
      <c r="A9" s="415" t="s">
        <v>2544</v>
      </c>
      <c r="B9" s="71" t="s">
        <v>2545</v>
      </c>
      <c r="C9" s="2702" t="s">
        <v>6</v>
      </c>
      <c r="D9" s="135">
        <v>100</v>
      </c>
      <c r="E9" s="2702" t="s">
        <v>6</v>
      </c>
      <c r="F9" s="135">
        <f>SUMIF(70:70,E9,71:71)-SUMIF(70:70,C9,71:71)+100</f>
        <v>100</v>
      </c>
      <c r="G9" s="2702" t="s">
        <v>6</v>
      </c>
      <c r="H9" s="135">
        <f>SUMIF(70:70,G9,71:71)-SUMIF(70:70,C9,71:71)+100</f>
        <v>100</v>
      </c>
      <c r="I9" s="2702" t="s">
        <v>6</v>
      </c>
      <c r="J9" s="135">
        <f>SUMIF(70:70,I9,71:71)-SUMIF(70:70,C9,71:71)+100</f>
        <v>100</v>
      </c>
      <c r="K9" s="611"/>
      <c r="L9" s="1135"/>
      <c r="M9" s="1136"/>
      <c r="N9" s="1136"/>
      <c r="O9" s="1137"/>
      <c r="P9" s="3212" t="s">
        <v>2546</v>
      </c>
      <c r="Q9" s="1798" t="str">
        <f t="shared" ref="Q9:Q15" si="6">B9</f>
        <v>用途</v>
      </c>
      <c r="R9" s="770" t="s">
        <v>17</v>
      </c>
      <c r="S9" s="771">
        <f t="shared" si="0"/>
        <v>100</v>
      </c>
      <c r="T9" s="770" t="s">
        <v>17</v>
      </c>
      <c r="U9" s="771">
        <f t="shared" si="1"/>
        <v>100</v>
      </c>
      <c r="V9" s="770" t="s">
        <v>17</v>
      </c>
      <c r="W9" s="771">
        <f t="shared" si="2"/>
        <v>100</v>
      </c>
      <c r="X9" s="772"/>
      <c r="Y9" s="3037" t="s">
        <v>2547</v>
      </c>
      <c r="Z9" s="55" t="str">
        <f t="shared" ref="Z9:Z15" si="7">Q9</f>
        <v>用途</v>
      </c>
      <c r="AA9" s="773">
        <f t="shared" si="3"/>
        <v>1</v>
      </c>
      <c r="AB9" s="773">
        <f t="shared" si="4"/>
        <v>1</v>
      </c>
      <c r="AC9" s="773">
        <f t="shared" si="5"/>
        <v>1</v>
      </c>
    </row>
    <row r="10" spans="1:29" s="427" customFormat="1" ht="27">
      <c r="A10" s="421"/>
      <c r="B10" s="422" t="s">
        <v>2548</v>
      </c>
      <c r="C10" s="432"/>
      <c r="D10" s="136">
        <v>100</v>
      </c>
      <c r="E10" s="432"/>
      <c r="F10" s="136">
        <f>ROUND(100/'数据-取费表'!G16,0)</f>
        <v>120</v>
      </c>
      <c r="G10" s="432"/>
      <c r="H10" s="136">
        <f>ROUND(100/'数据-取费表'!G16,0)</f>
        <v>120</v>
      </c>
      <c r="I10" s="432"/>
      <c r="J10" s="136">
        <f>ROUND(100/'数据-取费表'!G16,0)</f>
        <v>120</v>
      </c>
      <c r="K10" s="672"/>
      <c r="L10" s="1138"/>
      <c r="M10" s="1139"/>
      <c r="N10" s="1139"/>
      <c r="O10" s="1140"/>
      <c r="P10" s="3212"/>
      <c r="Q10" s="1798" t="str">
        <f t="shared" si="6"/>
        <v>土地使用年限（年）</v>
      </c>
      <c r="R10" s="770" t="s">
        <v>17</v>
      </c>
      <c r="S10" s="771">
        <f t="shared" si="0"/>
        <v>120</v>
      </c>
      <c r="T10" s="770" t="s">
        <v>17</v>
      </c>
      <c r="U10" s="771">
        <f t="shared" si="1"/>
        <v>120</v>
      </c>
      <c r="V10" s="770" t="s">
        <v>17</v>
      </c>
      <c r="W10" s="771">
        <f t="shared" si="2"/>
        <v>120</v>
      </c>
      <c r="X10" s="772"/>
      <c r="Y10" s="3037"/>
      <c r="Z10" s="55" t="str">
        <f t="shared" si="7"/>
        <v>土地使用年限（年）</v>
      </c>
      <c r="AA10" s="773">
        <f t="shared" si="3"/>
        <v>0.83333333333333337</v>
      </c>
      <c r="AB10" s="773">
        <f t="shared" si="4"/>
        <v>0.83333333333333337</v>
      </c>
      <c r="AC10" s="773">
        <f t="shared" si="5"/>
        <v>0.83333333333333337</v>
      </c>
    </row>
    <row r="11" spans="1:29" ht="15">
      <c r="A11" s="428"/>
      <c r="B11" s="422" t="s">
        <v>2549</v>
      </c>
      <c r="C11" s="429">
        <f>'数据-汇总表'!I6</f>
        <v>1.04</v>
      </c>
      <c r="D11" s="136">
        <v>100</v>
      </c>
      <c r="E11" s="429">
        <v>1.5</v>
      </c>
      <c r="F11" s="136">
        <f>LOOKUP(E11,75:75,76:76)-LOOKUP(C11,75:75,76:76)+100</f>
        <v>100</v>
      </c>
      <c r="G11" s="430">
        <v>1.5</v>
      </c>
      <c r="H11" s="136">
        <f>LOOKUP(G11,75:75,76:76)-LOOKUP(C11,75:75,76:76)+100</f>
        <v>100</v>
      </c>
      <c r="I11" s="429">
        <v>1.5</v>
      </c>
      <c r="J11" s="136">
        <f>LOOKUP(I11,75:75,76:76)-LOOKUP(C11,75:75,76:76)+100</f>
        <v>100</v>
      </c>
      <c r="K11" s="673">
        <v>1</v>
      </c>
      <c r="L11" s="1141"/>
      <c r="M11" s="1134"/>
      <c r="N11" s="1134"/>
      <c r="O11" s="1142"/>
      <c r="P11" s="3212"/>
      <c r="Q11" s="1798" t="str">
        <f t="shared" si="6"/>
        <v>容积率</v>
      </c>
      <c r="R11" s="770" t="s">
        <v>17</v>
      </c>
      <c r="S11" s="771">
        <f t="shared" si="0"/>
        <v>100</v>
      </c>
      <c r="T11" s="770" t="s">
        <v>17</v>
      </c>
      <c r="U11" s="771">
        <f t="shared" si="1"/>
        <v>100</v>
      </c>
      <c r="V11" s="770" t="s">
        <v>17</v>
      </c>
      <c r="W11" s="771">
        <f t="shared" si="2"/>
        <v>100</v>
      </c>
      <c r="X11" s="772"/>
      <c r="Y11" s="3037"/>
      <c r="Z11" s="55" t="str">
        <f t="shared" si="7"/>
        <v>容积率</v>
      </c>
      <c r="AA11" s="773">
        <f t="shared" si="3"/>
        <v>1</v>
      </c>
      <c r="AB11" s="773">
        <f t="shared" si="4"/>
        <v>1</v>
      </c>
      <c r="AC11" s="773">
        <f t="shared" si="5"/>
        <v>1</v>
      </c>
    </row>
    <row r="12" spans="1:29" s="117" customFormat="1" ht="15">
      <c r="A12" s="431"/>
      <c r="B12" s="2603">
        <v>111</v>
      </c>
      <c r="C12" s="432"/>
      <c r="D12" s="433">
        <v>100</v>
      </c>
      <c r="E12" s="549"/>
      <c r="F12" s="136">
        <f>SUMIF(77:77,E12,78:78)-SUMIF(77:77,C12,78:78)+100</f>
        <v>100</v>
      </c>
      <c r="G12" s="674"/>
      <c r="H12" s="136">
        <f>SUMIF(77:77,G12,78:78)-SUMIF(77:77,C12,78:78)+100</f>
        <v>100</v>
      </c>
      <c r="I12" s="549"/>
      <c r="J12" s="136">
        <f>SUMIF(77:77,I12,78:78)-SUMIF(77:77,C12,78:78)+100</f>
        <v>100</v>
      </c>
      <c r="K12" s="672"/>
      <c r="L12" s="1154">
        <f>B2*10000/D3</f>
        <v>1663.8377137738132</v>
      </c>
      <c r="M12" s="1136"/>
      <c r="N12" s="1136"/>
      <c r="O12" s="1137"/>
      <c r="P12" s="3212"/>
      <c r="Q12" s="1798">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773">
        <f>D12/J12</f>
        <v>1</v>
      </c>
    </row>
    <row r="13" spans="1:29" ht="15">
      <c r="A13" s="428"/>
      <c r="B13" s="2603">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212"/>
      <c r="Q13" s="1798">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773">
        <f t="shared" si="5"/>
        <v>1</v>
      </c>
    </row>
    <row r="14" spans="1:29" ht="15.75" thickBot="1">
      <c r="A14" s="436"/>
      <c r="B14" s="2605">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212"/>
      <c r="Q14" s="1798">
        <f t="shared" si="6"/>
        <v>111</v>
      </c>
      <c r="R14" s="770" t="s">
        <v>17</v>
      </c>
      <c r="S14" s="771">
        <f t="shared" si="0"/>
        <v>100</v>
      </c>
      <c r="T14" s="770" t="s">
        <v>17</v>
      </c>
      <c r="U14" s="771">
        <f t="shared" si="1"/>
        <v>100</v>
      </c>
      <c r="V14" s="770" t="s">
        <v>17</v>
      </c>
      <c r="W14" s="771">
        <f t="shared" si="2"/>
        <v>100</v>
      </c>
      <c r="X14" s="772"/>
      <c r="Y14" s="3037"/>
      <c r="Z14" s="55">
        <f t="shared" si="7"/>
        <v>111</v>
      </c>
      <c r="AA14" s="773">
        <f t="shared" si="3"/>
        <v>1</v>
      </c>
      <c r="AB14" s="773">
        <f t="shared" si="4"/>
        <v>1</v>
      </c>
      <c r="AC14" s="773">
        <f t="shared" si="5"/>
        <v>1</v>
      </c>
    </row>
    <row r="15" spans="1:29" ht="57">
      <c r="A15" s="440" t="s">
        <v>2550</v>
      </c>
      <c r="B15" s="629" t="s">
        <v>2788</v>
      </c>
      <c r="C15" s="2696"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v>2</v>
      </c>
      <c r="L15" s="1143"/>
      <c r="M15" s="1134"/>
      <c r="N15" s="1134"/>
      <c r="O15" s="1142"/>
      <c r="P15" s="3214" t="s">
        <v>2551</v>
      </c>
      <c r="Q15" s="1813" t="str">
        <f t="shared" si="6"/>
        <v>产业集聚程度</v>
      </c>
      <c r="R15" s="774" t="s">
        <v>17</v>
      </c>
      <c r="S15" s="775">
        <f t="shared" si="0"/>
        <v>100</v>
      </c>
      <c r="T15" s="774" t="s">
        <v>17</v>
      </c>
      <c r="U15" s="775">
        <f t="shared" si="1"/>
        <v>100</v>
      </c>
      <c r="V15" s="774" t="s">
        <v>17</v>
      </c>
      <c r="W15" s="775">
        <f t="shared" si="2"/>
        <v>100</v>
      </c>
      <c r="X15" s="1816"/>
      <c r="Y15" s="3214" t="s">
        <v>2551</v>
      </c>
      <c r="Z15" s="1817" t="str">
        <f t="shared" si="7"/>
        <v>产业集聚程度</v>
      </c>
      <c r="AA15" s="1814">
        <f t="shared" si="3"/>
        <v>1</v>
      </c>
      <c r="AB15" s="1814">
        <f t="shared" si="4"/>
        <v>1</v>
      </c>
      <c r="AC15" s="1814">
        <f t="shared" si="5"/>
        <v>1</v>
      </c>
    </row>
    <row r="16" spans="1:29" ht="15">
      <c r="A16" s="428"/>
      <c r="B16" s="630"/>
      <c r="C16" s="447" t="s">
        <v>3065</v>
      </c>
      <c r="D16" s="448"/>
      <c r="E16" s="447" t="s">
        <v>3065</v>
      </c>
      <c r="F16" s="448"/>
      <c r="G16" s="447" t="s">
        <v>3065</v>
      </c>
      <c r="H16" s="450"/>
      <c r="I16" s="447" t="s">
        <v>3065</v>
      </c>
      <c r="J16" s="448"/>
      <c r="K16" s="672"/>
      <c r="L16" s="1143"/>
      <c r="M16" s="1134"/>
      <c r="N16" s="1134"/>
      <c r="O16" s="1142"/>
      <c r="P16" s="3215"/>
      <c r="Q16" s="1813"/>
      <c r="R16" s="774"/>
      <c r="S16" s="775"/>
      <c r="T16" s="774"/>
      <c r="U16" s="775"/>
      <c r="V16" s="774"/>
      <c r="W16" s="775"/>
      <c r="X16" s="1816"/>
      <c r="Y16" s="3215"/>
      <c r="Z16" s="1817"/>
      <c r="AA16" s="1814">
        <v>1</v>
      </c>
      <c r="AB16" s="1814">
        <v>1</v>
      </c>
      <c r="AC16" s="1814">
        <v>1</v>
      </c>
    </row>
    <row r="17" spans="1:29" ht="85.5">
      <c r="A17" s="428"/>
      <c r="B17" s="631" t="s">
        <v>2700</v>
      </c>
      <c r="C17" s="2610"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v>2</v>
      </c>
      <c r="L17" s="1143"/>
      <c r="M17" s="1134"/>
      <c r="N17" s="1134"/>
      <c r="O17" s="1142"/>
      <c r="P17" s="3215"/>
      <c r="Q17" s="1813" t="str">
        <f>B17</f>
        <v>交通便捷度</v>
      </c>
      <c r="R17" s="774" t="s">
        <v>17</v>
      </c>
      <c r="S17" s="775">
        <f>F17</f>
        <v>100</v>
      </c>
      <c r="T17" s="774" t="s">
        <v>17</v>
      </c>
      <c r="U17" s="775">
        <f>H17</f>
        <v>100</v>
      </c>
      <c r="V17" s="774" t="s">
        <v>17</v>
      </c>
      <c r="W17" s="775">
        <f>J17</f>
        <v>100</v>
      </c>
      <c r="X17" s="1816"/>
      <c r="Y17" s="3215"/>
      <c r="Z17" s="1817" t="str">
        <f>Q17</f>
        <v>交通便捷度</v>
      </c>
      <c r="AA17" s="1814">
        <f t="shared" si="3"/>
        <v>1</v>
      </c>
      <c r="AB17" s="1814">
        <f t="shared" si="4"/>
        <v>1</v>
      </c>
      <c r="AC17" s="1814">
        <f t="shared" si="5"/>
        <v>1</v>
      </c>
    </row>
    <row r="18" spans="1:29" ht="15">
      <c r="A18" s="428"/>
      <c r="B18" s="632"/>
      <c r="C18" s="447" t="s">
        <v>3066</v>
      </c>
      <c r="D18" s="448"/>
      <c r="E18" s="447" t="s">
        <v>3066</v>
      </c>
      <c r="F18" s="448"/>
      <c r="G18" s="447" t="s">
        <v>3066</v>
      </c>
      <c r="H18" s="448"/>
      <c r="I18" s="447" t="s">
        <v>3066</v>
      </c>
      <c r="J18" s="448"/>
      <c r="K18" s="672"/>
      <c r="L18" s="1143"/>
      <c r="M18" s="1134"/>
      <c r="N18" s="1134"/>
      <c r="O18" s="1142"/>
      <c r="P18" s="3215"/>
      <c r="Q18" s="1813"/>
      <c r="R18" s="774"/>
      <c r="S18" s="775"/>
      <c r="T18" s="774"/>
      <c r="U18" s="775"/>
      <c r="V18" s="774"/>
      <c r="W18" s="775"/>
      <c r="X18" s="1816"/>
      <c r="Y18" s="3215"/>
      <c r="Z18" s="1817"/>
      <c r="AA18" s="1814">
        <v>1</v>
      </c>
      <c r="AB18" s="1814">
        <v>1</v>
      </c>
      <c r="AC18" s="1814">
        <v>1</v>
      </c>
    </row>
    <row r="19" spans="1:29" ht="15">
      <c r="A19" s="428"/>
      <c r="B19" s="631" t="s">
        <v>2739</v>
      </c>
      <c r="C19" s="2610">
        <f>估价对象房地状况!G17</f>
        <v>0</v>
      </c>
      <c r="D19" s="450">
        <v>100</v>
      </c>
      <c r="E19" s="452"/>
      <c r="F19" s="455">
        <f>SUMIF(87:87,E20,88:88)-SUMIF(87:87,C20,88:88)+100</f>
        <v>100</v>
      </c>
      <c r="G19" s="452"/>
      <c r="H19" s="455">
        <f>SUMIF(87:87,G20,88:88)-SUMIF(87:87,C20,88:88)+100</f>
        <v>100</v>
      </c>
      <c r="I19" s="452"/>
      <c r="J19" s="455">
        <f>SUMIF(87:87,I20,88:88)-SUMIF(87:87,C20,88:88)+100</f>
        <v>100</v>
      </c>
      <c r="K19" s="673">
        <v>2</v>
      </c>
      <c r="L19" s="1143"/>
      <c r="M19" s="1134"/>
      <c r="N19" s="1134"/>
      <c r="O19" s="1142"/>
      <c r="P19" s="3215"/>
      <c r="Q19" s="1813" t="str">
        <f t="shared" ref="Q19:Q33" si="8">B19</f>
        <v>区域土地利用方向</v>
      </c>
      <c r="R19" s="774" t="s">
        <v>17</v>
      </c>
      <c r="S19" s="775">
        <f>F19</f>
        <v>100</v>
      </c>
      <c r="T19" s="774" t="s">
        <v>17</v>
      </c>
      <c r="U19" s="775">
        <f>H19</f>
        <v>100</v>
      </c>
      <c r="V19" s="774" t="s">
        <v>17</v>
      </c>
      <c r="W19" s="775">
        <f>J19</f>
        <v>100</v>
      </c>
      <c r="X19" s="1816"/>
      <c r="Y19" s="3215"/>
      <c r="Z19" s="1817" t="str">
        <f>Q19</f>
        <v>区域土地利用方向</v>
      </c>
      <c r="AA19" s="1814">
        <f t="shared" si="3"/>
        <v>1</v>
      </c>
      <c r="AB19" s="1814">
        <f t="shared" si="4"/>
        <v>1</v>
      </c>
      <c r="AC19" s="1814">
        <f t="shared" si="5"/>
        <v>1</v>
      </c>
    </row>
    <row r="20" spans="1:29" ht="15">
      <c r="A20" s="404"/>
      <c r="B20" s="632"/>
      <c r="C20" s="447" t="s">
        <v>3065</v>
      </c>
      <c r="D20" s="448"/>
      <c r="E20" s="447" t="s">
        <v>3065</v>
      </c>
      <c r="F20" s="448"/>
      <c r="G20" s="447" t="s">
        <v>3065</v>
      </c>
      <c r="H20" s="448"/>
      <c r="I20" s="447" t="s">
        <v>3065</v>
      </c>
      <c r="J20" s="448"/>
      <c r="K20" s="812"/>
      <c r="L20" s="1143"/>
      <c r="M20" s="1134"/>
      <c r="N20" s="1134"/>
      <c r="O20" s="1142"/>
      <c r="P20" s="3215"/>
      <c r="Q20" s="1813"/>
      <c r="R20" s="774"/>
      <c r="S20" s="775"/>
      <c r="T20" s="774"/>
      <c r="U20" s="775"/>
      <c r="V20" s="774"/>
      <c r="W20" s="775"/>
      <c r="X20" s="1816"/>
      <c r="Y20" s="3215"/>
      <c r="Z20" s="1817"/>
      <c r="AA20" s="1814"/>
      <c r="AB20" s="1814"/>
      <c r="AC20" s="1814"/>
    </row>
    <row r="21" spans="1:29" ht="71.25">
      <c r="A21" s="404"/>
      <c r="B21" s="631" t="s">
        <v>2789</v>
      </c>
      <c r="C21" s="2610" t="str">
        <f>估价对象房地状况!G18</f>
        <v>该园区内是否有污染型企业，绿化情况，卫生条件，整体环境状况判断</v>
      </c>
      <c r="D21" s="450">
        <v>100</v>
      </c>
      <c r="E21" s="452"/>
      <c r="F21" s="450">
        <f>SUMIF(89:89,E22,90:90)-SUMIF(89:89,C22,90:90)+100</f>
        <v>98</v>
      </c>
      <c r="G21" s="452"/>
      <c r="H21" s="450">
        <f>SUMIF(89:89,G22,90:90)-SUMIF(89:89,C22,90:90)+100</f>
        <v>98</v>
      </c>
      <c r="I21" s="454"/>
      <c r="J21" s="450">
        <f>SUMIF(89:89,I22,90:90)-SUMIF(89:89,C22,90:90)+100</f>
        <v>100</v>
      </c>
      <c r="K21" s="673">
        <v>2</v>
      </c>
      <c r="L21" s="1143"/>
      <c r="M21" s="1134"/>
      <c r="N21" s="1134"/>
      <c r="O21" s="1142"/>
      <c r="P21" s="3215"/>
      <c r="Q21" s="1813" t="str">
        <f t="shared" si="8"/>
        <v>环境状况</v>
      </c>
      <c r="R21" s="774" t="s">
        <v>17</v>
      </c>
      <c r="S21" s="775">
        <f>F21</f>
        <v>98</v>
      </c>
      <c r="T21" s="774" t="s">
        <v>17</v>
      </c>
      <c r="U21" s="775">
        <f>H21</f>
        <v>98</v>
      </c>
      <c r="V21" s="774" t="s">
        <v>17</v>
      </c>
      <c r="W21" s="775">
        <f>J21</f>
        <v>100</v>
      </c>
      <c r="X21" s="1816"/>
      <c r="Y21" s="3215"/>
      <c r="Z21" s="1817" t="str">
        <f>Q21</f>
        <v>环境状况</v>
      </c>
      <c r="AA21" s="1814">
        <f t="shared" si="3"/>
        <v>1.0204081632653061</v>
      </c>
      <c r="AB21" s="1814">
        <f t="shared" si="4"/>
        <v>1.0204081632653061</v>
      </c>
      <c r="AC21" s="1814">
        <f t="shared" si="5"/>
        <v>1</v>
      </c>
    </row>
    <row r="22" spans="1:29" ht="15">
      <c r="A22" s="404"/>
      <c r="B22" s="632"/>
      <c r="C22" s="447" t="s">
        <v>3065</v>
      </c>
      <c r="D22" s="448"/>
      <c r="E22" s="447" t="s">
        <v>3066</v>
      </c>
      <c r="F22" s="448"/>
      <c r="G22" s="447" t="s">
        <v>3066</v>
      </c>
      <c r="H22" s="448"/>
      <c r="I22" s="447" t="s">
        <v>3065</v>
      </c>
      <c r="J22" s="448"/>
      <c r="K22" s="672"/>
      <c r="L22" s="1143"/>
      <c r="M22" s="1134"/>
      <c r="N22" s="1134"/>
      <c r="O22" s="1142"/>
      <c r="P22" s="3215"/>
      <c r="Q22" s="1813"/>
      <c r="R22" s="774"/>
      <c r="S22" s="775"/>
      <c r="T22" s="774"/>
      <c r="U22" s="775"/>
      <c r="V22" s="774"/>
      <c r="W22" s="775"/>
      <c r="X22" s="1816"/>
      <c r="Y22" s="3215"/>
      <c r="Z22" s="1817"/>
      <c r="AA22" s="1814">
        <v>1</v>
      </c>
      <c r="AB22" s="1814">
        <v>1</v>
      </c>
      <c r="AC22" s="1814">
        <v>1</v>
      </c>
    </row>
    <row r="23" spans="1:29" s="117" customFormat="1" ht="42.75">
      <c r="A23" s="649"/>
      <c r="B23" s="633" t="s">
        <v>2645</v>
      </c>
      <c r="C23" s="2981"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v>2</v>
      </c>
      <c r="L23" s="1135"/>
      <c r="M23" s="1136"/>
      <c r="N23" s="1136"/>
      <c r="O23" s="1137"/>
      <c r="P23" s="3215"/>
      <c r="Q23" s="1798" t="str">
        <f t="shared" si="8"/>
        <v>公共配套设施</v>
      </c>
      <c r="R23" s="770" t="s">
        <v>17</v>
      </c>
      <c r="S23" s="771">
        <f>F23</f>
        <v>100</v>
      </c>
      <c r="T23" s="770" t="s">
        <v>17</v>
      </c>
      <c r="U23" s="771">
        <f>H23</f>
        <v>100</v>
      </c>
      <c r="V23" s="770" t="s">
        <v>17</v>
      </c>
      <c r="W23" s="771">
        <f>J23</f>
        <v>100</v>
      </c>
      <c r="X23" s="772"/>
      <c r="Y23" s="3215"/>
      <c r="Z23" s="55" t="str">
        <f>Q23</f>
        <v>公共配套设施</v>
      </c>
      <c r="AA23" s="1814">
        <f>D23/F23</f>
        <v>1</v>
      </c>
      <c r="AB23" s="1814">
        <f>D23/H23</f>
        <v>1</v>
      </c>
      <c r="AC23" s="1814">
        <f>D23/J23</f>
        <v>1</v>
      </c>
    </row>
    <row r="24" spans="1:29" s="117" customFormat="1" ht="15">
      <c r="A24" s="649"/>
      <c r="B24" s="632"/>
      <c r="C24" s="2703" t="s">
        <v>3065</v>
      </c>
      <c r="D24" s="448"/>
      <c r="E24" s="447" t="s">
        <v>3065</v>
      </c>
      <c r="F24" s="448"/>
      <c r="G24" s="447" t="s">
        <v>3065</v>
      </c>
      <c r="H24" s="448"/>
      <c r="I24" s="447" t="s">
        <v>3065</v>
      </c>
      <c r="J24" s="448"/>
      <c r="K24" s="672"/>
      <c r="L24" s="1135"/>
      <c r="M24" s="1136"/>
      <c r="N24" s="1136"/>
      <c r="O24" s="1137"/>
      <c r="P24" s="3215"/>
      <c r="Q24" s="1798"/>
      <c r="R24" s="770"/>
      <c r="S24" s="771"/>
      <c r="T24" s="770"/>
      <c r="U24" s="771"/>
      <c r="V24" s="770"/>
      <c r="W24" s="771"/>
      <c r="X24" s="772"/>
      <c r="Y24" s="3215"/>
      <c r="Z24" s="55"/>
      <c r="AA24" s="773">
        <v>1</v>
      </c>
      <c r="AB24" s="773">
        <v>1</v>
      </c>
      <c r="AC24" s="773">
        <v>1</v>
      </c>
    </row>
    <row r="25" spans="1:29" s="117" customFormat="1" ht="28.5">
      <c r="A25" s="649"/>
      <c r="B25" s="633" t="s">
        <v>2646</v>
      </c>
      <c r="C25" s="2610"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v>2</v>
      </c>
      <c r="L25" s="1135"/>
      <c r="M25" s="1136"/>
      <c r="N25" s="1136"/>
      <c r="O25" s="1137"/>
      <c r="P25" s="3215"/>
      <c r="Q25" s="1798" t="str">
        <f t="shared" ref="Q25" si="9">B25</f>
        <v>基础设施水平</v>
      </c>
      <c r="R25" s="770" t="s">
        <v>17</v>
      </c>
      <c r="S25" s="771">
        <f>F25</f>
        <v>100</v>
      </c>
      <c r="T25" s="770" t="s">
        <v>17</v>
      </c>
      <c r="U25" s="771">
        <f>H25</f>
        <v>100</v>
      </c>
      <c r="V25" s="770" t="s">
        <v>17</v>
      </c>
      <c r="W25" s="771">
        <f>J25</f>
        <v>100</v>
      </c>
      <c r="X25" s="772"/>
      <c r="Y25" s="3215"/>
      <c r="Z25" s="55" t="str">
        <f>Q25</f>
        <v>基础设施水平</v>
      </c>
      <c r="AA25" s="1814">
        <f>D25/F25</f>
        <v>1</v>
      </c>
      <c r="AB25" s="1814">
        <f>D25/H25</f>
        <v>1</v>
      </c>
      <c r="AC25" s="1814">
        <f>D25/J25</f>
        <v>1</v>
      </c>
    </row>
    <row r="26" spans="1:29" s="117" customFormat="1" ht="15">
      <c r="A26" s="649"/>
      <c r="B26" s="632"/>
      <c r="C26" s="2703" t="s">
        <v>3079</v>
      </c>
      <c r="D26" s="448"/>
      <c r="E26" s="2703" t="s">
        <v>3079</v>
      </c>
      <c r="F26" s="448"/>
      <c r="G26" s="2703" t="s">
        <v>3079</v>
      </c>
      <c r="H26" s="448"/>
      <c r="I26" s="2703" t="s">
        <v>3079</v>
      </c>
      <c r="J26" s="448"/>
      <c r="K26" s="672"/>
      <c r="L26" s="1135"/>
      <c r="M26" s="1136"/>
      <c r="N26" s="1136"/>
      <c r="O26" s="1137"/>
      <c r="P26" s="3215"/>
      <c r="Q26" s="1798"/>
      <c r="R26" s="770"/>
      <c r="S26" s="771"/>
      <c r="T26" s="770"/>
      <c r="U26" s="771"/>
      <c r="V26" s="770"/>
      <c r="W26" s="771"/>
      <c r="X26" s="772"/>
      <c r="Y26" s="3215"/>
      <c r="Z26" s="55"/>
      <c r="AA26" s="773">
        <v>1</v>
      </c>
      <c r="AB26" s="773">
        <v>1</v>
      </c>
      <c r="AC26" s="773">
        <v>1</v>
      </c>
    </row>
    <row r="27" spans="1:29" ht="15">
      <c r="A27" s="428"/>
      <c r="B27" s="632" t="s">
        <v>2647</v>
      </c>
      <c r="C27" s="616" t="s">
        <v>3339</v>
      </c>
      <c r="D27" s="435">
        <v>100</v>
      </c>
      <c r="E27" s="634" t="s">
        <v>3339</v>
      </c>
      <c r="F27" s="435">
        <f>SUMIF(95:95,E27,96:96)-SUMIF(95:95,C27,96:96)+100</f>
        <v>100</v>
      </c>
      <c r="G27" s="634" t="s">
        <v>3068</v>
      </c>
      <c r="H27" s="435">
        <f>SUMIF(95:95,G27,96:96)-SUMIF(95:95,C27,96:96)+100</f>
        <v>99</v>
      </c>
      <c r="I27" s="634" t="s">
        <v>3340</v>
      </c>
      <c r="J27" s="435">
        <f>SUMIF(95:95,I27,96:96)-SUMIF(95:95,C27,96:96)+100</f>
        <v>98</v>
      </c>
      <c r="K27" s="673">
        <v>1</v>
      </c>
      <c r="L27" s="1143"/>
      <c r="M27" s="1134"/>
      <c r="N27" s="1134"/>
      <c r="O27" s="1142"/>
      <c r="P27" s="3215"/>
      <c r="Q27" s="1813" t="str">
        <f t="shared" si="8"/>
        <v>临街状况</v>
      </c>
      <c r="R27" s="774" t="s">
        <v>17</v>
      </c>
      <c r="S27" s="775">
        <f t="shared" ref="S27:S40" si="10">F27</f>
        <v>100</v>
      </c>
      <c r="T27" s="774" t="s">
        <v>17</v>
      </c>
      <c r="U27" s="775">
        <f t="shared" ref="U27:U40" si="11">H27</f>
        <v>99</v>
      </c>
      <c r="V27" s="774" t="s">
        <v>17</v>
      </c>
      <c r="W27" s="775">
        <f t="shared" ref="W27:W40" si="12">J27</f>
        <v>98</v>
      </c>
      <c r="X27" s="1816"/>
      <c r="Y27" s="3215"/>
      <c r="Z27" s="1817" t="str">
        <f t="shared" ref="Z27:Z40" si="13">Q27</f>
        <v>临街状况</v>
      </c>
      <c r="AA27" s="1814">
        <f t="shared" si="3"/>
        <v>1</v>
      </c>
      <c r="AB27" s="1814">
        <f t="shared" si="4"/>
        <v>1.0101010101010102</v>
      </c>
      <c r="AC27" s="1814">
        <f t="shared" si="5"/>
        <v>1.0204081632653061</v>
      </c>
    </row>
    <row r="28" spans="1:29" ht="27">
      <c r="A28" s="428"/>
      <c r="B28" s="633" t="s">
        <v>2682</v>
      </c>
      <c r="C28" s="2982">
        <f>估价对象房地状况!G22</f>
        <v>0</v>
      </c>
      <c r="D28" s="450">
        <v>100</v>
      </c>
      <c r="E28" s="2983"/>
      <c r="F28" s="450">
        <f>SUMIF(97:97,E29,98:98)-SUMIF(97:97,C29,98:98)+100</f>
        <v>100</v>
      </c>
      <c r="G28" s="2983"/>
      <c r="H28" s="450">
        <f>SUMIF(97:97,G29,98:98)-SUMIF(97:97,C29,98:98)+100</f>
        <v>100</v>
      </c>
      <c r="I28" s="2984"/>
      <c r="J28" s="450">
        <f>SUMIF(97:97,I29,98:98)-SUMIF(97:97,C29,98:98)+100</f>
        <v>100</v>
      </c>
      <c r="K28" s="673">
        <v>1</v>
      </c>
      <c r="L28" s="1143"/>
      <c r="M28" s="1134"/>
      <c r="N28" s="1134"/>
      <c r="O28" s="1142"/>
      <c r="P28" s="3215"/>
      <c r="Q28" s="1813" t="str">
        <f t="shared" si="8"/>
        <v>毗邻道路的类型与等级</v>
      </c>
      <c r="R28" s="774" t="s">
        <v>17</v>
      </c>
      <c r="S28" s="775">
        <f t="shared" si="10"/>
        <v>100</v>
      </c>
      <c r="T28" s="774" t="s">
        <v>17</v>
      </c>
      <c r="U28" s="775">
        <f t="shared" si="11"/>
        <v>100</v>
      </c>
      <c r="V28" s="774" t="s">
        <v>17</v>
      </c>
      <c r="W28" s="775">
        <f t="shared" si="12"/>
        <v>100</v>
      </c>
      <c r="X28" s="1816"/>
      <c r="Y28" s="3215"/>
      <c r="Z28" s="1817" t="str">
        <f t="shared" si="13"/>
        <v>毗邻道路的类型与等级</v>
      </c>
      <c r="AA28" s="1814">
        <f t="shared" si="3"/>
        <v>1</v>
      </c>
      <c r="AB28" s="1814">
        <f t="shared" si="4"/>
        <v>1</v>
      </c>
      <c r="AC28" s="1814">
        <f t="shared" si="5"/>
        <v>1</v>
      </c>
    </row>
    <row r="29" spans="1:29" ht="15">
      <c r="A29" s="428"/>
      <c r="B29" s="632"/>
      <c r="C29" s="447" t="s">
        <v>3338</v>
      </c>
      <c r="D29" s="448"/>
      <c r="E29" s="2614" t="s">
        <v>3338</v>
      </c>
      <c r="F29" s="448"/>
      <c r="G29" s="2614" t="s">
        <v>3338</v>
      </c>
      <c r="H29" s="448"/>
      <c r="I29" s="2614" t="s">
        <v>3338</v>
      </c>
      <c r="J29" s="448"/>
      <c r="K29" s="613"/>
      <c r="L29" s="1143"/>
      <c r="M29" s="1134"/>
      <c r="N29" s="1134"/>
      <c r="O29" s="1142"/>
      <c r="P29" s="3215"/>
      <c r="Q29" s="1813"/>
      <c r="R29" s="774"/>
      <c r="S29" s="775"/>
      <c r="T29" s="774"/>
      <c r="U29" s="775"/>
      <c r="V29" s="774"/>
      <c r="W29" s="775"/>
      <c r="X29" s="1816"/>
      <c r="Y29" s="3215"/>
      <c r="Z29" s="1817"/>
      <c r="AA29" s="1814">
        <v>1</v>
      </c>
      <c r="AB29" s="1814">
        <v>1</v>
      </c>
      <c r="AC29" s="1814">
        <v>1</v>
      </c>
    </row>
    <row r="30" spans="1:29" ht="15">
      <c r="A30" s="428"/>
      <c r="B30" s="654" t="s">
        <v>2741</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v>2</v>
      </c>
      <c r="L30" s="1143"/>
      <c r="M30" s="1134"/>
      <c r="N30" s="1134"/>
      <c r="O30" s="1142"/>
      <c r="P30" s="3215"/>
      <c r="Q30" s="1813" t="str">
        <f t="shared" si="8"/>
        <v>土地级别</v>
      </c>
      <c r="R30" s="774" t="s">
        <v>17</v>
      </c>
      <c r="S30" s="775">
        <f t="shared" si="10"/>
        <v>100</v>
      </c>
      <c r="T30" s="774" t="s">
        <v>17</v>
      </c>
      <c r="U30" s="775">
        <f t="shared" si="11"/>
        <v>100</v>
      </c>
      <c r="V30" s="774" t="s">
        <v>17</v>
      </c>
      <c r="W30" s="775">
        <f t="shared" si="12"/>
        <v>100</v>
      </c>
      <c r="X30" s="1816"/>
      <c r="Y30" s="3215"/>
      <c r="Z30" s="1817" t="str">
        <f t="shared" si="13"/>
        <v>土地级别</v>
      </c>
      <c r="AA30" s="1814">
        <f t="shared" si="3"/>
        <v>1</v>
      </c>
      <c r="AB30" s="1814">
        <f t="shared" si="4"/>
        <v>1</v>
      </c>
      <c r="AC30" s="1814">
        <f t="shared" si="5"/>
        <v>1</v>
      </c>
    </row>
    <row r="31" spans="1:29" ht="15">
      <c r="A31" s="404"/>
      <c r="B31" s="2681">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215"/>
      <c r="Q31" s="1813">
        <f t="shared" si="8"/>
        <v>111</v>
      </c>
      <c r="R31" s="774" t="s">
        <v>17</v>
      </c>
      <c r="S31" s="775">
        <f t="shared" si="10"/>
        <v>100</v>
      </c>
      <c r="T31" s="774" t="s">
        <v>17</v>
      </c>
      <c r="U31" s="775">
        <f t="shared" si="11"/>
        <v>100</v>
      </c>
      <c r="V31" s="774" t="s">
        <v>17</v>
      </c>
      <c r="W31" s="775">
        <f t="shared" si="12"/>
        <v>100</v>
      </c>
      <c r="X31" s="1816"/>
      <c r="Y31" s="3215"/>
      <c r="Z31" s="1817">
        <f t="shared" si="13"/>
        <v>111</v>
      </c>
      <c r="AA31" s="1814">
        <f t="shared" si="3"/>
        <v>1</v>
      </c>
      <c r="AB31" s="1814">
        <f t="shared" si="4"/>
        <v>1</v>
      </c>
      <c r="AC31" s="1814">
        <f t="shared" si="5"/>
        <v>1</v>
      </c>
    </row>
    <row r="32" spans="1:29" ht="15">
      <c r="A32" s="675"/>
      <c r="B32" s="2716">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70" t="s">
        <v>2556</v>
      </c>
      <c r="Q32" s="1813">
        <f t="shared" si="8"/>
        <v>111</v>
      </c>
      <c r="R32" s="774" t="s">
        <v>17</v>
      </c>
      <c r="S32" s="775">
        <f t="shared" si="10"/>
        <v>100</v>
      </c>
      <c r="T32" s="774" t="s">
        <v>17</v>
      </c>
      <c r="U32" s="775">
        <f t="shared" si="11"/>
        <v>100</v>
      </c>
      <c r="V32" s="774" t="s">
        <v>17</v>
      </c>
      <c r="W32" s="775">
        <f t="shared" si="12"/>
        <v>100</v>
      </c>
      <c r="X32" s="1816"/>
      <c r="Y32" s="3219" t="s">
        <v>2556</v>
      </c>
      <c r="Z32" s="1817">
        <f t="shared" si="13"/>
        <v>111</v>
      </c>
      <c r="AA32" s="1814">
        <f t="shared" si="3"/>
        <v>1</v>
      </c>
      <c r="AB32" s="1814">
        <f t="shared" si="4"/>
        <v>1</v>
      </c>
      <c r="AC32" s="1814">
        <f t="shared" si="5"/>
        <v>1</v>
      </c>
    </row>
    <row r="33" spans="1:29" s="471" customFormat="1" ht="15.75" thickBot="1">
      <c r="A33" s="676"/>
      <c r="B33" s="2717">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19"/>
      <c r="Q33" s="1813">
        <f t="shared" si="8"/>
        <v>111</v>
      </c>
      <c r="R33" s="777" t="s">
        <v>17</v>
      </c>
      <c r="S33" s="778">
        <f t="shared" si="10"/>
        <v>100</v>
      </c>
      <c r="T33" s="777" t="s">
        <v>17</v>
      </c>
      <c r="U33" s="778">
        <f t="shared" si="11"/>
        <v>100</v>
      </c>
      <c r="V33" s="777" t="s">
        <v>17</v>
      </c>
      <c r="W33" s="778">
        <f t="shared" si="12"/>
        <v>100</v>
      </c>
      <c r="X33" s="779"/>
      <c r="Y33" s="3219"/>
      <c r="Z33" s="780">
        <f t="shared" si="13"/>
        <v>111</v>
      </c>
      <c r="AA33" s="1814">
        <f t="shared" si="3"/>
        <v>1</v>
      </c>
      <c r="AB33" s="1814">
        <f t="shared" si="4"/>
        <v>1</v>
      </c>
      <c r="AC33" s="1814">
        <f t="shared" si="5"/>
        <v>1</v>
      </c>
    </row>
    <row r="34" spans="1:29" ht="15">
      <c r="A34" s="440" t="s">
        <v>2554</v>
      </c>
      <c r="B34" s="456" t="s">
        <v>2742</v>
      </c>
      <c r="C34" s="679">
        <f>项目基本情况!C18</f>
        <v>109852.9</v>
      </c>
      <c r="D34" s="467">
        <v>100</v>
      </c>
      <c r="E34" s="679">
        <v>22308.3</v>
      </c>
      <c r="F34" s="467">
        <f>LOOKUP(E34,108:108,109:109)-LOOKUP(C34,108:108,109:109)+100</f>
        <v>103</v>
      </c>
      <c r="G34" s="679">
        <v>2718.4</v>
      </c>
      <c r="H34" s="467">
        <f>LOOKUP(G34,108:108,109:109)-LOOKUP(C34,108:108,109:109)+100</f>
        <v>105</v>
      </c>
      <c r="I34" s="530">
        <v>11807.8</v>
      </c>
      <c r="J34" s="467">
        <f>LOOKUP(I34,108:108,109:109)-LOOKUP(C34,108:108,109:109)+100</f>
        <v>104</v>
      </c>
      <c r="K34" s="613"/>
      <c r="L34" s="1143"/>
      <c r="M34" s="1134"/>
      <c r="N34" s="1134"/>
      <c r="O34" s="1142"/>
      <c r="P34" s="3219"/>
      <c r="Q34" s="1813" t="str">
        <f>B34</f>
        <v>宗地面积</v>
      </c>
      <c r="R34" s="774" t="s">
        <v>17</v>
      </c>
      <c r="S34" s="775">
        <f t="shared" si="10"/>
        <v>103</v>
      </c>
      <c r="T34" s="774" t="s">
        <v>17</v>
      </c>
      <c r="U34" s="775">
        <f t="shared" si="11"/>
        <v>105</v>
      </c>
      <c r="V34" s="774" t="s">
        <v>17</v>
      </c>
      <c r="W34" s="775">
        <f t="shared" si="12"/>
        <v>104</v>
      </c>
      <c r="X34" s="1816"/>
      <c r="Y34" s="3219"/>
      <c r="Z34" s="1817" t="str">
        <f t="shared" si="13"/>
        <v>宗地面积</v>
      </c>
      <c r="AA34" s="1814">
        <f t="shared" si="3"/>
        <v>0.970873786407767</v>
      </c>
      <c r="AB34" s="1814">
        <f t="shared" si="4"/>
        <v>0.95238095238095233</v>
      </c>
      <c r="AC34" s="1814">
        <f t="shared" si="5"/>
        <v>0.96153846153846156</v>
      </c>
    </row>
    <row r="35" spans="1:29" ht="15">
      <c r="A35" s="472"/>
      <c r="B35" s="422" t="s">
        <v>2743</v>
      </c>
      <c r="C35" s="2616" t="s">
        <v>3075</v>
      </c>
      <c r="D35" s="435">
        <v>100</v>
      </c>
      <c r="E35" s="2616" t="s">
        <v>3075</v>
      </c>
      <c r="F35" s="435">
        <f>SUMIF(110:110,E35,111:111)-SUMIF(110:110,C35,111:111)+100</f>
        <v>100</v>
      </c>
      <c r="G35" s="2616" t="s">
        <v>3075</v>
      </c>
      <c r="H35" s="435">
        <f>SUMIF(110:110,G35,111:111)-SUMIF(110:110,C35,111:111)+100</f>
        <v>100</v>
      </c>
      <c r="I35" s="2616" t="s">
        <v>3075</v>
      </c>
      <c r="J35" s="435">
        <f>SUMIF(110:110,I35,111:111)-SUMIF(110:110,C35,111:111)+100</f>
        <v>100</v>
      </c>
      <c r="K35" s="612">
        <v>2</v>
      </c>
      <c r="L35" s="1143"/>
      <c r="M35" s="1134"/>
      <c r="N35" s="1134"/>
      <c r="O35" s="1142"/>
      <c r="P35" s="3219"/>
      <c r="Q35" s="1813" t="str">
        <f t="shared" ref="Q35:Q40" si="14">B35</f>
        <v>宗地形状</v>
      </c>
      <c r="R35" s="774" t="s">
        <v>17</v>
      </c>
      <c r="S35" s="775">
        <f t="shared" si="10"/>
        <v>100</v>
      </c>
      <c r="T35" s="774" t="s">
        <v>17</v>
      </c>
      <c r="U35" s="775">
        <f t="shared" si="11"/>
        <v>100</v>
      </c>
      <c r="V35" s="774" t="s">
        <v>17</v>
      </c>
      <c r="W35" s="775">
        <f t="shared" si="12"/>
        <v>100</v>
      </c>
      <c r="X35" s="1816"/>
      <c r="Y35" s="3219"/>
      <c r="Z35" s="1817" t="str">
        <f t="shared" si="13"/>
        <v>宗地形状</v>
      </c>
      <c r="AA35" s="1814">
        <f t="shared" si="3"/>
        <v>1</v>
      </c>
      <c r="AB35" s="1814">
        <f t="shared" si="4"/>
        <v>1</v>
      </c>
      <c r="AC35" s="1814">
        <f t="shared" si="5"/>
        <v>1</v>
      </c>
    </row>
    <row r="36" spans="1:29" s="117" customFormat="1" ht="15">
      <c r="A36" s="473"/>
      <c r="B36" s="422" t="s">
        <v>2745</v>
      </c>
      <c r="C36" s="2705" t="s">
        <v>3080</v>
      </c>
      <c r="D36" s="136">
        <v>100</v>
      </c>
      <c r="E36" s="2705" t="s">
        <v>3080</v>
      </c>
      <c r="F36" s="435">
        <f>SUMIF(112:112,E36,113:113)-SUMIF(112:112,C36,113:113)+100</f>
        <v>100</v>
      </c>
      <c r="G36" s="2705" t="s">
        <v>3080</v>
      </c>
      <c r="H36" s="435">
        <f>SUMIF(112:112,G36,113:113)-SUMIF(112:112,C36,113:113)+100</f>
        <v>100</v>
      </c>
      <c r="I36" s="2705" t="s">
        <v>3080</v>
      </c>
      <c r="J36" s="435">
        <f>SUMIF(112:112,I36,113:113)-SUMIF(112:112,C36,113:113)+100</f>
        <v>100</v>
      </c>
      <c r="K36" s="612">
        <v>2</v>
      </c>
      <c r="L36" s="1135"/>
      <c r="M36" s="1136"/>
      <c r="N36" s="1136"/>
      <c r="O36" s="1137"/>
      <c r="P36" s="3219"/>
      <c r="Q36" s="1813" t="str">
        <f t="shared" si="14"/>
        <v>宗地开发程度</v>
      </c>
      <c r="R36" s="770" t="s">
        <v>17</v>
      </c>
      <c r="S36" s="771">
        <f t="shared" si="10"/>
        <v>100</v>
      </c>
      <c r="T36" s="770" t="s">
        <v>17</v>
      </c>
      <c r="U36" s="771">
        <f t="shared" si="11"/>
        <v>100</v>
      </c>
      <c r="V36" s="770" t="s">
        <v>17</v>
      </c>
      <c r="W36" s="771">
        <f t="shared" si="12"/>
        <v>100</v>
      </c>
      <c r="X36" s="772"/>
      <c r="Y36" s="3219"/>
      <c r="Z36" s="55" t="str">
        <f t="shared" si="13"/>
        <v>宗地开发程度</v>
      </c>
      <c r="AA36" s="773">
        <f t="shared" si="3"/>
        <v>1</v>
      </c>
      <c r="AB36" s="773">
        <f t="shared" si="4"/>
        <v>1</v>
      </c>
      <c r="AC36" s="773">
        <f t="shared" si="5"/>
        <v>1</v>
      </c>
    </row>
    <row r="37" spans="1:29" ht="15">
      <c r="A37" s="472"/>
      <c r="B37" s="422" t="s">
        <v>2746</v>
      </c>
      <c r="C37" s="2616" t="s">
        <v>3065</v>
      </c>
      <c r="D37" s="435">
        <v>100</v>
      </c>
      <c r="E37" s="2616" t="s">
        <v>3065</v>
      </c>
      <c r="F37" s="435">
        <f>SUMIF(114:114,E37,115:115)-SUMIF(114:114,C37,115:115)+100</f>
        <v>100</v>
      </c>
      <c r="G37" s="2616" t="s">
        <v>3065</v>
      </c>
      <c r="H37" s="435">
        <f>SUMIF(114:114,G37,115:115)-SUMIF(114:114,C37,115:115)+100</f>
        <v>100</v>
      </c>
      <c r="I37" s="2616" t="s">
        <v>3065</v>
      </c>
      <c r="J37" s="435">
        <f>SUMIF(114:114,I37,115:115)-SUMIF(114:114,C37,115:115)+100</f>
        <v>100</v>
      </c>
      <c r="K37" s="612">
        <v>2</v>
      </c>
      <c r="L37" s="1143"/>
      <c r="M37" s="1134"/>
      <c r="N37" s="1134"/>
      <c r="O37" s="1142"/>
      <c r="P37" s="3219" t="s">
        <v>2556</v>
      </c>
      <c r="Q37" s="1813" t="str">
        <f t="shared" si="14"/>
        <v>工程地质条件</v>
      </c>
      <c r="R37" s="774" t="s">
        <v>17</v>
      </c>
      <c r="S37" s="775">
        <f t="shared" si="10"/>
        <v>100</v>
      </c>
      <c r="T37" s="774" t="s">
        <v>17</v>
      </c>
      <c r="U37" s="775">
        <f t="shared" si="11"/>
        <v>100</v>
      </c>
      <c r="V37" s="774" t="s">
        <v>17</v>
      </c>
      <c r="W37" s="775">
        <f t="shared" si="12"/>
        <v>100</v>
      </c>
      <c r="X37" s="1816"/>
      <c r="Y37" s="3219" t="s">
        <v>2556</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19"/>
      <c r="Q38" s="1813">
        <f t="shared" si="14"/>
        <v>111</v>
      </c>
      <c r="R38" s="774" t="s">
        <v>17</v>
      </c>
      <c r="S38" s="775">
        <f t="shared" si="10"/>
        <v>100</v>
      </c>
      <c r="T38" s="774" t="s">
        <v>17</v>
      </c>
      <c r="U38" s="775">
        <f t="shared" si="11"/>
        <v>100</v>
      </c>
      <c r="V38" s="774" t="s">
        <v>17</v>
      </c>
      <c r="W38" s="775">
        <f t="shared" si="12"/>
        <v>100</v>
      </c>
      <c r="X38" s="1816"/>
      <c r="Y38" s="3219"/>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19"/>
      <c r="Q39" s="1813">
        <f t="shared" si="14"/>
        <v>111</v>
      </c>
      <c r="R39" s="774" t="s">
        <v>17</v>
      </c>
      <c r="S39" s="775">
        <f t="shared" si="10"/>
        <v>100</v>
      </c>
      <c r="T39" s="774" t="s">
        <v>17</v>
      </c>
      <c r="U39" s="775">
        <f t="shared" si="11"/>
        <v>100</v>
      </c>
      <c r="V39" s="774" t="s">
        <v>17</v>
      </c>
      <c r="W39" s="775">
        <f t="shared" si="12"/>
        <v>100</v>
      </c>
      <c r="X39" s="1816"/>
      <c r="Y39" s="3219"/>
      <c r="Z39" s="1817">
        <f t="shared" si="13"/>
        <v>111</v>
      </c>
      <c r="AA39" s="1814">
        <f t="shared" si="3"/>
        <v>1</v>
      </c>
      <c r="AB39" s="1814">
        <f t="shared" si="4"/>
        <v>1</v>
      </c>
      <c r="AC39" s="1814">
        <f t="shared" si="5"/>
        <v>1</v>
      </c>
    </row>
    <row r="40" spans="1:29" s="471" customFormat="1" ht="15.75" thickBot="1">
      <c r="A40" s="468"/>
      <c r="B40" s="1390">
        <v>111</v>
      </c>
      <c r="C40" s="2706"/>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19"/>
      <c r="Q40" s="1813">
        <f t="shared" si="14"/>
        <v>111</v>
      </c>
      <c r="R40" s="777" t="s">
        <v>17</v>
      </c>
      <c r="S40" s="778">
        <f t="shared" si="10"/>
        <v>100</v>
      </c>
      <c r="T40" s="777" t="s">
        <v>17</v>
      </c>
      <c r="U40" s="778">
        <f t="shared" si="11"/>
        <v>100</v>
      </c>
      <c r="V40" s="777" t="s">
        <v>17</v>
      </c>
      <c r="W40" s="778">
        <f t="shared" si="12"/>
        <v>100</v>
      </c>
      <c r="X40" s="779"/>
      <c r="Y40" s="3219"/>
      <c r="Z40" s="780">
        <f t="shared" si="13"/>
        <v>111</v>
      </c>
      <c r="AA40" s="1814">
        <f t="shared" si="3"/>
        <v>1</v>
      </c>
      <c r="AB40" s="1814">
        <f t="shared" si="4"/>
        <v>1</v>
      </c>
      <c r="AC40" s="1814">
        <f t="shared" si="5"/>
        <v>1</v>
      </c>
    </row>
    <row r="41" spans="1:29" ht="15">
      <c r="A41" s="479" t="s">
        <v>2711</v>
      </c>
      <c r="B41" s="2707" t="s">
        <v>3094</v>
      </c>
      <c r="C41" s="682" t="s">
        <v>1</v>
      </c>
      <c r="D41" s="481"/>
      <c r="E41" s="482">
        <v>2250</v>
      </c>
      <c r="F41" s="483"/>
      <c r="G41" s="484">
        <v>2250</v>
      </c>
      <c r="H41" s="485"/>
      <c r="I41" s="482">
        <v>2250</v>
      </c>
      <c r="J41" s="485"/>
      <c r="K41" s="783"/>
      <c r="L41" s="1146"/>
      <c r="M41" s="1134"/>
      <c r="N41" s="1134"/>
      <c r="O41" s="1147"/>
      <c r="P41" s="3212" t="str">
        <f>A41</f>
        <v>成交单价</v>
      </c>
      <c r="Q41" s="3212"/>
      <c r="R41" s="3243">
        <f>E41</f>
        <v>2250</v>
      </c>
      <c r="S41" s="3243"/>
      <c r="T41" s="3243">
        <f>G41</f>
        <v>2250</v>
      </c>
      <c r="U41" s="3243"/>
      <c r="V41" s="3243">
        <f>I41</f>
        <v>2250</v>
      </c>
      <c r="W41" s="3243"/>
      <c r="X41" s="759"/>
      <c r="Y41" s="781"/>
      <c r="Z41" s="759"/>
      <c r="AA41" s="759"/>
      <c r="AB41" s="759"/>
      <c r="AC41" s="759"/>
    </row>
    <row r="42" spans="1:29" ht="15.75" thickBot="1">
      <c r="A42" s="486" t="s">
        <v>2660</v>
      </c>
      <c r="B42" s="683"/>
      <c r="C42" s="490">
        <f>R43</f>
        <v>2037</v>
      </c>
      <c r="D42" s="489"/>
      <c r="E42" s="490">
        <f>R42</f>
        <v>1976</v>
      </c>
      <c r="F42" s="491"/>
      <c r="G42" s="488">
        <f>T42</f>
        <v>2068</v>
      </c>
      <c r="H42" s="489"/>
      <c r="I42" s="490">
        <f>V42</f>
        <v>2067</v>
      </c>
      <c r="J42" s="489"/>
      <c r="K42" s="784"/>
      <c r="L42" s="1146"/>
      <c r="M42" s="1134"/>
      <c r="N42" s="1134"/>
      <c r="O42" s="1147"/>
      <c r="P42" s="3212" t="str">
        <f>A42</f>
        <v>比较价值（元/平方米）</v>
      </c>
      <c r="Q42" s="3212"/>
      <c r="R42" s="3271">
        <f>ROUND(PRODUCT(R41,AA7:AA40),0)</f>
        <v>1976</v>
      </c>
      <c r="S42" s="3271"/>
      <c r="T42" s="3271">
        <f>ROUND(PRODUCT(T41,AB7:AB40),0)</f>
        <v>2068</v>
      </c>
      <c r="U42" s="3271"/>
      <c r="V42" s="3271">
        <f>ROUND(PRODUCT(V41,AC7:AC40),0)</f>
        <v>2067</v>
      </c>
      <c r="W42" s="3271"/>
      <c r="X42" s="759"/>
      <c r="Y42" s="759"/>
      <c r="Z42" s="759"/>
      <c r="AA42" s="759"/>
      <c r="AB42" s="759"/>
      <c r="AC42" s="759"/>
    </row>
    <row r="43" spans="1:29" ht="15.75" thickBot="1">
      <c r="A43" s="492" t="s">
        <v>3354</v>
      </c>
      <c r="B43" s="493"/>
      <c r="C43" s="494">
        <f>R43</f>
        <v>2037</v>
      </c>
      <c r="D43" s="494"/>
      <c r="E43" s="494"/>
      <c r="F43" s="494"/>
      <c r="G43" s="494"/>
      <c r="H43" s="494"/>
      <c r="I43" s="494"/>
      <c r="J43" s="494"/>
      <c r="K43" s="785"/>
      <c r="L43" s="1146"/>
      <c r="M43" s="1134"/>
      <c r="N43" s="1134"/>
      <c r="O43" s="1147"/>
      <c r="P43" s="3209" t="str">
        <f>A43</f>
        <v>估价对象XX用房的比较价值（楼面单价，元/平方米）</v>
      </c>
      <c r="Q43" s="3210"/>
      <c r="R43" s="3272">
        <f>ROUND(AVERAGE(R42:V42),0)</f>
        <v>2037</v>
      </c>
      <c r="S43" s="3272"/>
      <c r="T43" s="3272"/>
      <c r="U43" s="3272"/>
      <c r="V43" s="3272"/>
      <c r="W43" s="3272"/>
      <c r="X43" s="759"/>
      <c r="Y43" s="759"/>
      <c r="Z43" s="759"/>
      <c r="AA43" s="759"/>
      <c r="AB43" s="759"/>
      <c r="AC43" s="759"/>
    </row>
    <row r="44" spans="1:29">
      <c r="A44" s="1147"/>
      <c r="B44" s="1147"/>
      <c r="C44" s="1147">
        <f>C43*C34/10000</f>
        <v>22377.03573</v>
      </c>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2662</v>
      </c>
      <c r="D46" s="498"/>
      <c r="E46" s="499">
        <f>IF(E41&lt;E42,E42/E41-1,E41/E42-1)</f>
        <v>0.13866396761133593</v>
      </c>
      <c r="F46" s="500" t="str">
        <f>IF(OR(E46&gt;=0.3,E46&lt;=-0.3),"超过30%","")</f>
        <v/>
      </c>
      <c r="G46" s="499">
        <f>IF(G41&lt;G42,G42/G41-1,G41/G42-1)</f>
        <v>8.8007736943907178E-2</v>
      </c>
      <c r="H46" s="500" t="str">
        <f>IF(OR(G46&gt;=0.3,G46&lt;=-0.3),"超过30%","")</f>
        <v/>
      </c>
      <c r="I46" s="499">
        <f>IF(I41&lt;I42,I42/I41-1,I41/I42-1)</f>
        <v>8.8534107402031825E-2</v>
      </c>
      <c r="J46" s="500" t="str">
        <f>IF(OR(I46&gt;=0.3,I46&lt;=-0.3),"超过30%","")</f>
        <v/>
      </c>
      <c r="K46" s="1108"/>
      <c r="L46" s="1109"/>
      <c r="M46" s="1134"/>
      <c r="N46" s="1134"/>
      <c r="O46" s="1147"/>
    </row>
    <row r="47" spans="1:29" ht="13.5" customHeight="1">
      <c r="A47" s="1147"/>
      <c r="B47" s="1147"/>
      <c r="C47" s="497" t="s">
        <v>2663</v>
      </c>
      <c r="D47" s="501"/>
      <c r="E47" s="499">
        <f>IF(E42&lt;G42,G42/E42-1,E42/G42-1)</f>
        <v>4.6558704453441235E-2</v>
      </c>
      <c r="F47" s="500" t="str">
        <f>IF(OR(E47&gt;=0.2,E47&lt;=-0.2),"超过20%","")</f>
        <v/>
      </c>
      <c r="G47" s="499">
        <f>IF(G42&lt;I42,I42/G42-1,G42/I42-1)</f>
        <v>4.8379293662303979E-4</v>
      </c>
      <c r="H47" s="500" t="str">
        <f>IF(OR(G47&gt;=0.2,G47&lt;=-0.2),"超过20%","")</f>
        <v/>
      </c>
      <c r="I47" s="499">
        <f>IF(I42&lt;E42,E42/I42-1,I42/E42-1)</f>
        <v>4.6052631578947345E-2</v>
      </c>
      <c r="J47" s="500" t="str">
        <f>IF(OR(I47&gt;=0.2,I47&lt;=-0.2),"超过20%","")</f>
        <v/>
      </c>
      <c r="K47" s="1108"/>
      <c r="L47" s="1109"/>
      <c r="M47" s="1147"/>
      <c r="N47" s="1147"/>
      <c r="O47" s="1147"/>
    </row>
    <row r="48" spans="1:29" s="502" customFormat="1" ht="13.5" customHeight="1">
      <c r="A48" s="1148"/>
      <c r="B48" s="1148"/>
      <c r="C48" s="497" t="s">
        <v>2664</v>
      </c>
      <c r="D48" s="501"/>
      <c r="E48" s="499">
        <f>IF(E41&lt;G41,G41/E41-1,E41/G41-1)</f>
        <v>0</v>
      </c>
      <c r="F48" s="500" t="str">
        <f>IF(OR(E48&gt;=0.3,E48&lt;=-0.3),"超过30%","")</f>
        <v/>
      </c>
      <c r="G48" s="499">
        <f>IF(G41&lt;I41,I41/G41-1,G41/I41-1)</f>
        <v>0</v>
      </c>
      <c r="H48" s="500" t="str">
        <f>IF(OR(G48&gt;=0.3,G48&lt;=-0.3),"超过30%","")</f>
        <v/>
      </c>
      <c r="I48" s="499">
        <f>IF(I41&lt;E41,E41/I41-1,I41/E41-1)</f>
        <v>0</v>
      </c>
      <c r="J48" s="500" t="str">
        <f>IF(OR(I48&gt;=0.3,I48&lt;=-0.3),"超过30%","")</f>
        <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2749</v>
      </c>
      <c r="B50" s="685" t="s">
        <v>2750</v>
      </c>
      <c r="C50" s="2708" t="s">
        <v>2751</v>
      </c>
      <c r="D50" s="2709" t="s">
        <v>2752</v>
      </c>
      <c r="E50" s="686" t="s">
        <v>2753</v>
      </c>
      <c r="F50" s="687" t="s">
        <v>2754</v>
      </c>
      <c r="G50" s="3227" t="s">
        <v>2755</v>
      </c>
      <c r="H50" s="3273"/>
      <c r="I50" s="1817" t="s">
        <v>2790</v>
      </c>
      <c r="J50" s="1817">
        <f>项目基本情况!F35</f>
        <v>0</v>
      </c>
      <c r="K50" s="2711" t="s">
        <v>2757</v>
      </c>
      <c r="L50" s="1109"/>
      <c r="M50" s="1147"/>
      <c r="N50" s="1147"/>
      <c r="O50" s="1147"/>
    </row>
    <row r="51" spans="1:17" s="692" customFormat="1">
      <c r="A51" s="688" t="s">
        <v>2758</v>
      </c>
      <c r="B51" s="689">
        <f>C43</f>
        <v>2037</v>
      </c>
      <c r="C51" s="690">
        <v>1</v>
      </c>
      <c r="D51" s="1166">
        <v>1</v>
      </c>
      <c r="E51" s="690">
        <f>'数据-汇总表'!E8+'数据-汇总表'!E9</f>
        <v>111369.40000000001</v>
      </c>
      <c r="F51" s="691">
        <f t="shared" ref="F51:F60" si="15">ROUND(B51*E51/10000,0)</f>
        <v>22686</v>
      </c>
      <c r="G51" s="3223"/>
      <c r="H51" s="3212"/>
      <c r="I51" s="945">
        <v>1</v>
      </c>
      <c r="J51" s="945">
        <v>1</v>
      </c>
      <c r="K51" s="1148"/>
      <c r="L51" s="944"/>
      <c r="M51" s="944"/>
      <c r="N51" s="944"/>
      <c r="O51" s="944"/>
    </row>
    <row r="52" spans="1:17" s="692" customFormat="1">
      <c r="A52" s="693" t="s">
        <v>2759</v>
      </c>
      <c r="B52" s="262">
        <f>ROUND($C$43*C52*D52,0)</f>
        <v>0</v>
      </c>
      <c r="C52" s="200">
        <f t="shared" ref="C52:C60" si="16">IF($C$50="北京市系数",I52,J52)</f>
        <v>0</v>
      </c>
      <c r="D52" s="1167">
        <v>0.25</v>
      </c>
      <c r="E52" s="694"/>
      <c r="F52" s="691">
        <f t="shared" si="15"/>
        <v>0</v>
      </c>
      <c r="G52" s="3274" t="s">
        <v>2760</v>
      </c>
      <c r="H52" s="1107">
        <f>项目基本情况!B37</f>
        <v>0</v>
      </c>
      <c r="I52" s="945">
        <f>SUMIF(修正!A45:A56,H52,修正!B45:B56)</f>
        <v>0</v>
      </c>
      <c r="J52" s="946"/>
      <c r="K52" s="1147"/>
      <c r="L52" s="944"/>
      <c r="M52" s="944"/>
      <c r="N52" s="944"/>
      <c r="O52" s="944"/>
    </row>
    <row r="53" spans="1:17" s="692" customFormat="1">
      <c r="A53" s="693" t="s">
        <v>2761</v>
      </c>
      <c r="B53" s="262">
        <f t="shared" ref="B53:B60" si="17">ROUND($C$43*C53*D53,0)</f>
        <v>0</v>
      </c>
      <c r="C53" s="200">
        <f t="shared" si="16"/>
        <v>0</v>
      </c>
      <c r="D53" s="1167">
        <v>0.25</v>
      </c>
      <c r="E53" s="694"/>
      <c r="F53" s="691">
        <f t="shared" si="15"/>
        <v>0</v>
      </c>
      <c r="G53" s="3274"/>
      <c r="H53" s="1107">
        <f>项目基本情况!B37</f>
        <v>0</v>
      </c>
      <c r="I53" s="945">
        <f>SUMIF(修正!A45:A56,H53,修正!C45:C56)</f>
        <v>0</v>
      </c>
      <c r="J53" s="946"/>
      <c r="K53" s="1148"/>
      <c r="L53" s="944"/>
      <c r="M53" s="944"/>
      <c r="N53" s="944"/>
      <c r="O53" s="944"/>
    </row>
    <row r="54" spans="1:17" s="692" customFormat="1">
      <c r="A54" s="693" t="s">
        <v>2762</v>
      </c>
      <c r="B54" s="262">
        <f t="shared" si="17"/>
        <v>0</v>
      </c>
      <c r="C54" s="200">
        <f t="shared" si="16"/>
        <v>0</v>
      </c>
      <c r="D54" s="1167">
        <v>0.25</v>
      </c>
      <c r="E54" s="694"/>
      <c r="F54" s="691">
        <f t="shared" si="15"/>
        <v>0</v>
      </c>
      <c r="G54" s="3274"/>
      <c r="H54" s="1107">
        <f>项目基本情况!B37</f>
        <v>0</v>
      </c>
      <c r="I54" s="945">
        <f>SUMIF(修正!A45:A56,H54,修正!D45:D56)</f>
        <v>0</v>
      </c>
      <c r="J54" s="946"/>
      <c r="K54" s="1147"/>
      <c r="L54" s="944"/>
      <c r="M54" s="944"/>
      <c r="N54" s="944"/>
      <c r="O54" s="944"/>
    </row>
    <row r="55" spans="1:17" s="692" customFormat="1">
      <c r="A55" s="693" t="s">
        <v>2763</v>
      </c>
      <c r="B55" s="262">
        <f t="shared" si="17"/>
        <v>0</v>
      </c>
      <c r="C55" s="200">
        <f t="shared" si="16"/>
        <v>0</v>
      </c>
      <c r="D55" s="1167">
        <v>0.25</v>
      </c>
      <c r="E55" s="694"/>
      <c r="F55" s="691">
        <f t="shared" si="15"/>
        <v>0</v>
      </c>
      <c r="G55" s="3274"/>
      <c r="H55" s="1107">
        <f>项目基本情况!B37</f>
        <v>0</v>
      </c>
      <c r="I55" s="945">
        <f>SUMIF(修正!A45:A56,H55,修正!E45:E56)</f>
        <v>0</v>
      </c>
      <c r="J55" s="946"/>
      <c r="K55" s="1148"/>
      <c r="L55" s="944"/>
      <c r="M55" s="944"/>
      <c r="N55" s="944"/>
      <c r="O55" s="944"/>
    </row>
    <row r="56" spans="1:17" s="692" customFormat="1">
      <c r="A56" s="693" t="s">
        <v>2764</v>
      </c>
      <c r="B56" s="262">
        <f t="shared" si="17"/>
        <v>0</v>
      </c>
      <c r="C56" s="200">
        <f t="shared" si="16"/>
        <v>0</v>
      </c>
      <c r="D56" s="1167">
        <v>0.25</v>
      </c>
      <c r="E56" s="261">
        <f>'数据-汇总表'!E11</f>
        <v>0</v>
      </c>
      <c r="F56" s="691">
        <f t="shared" si="15"/>
        <v>0</v>
      </c>
      <c r="G56" s="2712" t="s">
        <v>2765</v>
      </c>
      <c r="H56" s="1107">
        <f>项目基本情况!C37</f>
        <v>0</v>
      </c>
      <c r="I56" s="945">
        <f>SUMIF(修正!A45:A56,H56,修正!F45:F56)</f>
        <v>0</v>
      </c>
      <c r="J56" s="946"/>
      <c r="K56" s="1147"/>
      <c r="L56" s="944"/>
      <c r="M56" s="944"/>
      <c r="N56" s="944"/>
      <c r="O56" s="944"/>
    </row>
    <row r="57" spans="1:17" s="692" customFormat="1">
      <c r="A57" s="693" t="s">
        <v>2766</v>
      </c>
      <c r="B57" s="262">
        <f t="shared" si="17"/>
        <v>0</v>
      </c>
      <c r="C57" s="200">
        <f t="shared" si="16"/>
        <v>0</v>
      </c>
      <c r="D57" s="1167">
        <v>0.25</v>
      </c>
      <c r="E57" s="261">
        <f>'数据-汇总表'!E12</f>
        <v>0</v>
      </c>
      <c r="F57" s="691">
        <f t="shared" si="15"/>
        <v>0</v>
      </c>
      <c r="G57" s="1112" t="s">
        <v>2767</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2768</v>
      </c>
      <c r="B58" s="262">
        <f t="shared" si="17"/>
        <v>0</v>
      </c>
      <c r="C58" s="200">
        <f t="shared" si="16"/>
        <v>0</v>
      </c>
      <c r="D58" s="1167">
        <v>0.25</v>
      </c>
      <c r="E58" s="261">
        <f>'数据-汇总表'!E13</f>
        <v>0</v>
      </c>
      <c r="F58" s="691">
        <f t="shared" si="15"/>
        <v>0</v>
      </c>
      <c r="G58" s="1112" t="s">
        <v>2769</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2770</v>
      </c>
      <c r="B59" s="262">
        <f t="shared" si="17"/>
        <v>0</v>
      </c>
      <c r="C59" s="200">
        <f t="shared" si="16"/>
        <v>0</v>
      </c>
      <c r="D59" s="1167">
        <v>0.25</v>
      </c>
      <c r="E59" s="261">
        <f>'数据-汇总表'!E14</f>
        <v>0</v>
      </c>
      <c r="F59" s="691">
        <f t="shared" si="15"/>
        <v>0</v>
      </c>
      <c r="G59" s="2712" t="s">
        <v>2760</v>
      </c>
      <c r="H59" s="1107">
        <f>项目基本情况!B37</f>
        <v>0</v>
      </c>
      <c r="I59" s="945">
        <f>SUMIF(修正!A45:A56,H59,修正!H45:H56)</f>
        <v>0</v>
      </c>
      <c r="J59" s="946"/>
      <c r="K59" s="1148"/>
      <c r="L59" s="944"/>
      <c r="M59" s="944"/>
      <c r="N59" s="944"/>
      <c r="O59" s="944"/>
    </row>
    <row r="60" spans="1:17" s="692" customFormat="1" ht="15" thickBot="1">
      <c r="A60" s="693" t="s">
        <v>2771</v>
      </c>
      <c r="B60" s="262">
        <f t="shared" si="17"/>
        <v>0</v>
      </c>
      <c r="C60" s="200">
        <f t="shared" si="16"/>
        <v>0</v>
      </c>
      <c r="D60" s="1167">
        <v>0.25</v>
      </c>
      <c r="E60" s="261">
        <f>'数据-汇总表'!E15</f>
        <v>0</v>
      </c>
      <c r="F60" s="691">
        <f t="shared" si="15"/>
        <v>0</v>
      </c>
      <c r="G60" s="2713" t="s">
        <v>2765</v>
      </c>
      <c r="H60" s="1117">
        <f>项目基本情况!C37</f>
        <v>0</v>
      </c>
      <c r="I60" s="945">
        <f>SUMIF(修正!A45:A56,H60,修正!H45:H56)</f>
        <v>0</v>
      </c>
      <c r="J60" s="946"/>
      <c r="K60" s="1147"/>
      <c r="L60" s="944"/>
      <c r="M60" s="944"/>
      <c r="N60" s="944"/>
      <c r="O60" s="944"/>
    </row>
    <row r="61" spans="1:17" s="692" customFormat="1" ht="15" thickBot="1">
      <c r="A61" s="695" t="s">
        <v>2772</v>
      </c>
      <c r="B61" s="696" t="s">
        <v>28</v>
      </c>
      <c r="C61" s="696" t="s">
        <v>29</v>
      </c>
      <c r="D61" s="696" t="s">
        <v>1026</v>
      </c>
      <c r="E61" s="696">
        <f>IF(B41="楼面地价",SUM(E51:E60),'数据-汇总表'!D3)</f>
        <v>109852.9</v>
      </c>
      <c r="F61" s="697">
        <f>IF(B41="楼面地价",SUM(F51:F60),ROUND(C43*E61/10000,0))</f>
        <v>22377</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2019-3-1</v>
      </c>
      <c r="D63" s="761">
        <f>EDATE(C63,-3)</f>
        <v>43435</v>
      </c>
      <c r="E63" s="761">
        <f>EDATE(D63,-3)</f>
        <v>43344</v>
      </c>
      <c r="F63" s="761">
        <f t="shared" ref="F63:O63" si="18">EDATE(E63,-3)</f>
        <v>43252</v>
      </c>
      <c r="G63" s="761">
        <f t="shared" si="18"/>
        <v>43160</v>
      </c>
      <c r="H63" s="761">
        <f t="shared" si="18"/>
        <v>43070</v>
      </c>
      <c r="I63" s="761">
        <f t="shared" si="18"/>
        <v>42979</v>
      </c>
      <c r="J63" s="761">
        <f t="shared" si="18"/>
        <v>42887</v>
      </c>
      <c r="K63" s="761">
        <f t="shared" si="18"/>
        <v>42795</v>
      </c>
      <c r="L63" s="761">
        <f t="shared" si="18"/>
        <v>42705</v>
      </c>
      <c r="M63" s="761">
        <f t="shared" si="18"/>
        <v>42614</v>
      </c>
      <c r="N63" s="761">
        <f t="shared" si="18"/>
        <v>42522</v>
      </c>
      <c r="O63" s="761">
        <f t="shared" si="18"/>
        <v>42430</v>
      </c>
    </row>
    <row r="64" spans="1:17" ht="21.75" thickBot="1">
      <c r="A64" s="763" t="s">
        <v>2665</v>
      </c>
      <c r="B64" s="759"/>
      <c r="C64" s="764"/>
      <c r="D64" s="764"/>
      <c r="E64" s="764"/>
      <c r="F64" s="765"/>
      <c r="G64" s="765"/>
      <c r="H64" s="764"/>
      <c r="I64" s="764"/>
      <c r="J64" s="764"/>
      <c r="K64" s="766"/>
      <c r="L64" s="767"/>
      <c r="M64" s="764"/>
      <c r="N64" s="764"/>
      <c r="O64" s="1162"/>
      <c r="P64" s="503"/>
      <c r="Q64" s="504"/>
    </row>
    <row r="65" spans="1:17" s="508" customFormat="1" ht="15">
      <c r="A65" s="2714" t="s">
        <v>2773</v>
      </c>
      <c r="B65" s="1362"/>
      <c r="C65" s="1575" t="str">
        <f>YEAR(C63)&amp;"-"&amp;ROUNDUP(MONTH(C63)/3,0)</f>
        <v>2019-1</v>
      </c>
      <c r="D65" s="1575" t="str">
        <f t="shared" ref="D65:O65" si="19">YEAR(D63)&amp;"-"&amp;ROUNDUP(MONTH(D63)/3,0)</f>
        <v>2018-4</v>
      </c>
      <c r="E65" s="1575" t="str">
        <f t="shared" si="19"/>
        <v>2018-3</v>
      </c>
      <c r="F65" s="1575" t="str">
        <f t="shared" si="19"/>
        <v>2018-2</v>
      </c>
      <c r="G65" s="1575" t="str">
        <f t="shared" si="19"/>
        <v>2018-1</v>
      </c>
      <c r="H65" s="1575" t="str">
        <f t="shared" si="19"/>
        <v>2017-4</v>
      </c>
      <c r="I65" s="1575" t="str">
        <f t="shared" si="19"/>
        <v>2017-3</v>
      </c>
      <c r="J65" s="1575" t="str">
        <f t="shared" si="19"/>
        <v>2017-2</v>
      </c>
      <c r="K65" s="1575" t="str">
        <f t="shared" si="19"/>
        <v>2017-1</v>
      </c>
      <c r="L65" s="1575" t="str">
        <f t="shared" si="19"/>
        <v>2016-4</v>
      </c>
      <c r="M65" s="1575" t="str">
        <f t="shared" si="19"/>
        <v>2016-3</v>
      </c>
      <c r="N65" s="1575" t="str">
        <f t="shared" si="19"/>
        <v>2016-2</v>
      </c>
      <c r="O65" s="1575" t="str">
        <f t="shared" si="19"/>
        <v>2016-1</v>
      </c>
      <c r="P65" s="507"/>
    </row>
    <row r="66" spans="1:17" s="117" customFormat="1" ht="30.75" customHeight="1">
      <c r="A66" s="2718" t="s">
        <v>2791</v>
      </c>
      <c r="B66" s="332" t="str">
        <f>"北京市平均增长率"&amp;TEXT(基准地价修正!P24,"0.00%")</f>
        <v>北京市平均增长率1.36%</v>
      </c>
      <c r="C66" s="603">
        <v>100</v>
      </c>
      <c r="D66" s="595">
        <f>C66-1</f>
        <v>99</v>
      </c>
      <c r="E66" s="595">
        <f t="shared" ref="E66:O66" si="20">D66-1</f>
        <v>98</v>
      </c>
      <c r="F66" s="595">
        <f t="shared" si="20"/>
        <v>97</v>
      </c>
      <c r="G66" s="595">
        <f t="shared" si="20"/>
        <v>96</v>
      </c>
      <c r="H66" s="595">
        <f t="shared" si="20"/>
        <v>95</v>
      </c>
      <c r="I66" s="595">
        <f t="shared" si="20"/>
        <v>94</v>
      </c>
      <c r="J66" s="595">
        <f t="shared" si="20"/>
        <v>93</v>
      </c>
      <c r="K66" s="595">
        <f t="shared" si="20"/>
        <v>92</v>
      </c>
      <c r="L66" s="595">
        <f t="shared" si="20"/>
        <v>91</v>
      </c>
      <c r="M66" s="595">
        <f t="shared" si="20"/>
        <v>90</v>
      </c>
      <c r="N66" s="595">
        <f t="shared" si="20"/>
        <v>89</v>
      </c>
      <c r="O66" s="595">
        <f t="shared" si="20"/>
        <v>88</v>
      </c>
      <c r="P66" s="504"/>
    </row>
    <row r="67" spans="1:17" s="117" customFormat="1" ht="15.75" thickBot="1">
      <c r="A67" s="515" t="s">
        <v>2576</v>
      </c>
      <c r="B67" s="516"/>
      <c r="C67" s="517"/>
      <c r="D67" s="518"/>
      <c r="E67" s="518"/>
      <c r="F67" s="518"/>
      <c r="G67" s="518"/>
      <c r="H67" s="518"/>
      <c r="I67" s="518"/>
      <c r="J67" s="518"/>
      <c r="K67" s="518"/>
      <c r="L67" s="518"/>
      <c r="M67" s="519"/>
      <c r="N67" s="519"/>
      <c r="O67" s="520"/>
      <c r="P67" s="504"/>
      <c r="Q67" s="504"/>
    </row>
    <row r="68" spans="1:17" s="117" customFormat="1" ht="15">
      <c r="A68" s="521" t="s">
        <v>2541</v>
      </c>
      <c r="B68" s="510"/>
      <c r="C68" s="522" t="s">
        <v>2643</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2579</v>
      </c>
      <c r="B70" s="528" t="s">
        <v>2545</v>
      </c>
      <c r="C70" s="2942" t="s">
        <v>3063</v>
      </c>
      <c r="D70" s="530"/>
      <c r="E70" s="530"/>
      <c r="F70" s="530"/>
      <c r="G70" s="530"/>
      <c r="H70" s="530"/>
      <c r="I70" s="530"/>
      <c r="J70" s="530"/>
      <c r="K70" s="531"/>
      <c r="L70" s="532"/>
      <c r="M70" s="533"/>
      <c r="N70" s="1155"/>
      <c r="O70" s="1155"/>
      <c r="P70" s="45"/>
      <c r="Q70" s="504"/>
    </row>
    <row r="71" spans="1:17" ht="15.75" thickBot="1">
      <c r="A71" s="534"/>
      <c r="B71" s="535"/>
      <c r="C71" s="536">
        <v>100</v>
      </c>
      <c r="D71" s="536"/>
      <c r="E71" s="536"/>
      <c r="F71" s="536"/>
      <c r="G71" s="536"/>
      <c r="H71" s="536"/>
      <c r="I71" s="536"/>
      <c r="J71" s="536"/>
      <c r="K71" s="536"/>
      <c r="L71" s="536"/>
      <c r="M71" s="537"/>
      <c r="N71" s="1156"/>
      <c r="O71" s="1156"/>
      <c r="P71" s="45"/>
      <c r="Q71" s="504"/>
    </row>
    <row r="72" spans="1:17" ht="27.75" thickTop="1">
      <c r="A72" s="534"/>
      <c r="B72" s="538" t="s">
        <v>2548</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2549</v>
      </c>
      <c r="C74" s="547" t="str">
        <f>C75&amp;"（含）"&amp;"-"&amp;D75</f>
        <v>0（含）-1</v>
      </c>
      <c r="D74" s="547" t="str">
        <f t="shared" ref="D74:L74" si="21">D75&amp;"（含）"&amp;"-"&amp;E75</f>
        <v>1（含）-2</v>
      </c>
      <c r="E74" s="547" t="str">
        <f t="shared" si="21"/>
        <v>2（含）-3</v>
      </c>
      <c r="F74" s="547" t="str">
        <f t="shared" si="21"/>
        <v>3（含）-</v>
      </c>
      <c r="G74" s="547" t="str">
        <f t="shared" si="21"/>
        <v>（含）-</v>
      </c>
      <c r="H74" s="547" t="str">
        <f t="shared" si="21"/>
        <v>（含）-</v>
      </c>
      <c r="I74" s="547" t="str">
        <f t="shared" si="21"/>
        <v>（含）-</v>
      </c>
      <c r="J74" s="547" t="str">
        <f t="shared" si="21"/>
        <v>（含）-</v>
      </c>
      <c r="K74" s="547" t="str">
        <f t="shared" si="21"/>
        <v>（含）-</v>
      </c>
      <c r="L74" s="547" t="str">
        <f t="shared" si="21"/>
        <v>（含）-</v>
      </c>
      <c r="M74" s="448" t="str">
        <f>M75&amp;"（含）"&amp;"-"&amp;P75</f>
        <v>（含）-</v>
      </c>
      <c r="N74" s="1156"/>
      <c r="O74" s="1156"/>
      <c r="P74" s="45"/>
      <c r="Q74" s="504"/>
    </row>
    <row r="75" spans="1:17" ht="15">
      <c r="A75" s="534"/>
      <c r="B75" s="548"/>
      <c r="C75" s="549">
        <v>0</v>
      </c>
      <c r="D75" s="549">
        <v>1</v>
      </c>
      <c r="E75" s="549">
        <v>2</v>
      </c>
      <c r="F75" s="549">
        <v>3</v>
      </c>
      <c r="G75" s="549"/>
      <c r="H75" s="549"/>
      <c r="I75" s="549"/>
      <c r="J75" s="549"/>
      <c r="K75" s="550"/>
      <c r="L75" s="551"/>
      <c r="M75" s="552"/>
      <c r="N75" s="1155"/>
      <c r="O75" s="1155"/>
      <c r="P75" s="45"/>
      <c r="Q75" s="504"/>
    </row>
    <row r="76" spans="1:17" ht="15.75" thickBot="1">
      <c r="A76" s="534"/>
      <c r="B76" s="535"/>
      <c r="C76" s="544">
        <v>100</v>
      </c>
      <c r="D76" s="544">
        <f>IF($B$41="单位面积地价",C76+$K11,C76-$K11)</f>
        <v>101</v>
      </c>
      <c r="E76" s="544">
        <f t="shared" ref="E76:M76" si="22">IF($B$41="单位面积地价",D76+$K11,D76-$K11)</f>
        <v>102</v>
      </c>
      <c r="F76" s="544">
        <f t="shared" si="22"/>
        <v>103</v>
      </c>
      <c r="G76" s="544">
        <f t="shared" si="22"/>
        <v>104</v>
      </c>
      <c r="H76" s="544">
        <f t="shared" si="22"/>
        <v>105</v>
      </c>
      <c r="I76" s="544">
        <f t="shared" si="22"/>
        <v>106</v>
      </c>
      <c r="J76" s="544">
        <f t="shared" si="22"/>
        <v>107</v>
      </c>
      <c r="K76" s="544">
        <f t="shared" si="22"/>
        <v>108</v>
      </c>
      <c r="L76" s="544">
        <f t="shared" si="22"/>
        <v>109</v>
      </c>
      <c r="M76" s="544">
        <f t="shared" si="22"/>
        <v>110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2550</v>
      </c>
      <c r="B83" s="528" t="s">
        <v>2696</v>
      </c>
      <c r="C83" s="573" t="s">
        <v>2588</v>
      </c>
      <c r="D83" s="573" t="s">
        <v>2589</v>
      </c>
      <c r="E83" s="573" t="s">
        <v>2590</v>
      </c>
      <c r="F83" s="573" t="s">
        <v>2591</v>
      </c>
      <c r="G83" s="573" t="s">
        <v>2592</v>
      </c>
      <c r="H83" s="529"/>
      <c r="I83" s="529"/>
      <c r="J83" s="529"/>
      <c r="K83" s="574"/>
      <c r="L83" s="575"/>
      <c r="M83" s="576"/>
      <c r="N83" s="1155"/>
      <c r="O83" s="1155"/>
      <c r="P83" s="577"/>
      <c r="Q83" s="504"/>
    </row>
    <row r="84" spans="1:17" ht="15.75" thickBot="1">
      <c r="A84" s="534"/>
      <c r="B84" s="543"/>
      <c r="C84" s="544">
        <v>100</v>
      </c>
      <c r="D84" s="544">
        <f>C84-$K15</f>
        <v>98</v>
      </c>
      <c r="E84" s="544">
        <f>D84-$K15</f>
        <v>96</v>
      </c>
      <c r="F84" s="544">
        <f>E84-$K15</f>
        <v>94</v>
      </c>
      <c r="G84" s="544">
        <f>F84-$K15</f>
        <v>92</v>
      </c>
      <c r="H84" s="544"/>
      <c r="I84" s="544"/>
      <c r="J84" s="544"/>
      <c r="K84" s="544"/>
      <c r="L84" s="544"/>
      <c r="M84" s="545"/>
      <c r="N84" s="1156"/>
      <c r="O84" s="1156"/>
      <c r="P84" s="45"/>
      <c r="Q84" s="504"/>
    </row>
    <row r="85" spans="1:17" ht="15.75" thickTop="1">
      <c r="A85" s="534"/>
      <c r="B85" s="538" t="s">
        <v>2593</v>
      </c>
      <c r="C85" s="578" t="s">
        <v>2588</v>
      </c>
      <c r="D85" s="578" t="s">
        <v>2589</v>
      </c>
      <c r="E85" s="578" t="s">
        <v>2590</v>
      </c>
      <c r="F85" s="578" t="s">
        <v>2591</v>
      </c>
      <c r="G85" s="578" t="s">
        <v>2592</v>
      </c>
      <c r="H85" s="539"/>
      <c r="I85" s="539"/>
      <c r="J85" s="539"/>
      <c r="K85" s="540"/>
      <c r="L85" s="541"/>
      <c r="M85" s="542"/>
      <c r="N85" s="1155"/>
      <c r="O85" s="1155"/>
      <c r="P85" s="45"/>
      <c r="Q85" s="504"/>
    </row>
    <row r="86" spans="1:17" ht="15.75" thickBot="1">
      <c r="A86" s="534"/>
      <c r="B86" s="543"/>
      <c r="C86" s="544">
        <v>100</v>
      </c>
      <c r="D86" s="544">
        <f>C86-$K17</f>
        <v>98</v>
      </c>
      <c r="E86" s="544">
        <f>D86-$K17</f>
        <v>96</v>
      </c>
      <c r="F86" s="544">
        <f>E86-$K17</f>
        <v>94</v>
      </c>
      <c r="G86" s="544">
        <f>F86-$K17</f>
        <v>92</v>
      </c>
      <c r="H86" s="544"/>
      <c r="I86" s="544"/>
      <c r="J86" s="544"/>
      <c r="K86" s="544"/>
      <c r="L86" s="544"/>
      <c r="M86" s="545"/>
      <c r="N86" s="1156"/>
      <c r="O86" s="1156"/>
      <c r="P86" s="45"/>
      <c r="Q86" s="504"/>
    </row>
    <row r="87" spans="1:17" s="117" customFormat="1" ht="15.75" thickTop="1">
      <c r="A87" s="579"/>
      <c r="B87" s="538" t="s">
        <v>2776</v>
      </c>
      <c r="C87" s="573" t="s">
        <v>2588</v>
      </c>
      <c r="D87" s="573" t="s">
        <v>2589</v>
      </c>
      <c r="E87" s="573" t="s">
        <v>2590</v>
      </c>
      <c r="F87" s="573" t="s">
        <v>2591</v>
      </c>
      <c r="G87" s="573" t="s">
        <v>2592</v>
      </c>
      <c r="H87" s="578"/>
      <c r="I87" s="578"/>
      <c r="J87" s="578"/>
      <c r="K87" s="578"/>
      <c r="L87" s="698"/>
      <c r="M87" s="622"/>
      <c r="N87" s="1154"/>
      <c r="O87" s="1154"/>
      <c r="P87" s="45"/>
      <c r="Q87" s="504"/>
    </row>
    <row r="88" spans="1:17" s="117" customFormat="1" ht="15.75" thickBot="1">
      <c r="A88" s="579"/>
      <c r="B88" s="543"/>
      <c r="C88" s="582">
        <v>100</v>
      </c>
      <c r="D88" s="544">
        <f>C88-$K19</f>
        <v>98</v>
      </c>
      <c r="E88" s="544">
        <f>D88-$K19</f>
        <v>96</v>
      </c>
      <c r="F88" s="544">
        <f>E88-$K19</f>
        <v>94</v>
      </c>
      <c r="G88" s="544">
        <f>F88-$K19</f>
        <v>92</v>
      </c>
      <c r="H88" s="544"/>
      <c r="I88" s="544"/>
      <c r="J88" s="544"/>
      <c r="K88" s="544"/>
      <c r="L88" s="544"/>
      <c r="M88" s="545"/>
      <c r="N88" s="1156"/>
      <c r="O88" s="1156"/>
      <c r="P88" s="45"/>
      <c r="Q88" s="504"/>
    </row>
    <row r="89" spans="1:17" s="117" customFormat="1" ht="27.75" thickTop="1">
      <c r="A89" s="579"/>
      <c r="B89" s="538" t="s">
        <v>2777</v>
      </c>
      <c r="C89" s="573" t="s">
        <v>2588</v>
      </c>
      <c r="D89" s="573" t="s">
        <v>2589</v>
      </c>
      <c r="E89" s="573" t="s">
        <v>2590</v>
      </c>
      <c r="F89" s="573" t="s">
        <v>2591</v>
      </c>
      <c r="G89" s="573" t="s">
        <v>2592</v>
      </c>
      <c r="H89" s="578"/>
      <c r="I89" s="578"/>
      <c r="J89" s="578"/>
      <c r="K89" s="578"/>
      <c r="L89" s="578"/>
      <c r="M89" s="622"/>
      <c r="N89" s="1154"/>
      <c r="O89" s="1154"/>
      <c r="P89" s="45"/>
      <c r="Q89" s="504"/>
    </row>
    <row r="90" spans="1:17" s="117" customFormat="1" ht="15.75" thickBot="1">
      <c r="A90" s="579"/>
      <c r="B90" s="543"/>
      <c r="C90" s="544">
        <v>100</v>
      </c>
      <c r="D90" s="544">
        <f>C90-$K21</f>
        <v>98</v>
      </c>
      <c r="E90" s="544">
        <f>D90-$K21</f>
        <v>96</v>
      </c>
      <c r="F90" s="544">
        <f>E90-$K21</f>
        <v>94</v>
      </c>
      <c r="G90" s="544">
        <f>F90-$K21</f>
        <v>92</v>
      </c>
      <c r="H90" s="544"/>
      <c r="I90" s="544"/>
      <c r="J90" s="544"/>
      <c r="K90" s="544"/>
      <c r="L90" s="544"/>
      <c r="M90" s="545"/>
      <c r="N90" s="1156"/>
      <c r="O90" s="1156"/>
      <c r="P90" s="45"/>
      <c r="Q90" s="504"/>
    </row>
    <row r="91" spans="1:17" s="471" customFormat="1" ht="15.75" thickTop="1">
      <c r="A91" s="553"/>
      <c r="B91" s="538" t="s">
        <v>2645</v>
      </c>
      <c r="C91" s="573" t="s">
        <v>2588</v>
      </c>
      <c r="D91" s="573" t="s">
        <v>2589</v>
      </c>
      <c r="E91" s="573" t="s">
        <v>2590</v>
      </c>
      <c r="F91" s="573" t="s">
        <v>2591</v>
      </c>
      <c r="G91" s="573" t="s">
        <v>2592</v>
      </c>
      <c r="H91" s="600"/>
      <c r="I91" s="600"/>
      <c r="J91" s="600"/>
      <c r="K91" s="600"/>
      <c r="L91" s="601"/>
      <c r="M91" s="602"/>
      <c r="N91" s="1157"/>
      <c r="O91" s="1157"/>
      <c r="P91" s="558"/>
      <c r="Q91" s="559"/>
    </row>
    <row r="92" spans="1:17" s="471" customFormat="1" ht="15.75" thickBot="1">
      <c r="A92" s="553"/>
      <c r="B92" s="543"/>
      <c r="C92" s="544">
        <v>100</v>
      </c>
      <c r="D92" s="544">
        <f>C92-$K23</f>
        <v>98</v>
      </c>
      <c r="E92" s="544">
        <f>D92-$K23</f>
        <v>96</v>
      </c>
      <c r="F92" s="544">
        <f>E92-$K23</f>
        <v>94</v>
      </c>
      <c r="G92" s="544">
        <f>F92-$K23</f>
        <v>92</v>
      </c>
      <c r="H92" s="607"/>
      <c r="I92" s="607"/>
      <c r="J92" s="607"/>
      <c r="K92" s="607"/>
      <c r="L92" s="607"/>
      <c r="M92" s="608"/>
      <c r="N92" s="1157"/>
      <c r="O92" s="1157"/>
      <c r="P92" s="558"/>
      <c r="Q92" s="559"/>
    </row>
    <row r="93" spans="1:17" s="471" customFormat="1" ht="15.75" thickTop="1">
      <c r="A93" s="553"/>
      <c r="B93" s="546" t="s">
        <v>2792</v>
      </c>
      <c r="C93" s="660" t="s">
        <v>2666</v>
      </c>
      <c r="D93" s="660" t="s">
        <v>2667</v>
      </c>
      <c r="E93" s="660" t="s">
        <v>2668</v>
      </c>
      <c r="F93" s="660" t="s">
        <v>2669</v>
      </c>
      <c r="G93" s="660" t="s">
        <v>2670</v>
      </c>
      <c r="H93" s="600"/>
      <c r="I93" s="600"/>
      <c r="J93" s="600"/>
      <c r="K93" s="600"/>
      <c r="L93" s="600"/>
      <c r="M93" s="602"/>
      <c r="N93" s="1157"/>
      <c r="O93" s="1157"/>
      <c r="P93" s="558"/>
      <c r="Q93" s="559"/>
    </row>
    <row r="94" spans="1:17" s="471" customFormat="1" ht="15.75" thickBot="1">
      <c r="A94" s="553"/>
      <c r="B94" s="546"/>
      <c r="C94" s="544">
        <v>100</v>
      </c>
      <c r="D94" s="544">
        <f>C94-$K25</f>
        <v>98</v>
      </c>
      <c r="E94" s="544">
        <f>D94-$K25</f>
        <v>96</v>
      </c>
      <c r="F94" s="544">
        <f>E94-$K25</f>
        <v>94</v>
      </c>
      <c r="G94" s="544">
        <f>F94-$K25</f>
        <v>92</v>
      </c>
      <c r="H94" s="548"/>
      <c r="I94" s="548"/>
      <c r="J94" s="548"/>
      <c r="K94" s="548"/>
      <c r="L94" s="548"/>
      <c r="M94" s="1388"/>
      <c r="N94" s="1157"/>
      <c r="O94" s="1157"/>
      <c r="P94" s="558"/>
      <c r="Q94" s="559"/>
    </row>
    <row r="95" spans="1:17" ht="15.75" thickTop="1">
      <c r="A95" s="534"/>
      <c r="B95" s="538" t="str">
        <f>B27</f>
        <v>临街状况</v>
      </c>
      <c r="C95" s="539" t="s">
        <v>2778</v>
      </c>
      <c r="D95" s="539" t="s">
        <v>2779</v>
      </c>
      <c r="E95" s="539" t="s">
        <v>2780</v>
      </c>
      <c r="F95" s="539" t="s">
        <v>2781</v>
      </c>
      <c r="G95" s="539"/>
      <c r="H95" s="539"/>
      <c r="I95" s="539"/>
      <c r="J95" s="539"/>
      <c r="K95" s="540"/>
      <c r="L95" s="541"/>
      <c r="M95" s="542"/>
      <c r="N95" s="1155"/>
      <c r="O95" s="1155"/>
      <c r="P95" s="45"/>
      <c r="Q95" s="504"/>
    </row>
    <row r="96" spans="1:17" ht="15.75" thickBot="1">
      <c r="A96" s="534"/>
      <c r="B96" s="543"/>
      <c r="C96" s="544">
        <v>100</v>
      </c>
      <c r="D96" s="544">
        <f t="shared" ref="D96:M96" si="23">C96-$K27</f>
        <v>99</v>
      </c>
      <c r="E96" s="544">
        <f t="shared" si="23"/>
        <v>98</v>
      </c>
      <c r="F96" s="544">
        <f t="shared" si="23"/>
        <v>97</v>
      </c>
      <c r="G96" s="544">
        <f t="shared" si="23"/>
        <v>96</v>
      </c>
      <c r="H96" s="544">
        <f t="shared" si="23"/>
        <v>95</v>
      </c>
      <c r="I96" s="544">
        <f t="shared" si="23"/>
        <v>94</v>
      </c>
      <c r="J96" s="544">
        <f t="shared" si="23"/>
        <v>93</v>
      </c>
      <c r="K96" s="544">
        <f t="shared" si="23"/>
        <v>92</v>
      </c>
      <c r="L96" s="544">
        <f t="shared" si="23"/>
        <v>91</v>
      </c>
      <c r="M96" s="544">
        <f t="shared" si="23"/>
        <v>90</v>
      </c>
      <c r="N96" s="1156"/>
      <c r="O96" s="1156"/>
      <c r="P96" s="45"/>
      <c r="Q96" s="504"/>
    </row>
    <row r="97" spans="1:17" ht="27.75" thickTop="1">
      <c r="A97" s="534"/>
      <c r="B97" s="538" t="s">
        <v>2682</v>
      </c>
      <c r="C97" s="2943" t="s">
        <v>3069</v>
      </c>
      <c r="D97" s="2943" t="s">
        <v>3070</v>
      </c>
      <c r="E97" s="2943" t="s">
        <v>3071</v>
      </c>
      <c r="F97" s="2943" t="s">
        <v>3072</v>
      </c>
      <c r="G97" s="2943" t="s">
        <v>3073</v>
      </c>
      <c r="H97" s="583"/>
      <c r="I97" s="583"/>
      <c r="J97" s="583"/>
      <c r="K97" s="584"/>
      <c r="L97" s="585"/>
      <c r="M97" s="586"/>
      <c r="N97" s="1155"/>
      <c r="O97" s="1155"/>
      <c r="P97" s="45"/>
      <c r="Q97" s="504"/>
    </row>
    <row r="98" spans="1:17" ht="15.75" thickBot="1">
      <c r="A98" s="534"/>
      <c r="B98" s="543"/>
      <c r="C98" s="544">
        <v>100</v>
      </c>
      <c r="D98" s="544">
        <f t="shared" ref="D98:M98" si="24">C98-$K28</f>
        <v>99</v>
      </c>
      <c r="E98" s="544">
        <f t="shared" si="24"/>
        <v>98</v>
      </c>
      <c r="F98" s="544">
        <f t="shared" si="24"/>
        <v>97</v>
      </c>
      <c r="G98" s="544">
        <f t="shared" si="24"/>
        <v>96</v>
      </c>
      <c r="H98" s="544">
        <f t="shared" si="24"/>
        <v>95</v>
      </c>
      <c r="I98" s="544">
        <f t="shared" si="24"/>
        <v>94</v>
      </c>
      <c r="J98" s="544">
        <f t="shared" si="24"/>
        <v>93</v>
      </c>
      <c r="K98" s="544">
        <f t="shared" si="24"/>
        <v>92</v>
      </c>
      <c r="L98" s="544">
        <f t="shared" si="24"/>
        <v>91</v>
      </c>
      <c r="M98" s="544">
        <f t="shared" si="24"/>
        <v>90</v>
      </c>
      <c r="N98" s="1156"/>
      <c r="O98" s="1156"/>
      <c r="P98" s="45"/>
      <c r="Q98" s="504"/>
    </row>
    <row r="99" spans="1:17" ht="15.75" thickTop="1">
      <c r="A99" s="534"/>
      <c r="B99" s="538" t="s">
        <v>2741</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5">C100-$K30</f>
        <v>98</v>
      </c>
      <c r="E100" s="544">
        <f t="shared" si="25"/>
        <v>96</v>
      </c>
      <c r="F100" s="544">
        <f t="shared" si="25"/>
        <v>94</v>
      </c>
      <c r="G100" s="544">
        <f t="shared" si="25"/>
        <v>92</v>
      </c>
      <c r="H100" s="544">
        <f t="shared" si="25"/>
        <v>90</v>
      </c>
      <c r="I100" s="544">
        <f t="shared" si="25"/>
        <v>88</v>
      </c>
      <c r="J100" s="544">
        <f t="shared" si="25"/>
        <v>86</v>
      </c>
      <c r="K100" s="544">
        <f t="shared" si="25"/>
        <v>84</v>
      </c>
      <c r="L100" s="544">
        <f t="shared" si="25"/>
        <v>82</v>
      </c>
      <c r="M100" s="544">
        <f t="shared" si="25"/>
        <v>80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ht="28.5">
      <c r="A107" s="527" t="s">
        <v>2554</v>
      </c>
      <c r="B107" s="528" t="s">
        <v>2782</v>
      </c>
      <c r="C107" s="529" t="str">
        <f t="shared" ref="C107:L107" si="26">C108&amp;"(含)"&amp;"-"&amp;D108</f>
        <v>0(含)-10000</v>
      </c>
      <c r="D107" s="529" t="str">
        <f t="shared" si="26"/>
        <v>10000(含)-20000</v>
      </c>
      <c r="E107" s="529" t="str">
        <f t="shared" si="26"/>
        <v>20000(含)-30000</v>
      </c>
      <c r="F107" s="529" t="str">
        <f t="shared" si="26"/>
        <v>30000(含)-40000</v>
      </c>
      <c r="G107" s="529" t="str">
        <f t="shared" si="26"/>
        <v>40000(含)-50000</v>
      </c>
      <c r="H107" s="529" t="str">
        <f t="shared" si="26"/>
        <v>50000(含)-</v>
      </c>
      <c r="I107" s="529" t="str">
        <f t="shared" si="26"/>
        <v>(含)-</v>
      </c>
      <c r="J107" s="529" t="str">
        <f t="shared" si="26"/>
        <v>(含)-</v>
      </c>
      <c r="K107" s="1769" t="str">
        <f t="shared" si="26"/>
        <v>(含)-</v>
      </c>
      <c r="L107" s="1769" t="str">
        <f t="shared" si="26"/>
        <v>(含)-</v>
      </c>
      <c r="M107" s="1770" t="str">
        <f>M108&amp;"(含)"&amp;"-"&amp;P108</f>
        <v>(含)-</v>
      </c>
      <c r="N107" s="1155"/>
      <c r="O107" s="1155"/>
      <c r="P107" s="45"/>
      <c r="Q107" s="504"/>
    </row>
    <row r="108" spans="1:17" ht="15">
      <c r="A108" s="534"/>
      <c r="B108" s="546"/>
      <c r="C108" s="595">
        <v>0</v>
      </c>
      <c r="D108" s="595">
        <v>10000</v>
      </c>
      <c r="E108" s="595">
        <v>20000</v>
      </c>
      <c r="F108" s="595">
        <v>30000</v>
      </c>
      <c r="G108" s="595">
        <v>40000</v>
      </c>
      <c r="H108" s="595">
        <v>50000</v>
      </c>
      <c r="I108" s="595"/>
      <c r="J108" s="596"/>
      <c r="K108" s="596"/>
      <c r="L108" s="597"/>
      <c r="M108" s="598"/>
      <c r="N108" s="1155"/>
      <c r="O108" s="1155"/>
      <c r="P108" s="45"/>
      <c r="Q108" s="504"/>
    </row>
    <row r="109" spans="1:17" ht="15.75" thickBot="1">
      <c r="A109" s="534"/>
      <c r="B109" s="543"/>
      <c r="C109" s="570">
        <v>100</v>
      </c>
      <c r="D109" s="591">
        <v>99</v>
      </c>
      <c r="E109" s="591">
        <v>98</v>
      </c>
      <c r="F109" s="591">
        <v>97</v>
      </c>
      <c r="G109" s="591">
        <v>96</v>
      </c>
      <c r="H109" s="591">
        <v>95</v>
      </c>
      <c r="I109" s="591"/>
      <c r="J109" s="591"/>
      <c r="K109" s="591"/>
      <c r="L109" s="591"/>
      <c r="M109" s="592"/>
      <c r="N109" s="1156"/>
      <c r="O109" s="1156"/>
      <c r="P109" s="45"/>
      <c r="Q109" s="504"/>
    </row>
    <row r="110" spans="1:17" ht="15" thickTop="1">
      <c r="A110" s="599"/>
      <c r="B110" s="538" t="s">
        <v>2783</v>
      </c>
      <c r="C110" s="2944" t="s">
        <v>3074</v>
      </c>
      <c r="D110" s="2944" t="s">
        <v>3076</v>
      </c>
      <c r="E110" s="2944" t="s">
        <v>3078</v>
      </c>
      <c r="F110" s="2944" t="s">
        <v>3077</v>
      </c>
      <c r="G110" s="583"/>
      <c r="H110" s="583"/>
      <c r="I110" s="583"/>
      <c r="J110" s="583"/>
      <c r="K110" s="584"/>
      <c r="L110" s="585"/>
      <c r="M110" s="586"/>
      <c r="N110" s="1155"/>
      <c r="O110" s="1155"/>
      <c r="P110" s="45"/>
      <c r="Q110" s="504"/>
    </row>
    <row r="111" spans="1:17" ht="15.75" thickBot="1">
      <c r="A111" s="534"/>
      <c r="B111" s="543"/>
      <c r="C111" s="544">
        <v>100</v>
      </c>
      <c r="D111" s="544">
        <f t="shared" ref="D111:M111" si="27">C111-$K35</f>
        <v>98</v>
      </c>
      <c r="E111" s="544">
        <f t="shared" si="27"/>
        <v>96</v>
      </c>
      <c r="F111" s="544">
        <f t="shared" si="27"/>
        <v>94</v>
      </c>
      <c r="G111" s="544">
        <f t="shared" si="27"/>
        <v>92</v>
      </c>
      <c r="H111" s="544">
        <f t="shared" si="27"/>
        <v>90</v>
      </c>
      <c r="I111" s="544">
        <f t="shared" si="27"/>
        <v>88</v>
      </c>
      <c r="J111" s="544">
        <f t="shared" si="27"/>
        <v>86</v>
      </c>
      <c r="K111" s="544">
        <f t="shared" si="27"/>
        <v>84</v>
      </c>
      <c r="L111" s="544">
        <f t="shared" si="27"/>
        <v>82</v>
      </c>
      <c r="M111" s="545">
        <f t="shared" si="27"/>
        <v>80</v>
      </c>
      <c r="N111" s="1156"/>
      <c r="O111" s="1156"/>
      <c r="P111" s="45"/>
      <c r="Q111" s="504"/>
    </row>
    <row r="112" spans="1:17" s="471" customFormat="1" ht="15" thickTop="1">
      <c r="A112" s="593"/>
      <c r="B112" s="538" t="s">
        <v>2785</v>
      </c>
      <c r="C112" s="554" t="s">
        <v>3079</v>
      </c>
      <c r="D112" s="554" t="s">
        <v>3080</v>
      </c>
      <c r="E112" s="554" t="s">
        <v>3067</v>
      </c>
      <c r="F112" s="554" t="s">
        <v>3081</v>
      </c>
      <c r="G112" s="554" t="s">
        <v>3082</v>
      </c>
      <c r="H112" s="583"/>
      <c r="I112" s="583"/>
      <c r="J112" s="583"/>
      <c r="K112" s="584"/>
      <c r="L112" s="585"/>
      <c r="M112" s="586"/>
      <c r="N112" s="1157"/>
      <c r="O112" s="1157"/>
      <c r="P112" s="558"/>
      <c r="Q112" s="559"/>
    </row>
    <row r="113" spans="1:17" s="471" customFormat="1" ht="15.75" thickBot="1">
      <c r="A113" s="553"/>
      <c r="B113" s="543"/>
      <c r="C113" s="544">
        <v>100</v>
      </c>
      <c r="D113" s="544">
        <f t="shared" ref="D113:M113" si="28">C113-$K36</f>
        <v>98</v>
      </c>
      <c r="E113" s="544">
        <f t="shared" si="28"/>
        <v>96</v>
      </c>
      <c r="F113" s="544">
        <f t="shared" si="28"/>
        <v>94</v>
      </c>
      <c r="G113" s="544">
        <f t="shared" si="28"/>
        <v>92</v>
      </c>
      <c r="H113" s="544">
        <f t="shared" si="28"/>
        <v>90</v>
      </c>
      <c r="I113" s="544">
        <f t="shared" si="28"/>
        <v>88</v>
      </c>
      <c r="J113" s="544">
        <f t="shared" si="28"/>
        <v>86</v>
      </c>
      <c r="K113" s="544">
        <f t="shared" si="28"/>
        <v>84</v>
      </c>
      <c r="L113" s="544">
        <f t="shared" si="28"/>
        <v>82</v>
      </c>
      <c r="M113" s="545">
        <f t="shared" si="28"/>
        <v>80</v>
      </c>
      <c r="N113" s="1157"/>
      <c r="O113" s="1157"/>
      <c r="P113" s="558"/>
      <c r="Q113" s="559"/>
    </row>
    <row r="114" spans="1:17" ht="15" thickTop="1">
      <c r="A114" s="599"/>
      <c r="B114" s="538" t="s">
        <v>2786</v>
      </c>
      <c r="C114" s="554" t="s">
        <v>3083</v>
      </c>
      <c r="D114" s="554" t="s">
        <v>3065</v>
      </c>
      <c r="E114" s="583" t="s">
        <v>3066</v>
      </c>
      <c r="F114" s="583" t="s">
        <v>3084</v>
      </c>
      <c r="G114" s="583" t="s">
        <v>3085</v>
      </c>
      <c r="H114" s="583"/>
      <c r="I114" s="583"/>
      <c r="J114" s="583"/>
      <c r="K114" s="584"/>
      <c r="L114" s="585"/>
      <c r="M114" s="586"/>
      <c r="N114" s="1155"/>
      <c r="O114" s="1155"/>
      <c r="P114" s="45"/>
      <c r="Q114" s="504"/>
    </row>
    <row r="115" spans="1:17" ht="15.75" thickBot="1">
      <c r="A115" s="534"/>
      <c r="B115" s="543"/>
      <c r="C115" s="544">
        <v>100</v>
      </c>
      <c r="D115" s="544">
        <f t="shared" ref="D115:M115" si="29">C115-$K37</f>
        <v>98</v>
      </c>
      <c r="E115" s="544">
        <f t="shared" si="29"/>
        <v>96</v>
      </c>
      <c r="F115" s="544">
        <f t="shared" si="29"/>
        <v>94</v>
      </c>
      <c r="G115" s="544">
        <f t="shared" si="29"/>
        <v>92</v>
      </c>
      <c r="H115" s="544">
        <f t="shared" si="29"/>
        <v>90</v>
      </c>
      <c r="I115" s="544">
        <f t="shared" si="29"/>
        <v>88</v>
      </c>
      <c r="J115" s="544">
        <f t="shared" si="29"/>
        <v>86</v>
      </c>
      <c r="K115" s="544">
        <f t="shared" si="29"/>
        <v>84</v>
      </c>
      <c r="L115" s="544">
        <f t="shared" si="29"/>
        <v>82</v>
      </c>
      <c r="M115" s="545">
        <f t="shared" si="29"/>
        <v>80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6" zoomScale="90" zoomScaleNormal="90" zoomScaleSheetLayoutView="96" workbookViewId="0">
      <selection activeCell="AN6" sqref="AN6"/>
    </sheetView>
  </sheetViews>
  <sheetFormatPr defaultColWidth="12" defaultRowHeight="12.75"/>
  <cols>
    <col min="1" max="1" width="9.75" style="2798" customWidth="1"/>
    <col min="2" max="2" width="19.25" style="2904" customWidth="1"/>
    <col min="3" max="4" width="12" style="2722"/>
    <col min="5" max="5" width="14.625" style="2722" customWidth="1"/>
    <col min="6" max="8" width="12" style="2722"/>
    <col min="9" max="9" width="12.25" style="2722" bestFit="1" customWidth="1"/>
    <col min="10" max="10" width="12" style="2722"/>
    <col min="11" max="11" width="8.125" style="2790" customWidth="1"/>
    <col min="12" max="12" width="12" style="2722"/>
    <col min="13" max="13" width="8.5" style="2722" customWidth="1"/>
    <col min="14" max="14" width="9.75" style="2722" customWidth="1"/>
    <col min="15" max="25" width="12" style="2722"/>
    <col min="26" max="26" width="9.375" style="2798" customWidth="1"/>
    <col min="27" max="32" width="9.375" style="1375" customWidth="1"/>
    <col min="33" max="36" width="9.375" style="2798" customWidth="1"/>
    <col min="37" max="38" width="9.375" style="2722" customWidth="1"/>
    <col min="39" max="16384" width="12" style="2722"/>
  </cols>
  <sheetData>
    <row r="1" spans="1:36" ht="28.5">
      <c r="A1" s="240" t="s">
        <v>2793</v>
      </c>
      <c r="B1" s="241"/>
      <c r="C1" s="245" t="s">
        <v>2794</v>
      </c>
      <c r="D1" s="388">
        <f>SUM(D29:D30,D33:D39)</f>
        <v>0</v>
      </c>
      <c r="E1" s="2719"/>
      <c r="F1" s="2719"/>
      <c r="G1" s="2719"/>
      <c r="H1" s="2719"/>
      <c r="I1" s="2719"/>
      <c r="J1" s="2719"/>
      <c r="K1" s="1373"/>
      <c r="L1" s="2720" t="s">
        <v>2795</v>
      </c>
      <c r="M1" s="1083">
        <f>SUMPRODUCT((区片价!B5:B9=I2)*(区片价!C3:F3=E2)*(区片价!C5:F9))</f>
        <v>0</v>
      </c>
      <c r="N1" s="1086">
        <f>SUMPRODUCT((因素修正幅度!B5:B9=I2)*(因素修正幅度!C3:F3=E2)*(因素修正幅度!C5:F9))</f>
        <v>0</v>
      </c>
      <c r="O1" s="2721"/>
      <c r="P1" s="2721"/>
      <c r="Q1" s="1373"/>
      <c r="R1" s="1605" t="s">
        <v>2796</v>
      </c>
      <c r="S1" s="1605" t="s">
        <v>2797</v>
      </c>
      <c r="T1" s="1605" t="s">
        <v>2798</v>
      </c>
      <c r="U1" s="1605" t="s">
        <v>2799</v>
      </c>
      <c r="V1" s="1605" t="s">
        <v>2800</v>
      </c>
      <c r="W1" s="1609"/>
      <c r="X1" s="1609"/>
      <c r="Y1" s="1609"/>
      <c r="Z1" s="1609"/>
      <c r="AA1" s="1609"/>
      <c r="AB1" s="1609"/>
      <c r="AC1" s="1610"/>
      <c r="AD1" s="1611"/>
      <c r="AE1" s="1611"/>
      <c r="AF1" s="1611"/>
      <c r="AG1" s="1611"/>
      <c r="AH1" s="1611"/>
      <c r="AI1" s="1611"/>
      <c r="AJ1" s="1612"/>
    </row>
    <row r="2" spans="1:36" ht="15.75">
      <c r="A2" s="245" t="s">
        <v>2801</v>
      </c>
      <c r="B2" s="248" t="e">
        <f>C26</f>
        <v>#DIV/0!</v>
      </c>
      <c r="C2" s="2723" t="s">
        <v>2802</v>
      </c>
      <c r="D2" s="2724" t="s">
        <v>2803</v>
      </c>
      <c r="E2" s="2725"/>
      <c r="F2" s="2724" t="s">
        <v>2804</v>
      </c>
      <c r="G2" s="2726" t="str">
        <f>IF(E2="商业",项目基本情况!B37,IF(E2="办公",项目基本情况!C37,IF(E2="住宅",项目基本情况!D37,项目基本情况!E37)))</f>
        <v>七级</v>
      </c>
      <c r="H2" s="2724" t="s">
        <v>2805</v>
      </c>
      <c r="I2" s="2726" t="str">
        <f>IF(E2="商业",项目基本情况!B38,IF(E2="办公",项目基本情况!C38,IF(E2="住宅",项目基本情况!D38,项目基本情况!E38)))</f>
        <v>Ⅶ-亦1</v>
      </c>
      <c r="J2" s="2727"/>
      <c r="K2" s="1373"/>
      <c r="L2" s="2728" t="s">
        <v>2806</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1.8629</v>
      </c>
      <c r="T2" s="1605" t="e">
        <f>ROUND($C$5*$C$18*$C$19*$C$20*S2*$C$24,0)</f>
        <v>#DIV/0!</v>
      </c>
      <c r="U2" s="1606"/>
      <c r="V2" s="1605" t="e">
        <f>ROUND(T2*U2/10000,0)</f>
        <v>#DIV/0!</v>
      </c>
      <c r="W2" s="1609"/>
      <c r="X2" s="1609"/>
      <c r="Y2" s="1609"/>
      <c r="Z2" s="1609"/>
      <c r="AA2" s="1609"/>
      <c r="AB2" s="1609"/>
      <c r="AC2" s="1610"/>
      <c r="AD2" s="1611"/>
      <c r="AE2" s="1611"/>
      <c r="AF2" s="1611"/>
      <c r="AG2" s="1611"/>
      <c r="AH2" s="1611"/>
      <c r="AI2" s="1611"/>
      <c r="AJ2" s="1612"/>
    </row>
    <row r="3" spans="1:36" ht="15.75">
      <c r="A3" s="247" t="s">
        <v>2807</v>
      </c>
      <c r="B3" s="248" t="e">
        <f>ROUND(B2*10000/D1,0)</f>
        <v>#DIV/0!</v>
      </c>
      <c r="C3" s="2723" t="s">
        <v>2808</v>
      </c>
      <c r="D3" s="2724" t="s">
        <v>2809</v>
      </c>
      <c r="E3" s="2729"/>
      <c r="F3" s="2730" t="s">
        <v>2810</v>
      </c>
      <c r="G3" s="916">
        <f>IF(F3="宗地容积率",'数据-汇总表'!I4,IF(F3="估价对象容积率",'数据-汇总表'!I6,'数据-汇总表'!I7))</f>
        <v>1.04</v>
      </c>
      <c r="H3" s="198" t="s">
        <v>2811</v>
      </c>
      <c r="I3" s="947"/>
      <c r="J3" s="2727" t="s">
        <v>2812</v>
      </c>
      <c r="K3" s="1373"/>
      <c r="L3" s="2728" t="s">
        <v>2813</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1.3371999999999999</v>
      </c>
      <c r="T3" s="1605" t="e">
        <f t="shared" ref="T3:T16" si="0">ROUND($C$5*$C$18*$C$19*$C$20*S3*$C$24,0)</f>
        <v>#DIV/0!</v>
      </c>
      <c r="U3" s="1606"/>
      <c r="V3" s="1605" t="e">
        <f t="shared" ref="V3:V16" si="1">ROUND(T3*U3/10000,0)</f>
        <v>#DIV/0!</v>
      </c>
      <c r="W3" s="1609"/>
      <c r="X3" s="1609"/>
      <c r="Y3" s="1609"/>
      <c r="Z3" s="1609"/>
      <c r="AA3" s="1609"/>
      <c r="AB3" s="1609"/>
      <c r="AC3" s="1610"/>
      <c r="AD3" s="1611"/>
      <c r="AE3" s="1611"/>
      <c r="AF3" s="1611"/>
      <c r="AG3" s="1611"/>
      <c r="AH3" s="1611"/>
      <c r="AI3" s="1611"/>
      <c r="AJ3" s="1612"/>
    </row>
    <row r="4" spans="1:36" ht="15.75">
      <c r="A4" s="3286"/>
      <c r="B4" s="3287"/>
      <c r="C4" s="3287"/>
      <c r="D4" s="3288"/>
      <c r="E4" s="3288"/>
      <c r="F4" s="3288"/>
      <c r="G4" s="3288"/>
      <c r="H4" s="3288"/>
      <c r="I4" s="3288"/>
      <c r="J4" s="3289"/>
      <c r="K4" s="1373"/>
      <c r="L4" s="2728" t="s">
        <v>2814</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1.0788</v>
      </c>
      <c r="T4" s="1605" t="e">
        <f t="shared" si="0"/>
        <v>#DIV/0!</v>
      </c>
      <c r="U4" s="1606"/>
      <c r="V4" s="1605" t="e">
        <f t="shared" si="1"/>
        <v>#DIV/0!</v>
      </c>
      <c r="W4" s="1609"/>
      <c r="X4" s="1609"/>
      <c r="Y4" s="1609"/>
      <c r="Z4" s="1609"/>
      <c r="AA4" s="1609"/>
      <c r="AB4" s="1609"/>
      <c r="AC4" s="1610"/>
      <c r="AD4" s="1611"/>
      <c r="AE4" s="1611"/>
      <c r="AF4" s="1611"/>
      <c r="AG4" s="1611"/>
      <c r="AH4" s="1611"/>
      <c r="AI4" s="1611"/>
      <c r="AJ4" s="1612"/>
    </row>
    <row r="5" spans="1:36" s="2740" customFormat="1" ht="15.75" thickBot="1">
      <c r="A5" s="2731" t="s">
        <v>807</v>
      </c>
      <c r="B5" s="2732" t="s">
        <v>2815</v>
      </c>
      <c r="C5" s="917" t="e">
        <f>ROUND(IF(E2="商业",IF(F16="增加",C6*C7+C16,C6*C7-C16),IF(E2="住宅",IF(F16="增加",C6*C12+C16,C6*C12-C16),IF(F16="增加",C6+C16,C6-C16))),0)</f>
        <v>#DIV/0!</v>
      </c>
      <c r="D5" s="1790" t="e">
        <f>ROUND(IF(F16="增加",C6+C16,C6-C16),0)</f>
        <v>#DIV/0!</v>
      </c>
      <c r="E5" s="1790"/>
      <c r="F5" s="2733"/>
      <c r="G5" s="2734"/>
      <c r="H5" s="2734"/>
      <c r="I5" s="2734"/>
      <c r="J5" s="2735"/>
      <c r="K5" s="2736"/>
      <c r="L5" s="2728" t="s">
        <v>2816</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0.86560000000000004</v>
      </c>
      <c r="T5" s="1605" t="e">
        <f t="shared" si="0"/>
        <v>#DIV/0!</v>
      </c>
      <c r="U5" s="1606"/>
      <c r="V5" s="1605" t="e">
        <f t="shared" si="1"/>
        <v>#DIV/0!</v>
      </c>
      <c r="W5" s="1609"/>
      <c r="X5" s="1609"/>
      <c r="Y5" s="1609"/>
      <c r="Z5" s="1609"/>
      <c r="AA5" s="1609"/>
      <c r="AB5" s="1609"/>
      <c r="AC5" s="2737"/>
      <c r="AD5" s="2738"/>
      <c r="AE5" s="2738"/>
      <c r="AF5" s="2738"/>
      <c r="AG5" s="2738"/>
      <c r="AH5" s="2738"/>
      <c r="AI5" s="2738"/>
      <c r="AJ5" s="2739"/>
    </row>
    <row r="6" spans="1:36" ht="15.75" thickBot="1">
      <c r="A6" s="2741" t="s">
        <v>2817</v>
      </c>
      <c r="B6" s="2742" t="s">
        <v>2818</v>
      </c>
      <c r="C6" s="918">
        <f>SUMIF(L1:L12,G2,M1:M12)</f>
        <v>0</v>
      </c>
      <c r="D6" s="2743" t="s">
        <v>2819</v>
      </c>
      <c r="E6" s="2744"/>
      <c r="F6" s="2744"/>
      <c r="G6" s="2745"/>
      <c r="H6" s="2745"/>
      <c r="I6" s="2745"/>
      <c r="J6" s="2746"/>
      <c r="K6" s="1845"/>
      <c r="L6" s="2728" t="s">
        <v>2820</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0.73709999999999998</v>
      </c>
      <c r="T6" s="1605" t="e">
        <f t="shared" si="0"/>
        <v>#DIV/0!</v>
      </c>
      <c r="U6" s="1606"/>
      <c r="V6" s="1605" t="e">
        <f t="shared" si="1"/>
        <v>#DIV/0!</v>
      </c>
      <c r="W6" s="1609"/>
      <c r="X6" s="1609"/>
      <c r="Y6" s="1609"/>
      <c r="Z6" s="1609"/>
      <c r="AA6" s="1609"/>
      <c r="AB6" s="1609"/>
      <c r="AC6" s="2737"/>
      <c r="AD6" s="2738"/>
      <c r="AE6" s="2738"/>
      <c r="AF6" s="2738"/>
      <c r="AG6" s="2738"/>
      <c r="AH6" s="2738"/>
      <c r="AI6" s="2738"/>
      <c r="AJ6" s="2739"/>
    </row>
    <row r="7" spans="1:36" ht="24">
      <c r="A7" s="3290" t="str">
        <f>IF(E2="商业",IF(C8="不临58条商业街","",2),"")</f>
        <v/>
      </c>
      <c r="B7" s="2747" t="s">
        <v>2821</v>
      </c>
      <c r="C7" s="919" t="e">
        <f>IF(C8="不临58条商业街",1,ROUND(1+(1.6*E8+1.2*E9+0.8*E10+0.4*E11)*C9,4))</f>
        <v>#DIV/0!</v>
      </c>
      <c r="D7" s="2748" t="s">
        <v>2822</v>
      </c>
      <c r="E7" s="948"/>
      <c r="F7" s="2749"/>
      <c r="G7" s="2750"/>
      <c r="H7" s="2750"/>
      <c r="I7" s="2750"/>
      <c r="J7" s="2751"/>
      <c r="K7" s="1845"/>
      <c r="L7" s="2728" t="s">
        <v>2823</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0.6482</v>
      </c>
      <c r="T7" s="1605" t="e">
        <f t="shared" si="0"/>
        <v>#DIV/0!</v>
      </c>
      <c r="U7" s="1606"/>
      <c r="V7" s="1605" t="e">
        <f t="shared" si="1"/>
        <v>#DIV/0!</v>
      </c>
      <c r="W7" s="1819" t="s">
        <v>2824</v>
      </c>
      <c r="X7" s="1607" t="str">
        <f>G2</f>
        <v>七级</v>
      </c>
      <c r="Y7" s="1607" t="s">
        <v>2825</v>
      </c>
      <c r="Z7" s="1608">
        <f>G3</f>
        <v>1.04</v>
      </c>
      <c r="AA7" s="1609"/>
      <c r="AB7" s="1609"/>
      <c r="AC7" s="1610"/>
      <c r="AD7" s="1611"/>
      <c r="AE7" s="1611"/>
      <c r="AF7" s="1611"/>
      <c r="AG7" s="1611"/>
      <c r="AH7" s="1611"/>
      <c r="AI7" s="1611"/>
      <c r="AJ7" s="1612"/>
    </row>
    <row r="8" spans="1:36" ht="15">
      <c r="A8" s="3291"/>
      <c r="B8" s="198" t="s">
        <v>2826</v>
      </c>
      <c r="C8" s="2752"/>
      <c r="D8" s="920" t="s">
        <v>139</v>
      </c>
      <c r="E8" s="921" t="e">
        <f>ROUND(C11/E7,4)</f>
        <v>#DIV/0!</v>
      </c>
      <c r="F8" s="2753" t="s">
        <v>2827</v>
      </c>
      <c r="G8" s="2754"/>
      <c r="H8" s="2754"/>
      <c r="I8" s="2754"/>
      <c r="J8" s="2755"/>
      <c r="K8" s="1373"/>
      <c r="L8" s="2728" t="s">
        <v>2828</v>
      </c>
      <c r="M8" s="1084">
        <f>SUMPRODUCT((区片价!B206:B244=I2)*(区片价!C3:F3=E2)*(区片价!C206:F244))</f>
        <v>0</v>
      </c>
      <c r="N8" s="1086">
        <f>SUMPRODUCT((因素修正幅度!B206:B244=I2)*(因素修正幅度!C3:F3=E2)*(因素修正幅度!C206:F244))</f>
        <v>0</v>
      </c>
      <c r="O8" s="1373"/>
      <c r="P8" s="1373"/>
      <c r="Q8" s="1373"/>
      <c r="R8" s="1605">
        <v>7</v>
      </c>
      <c r="S8" s="1606"/>
      <c r="T8" s="1605" t="e">
        <f t="shared" si="0"/>
        <v>#DIV/0!</v>
      </c>
      <c r="U8" s="1606"/>
      <c r="V8" s="1605" t="e">
        <f t="shared" si="1"/>
        <v>#DIV/0!</v>
      </c>
      <c r="W8" s="3283" t="s">
        <v>2829</v>
      </c>
      <c r="X8" s="3284"/>
      <c r="Y8" s="1613" t="s">
        <v>2830</v>
      </c>
      <c r="Z8" s="1613" t="s">
        <v>2831</v>
      </c>
      <c r="AA8" s="1613" t="s">
        <v>2832</v>
      </c>
      <c r="AB8" s="1613" t="s">
        <v>2833</v>
      </c>
      <c r="AC8" s="1613" t="s">
        <v>2834</v>
      </c>
      <c r="AD8" s="1613" t="s">
        <v>2835</v>
      </c>
      <c r="AE8" s="1613" t="s">
        <v>2836</v>
      </c>
      <c r="AF8" s="1613" t="s">
        <v>2837</v>
      </c>
      <c r="AG8" s="1613" t="s">
        <v>2838</v>
      </c>
      <c r="AH8" s="1613" t="s">
        <v>2839</v>
      </c>
      <c r="AI8" s="1613" t="s">
        <v>2840</v>
      </c>
      <c r="AJ8" s="1613" t="s">
        <v>2841</v>
      </c>
    </row>
    <row r="9" spans="1:36" ht="15">
      <c r="A9" s="3291"/>
      <c r="B9" s="198" t="s">
        <v>2842</v>
      </c>
      <c r="C9" s="922">
        <f>SUMIF(修正!C59:C119,C8,修正!E59:E119)</f>
        <v>0</v>
      </c>
      <c r="D9" s="200" t="s">
        <v>140</v>
      </c>
      <c r="E9" s="200" t="e">
        <f>ROUND(C11/E7,4)</f>
        <v>#DIV/0!</v>
      </c>
      <c r="F9" s="2753" t="s">
        <v>2843</v>
      </c>
      <c r="G9" s="2754"/>
      <c r="H9" s="2754"/>
      <c r="I9" s="2754"/>
      <c r="J9" s="2755"/>
      <c r="K9" s="1373"/>
      <c r="L9" s="2728" t="s">
        <v>2844</v>
      </c>
      <c r="M9" s="1084">
        <f>SUMPRODUCT((区片价!B245:B289=I2)*(区片价!C3:F3=E2)*(区片价!C245:F289))</f>
        <v>0</v>
      </c>
      <c r="N9" s="1086">
        <f>SUMPRODUCT((因素修正幅度!B245:B289=I2)*(因素修正幅度!C3:F3=E2)*(因素修正幅度!C245:F289))</f>
        <v>0</v>
      </c>
      <c r="O9" s="1373"/>
      <c r="P9" s="1373"/>
      <c r="Q9" s="1373"/>
      <c r="R9" s="1605">
        <v>8</v>
      </c>
      <c r="S9" s="1606"/>
      <c r="T9" s="1605" t="e">
        <f t="shared" si="0"/>
        <v>#DIV/0!</v>
      </c>
      <c r="U9" s="1606"/>
      <c r="V9" s="1605" t="e">
        <f t="shared" si="1"/>
        <v>#DIV/0!</v>
      </c>
      <c r="W9" s="3285" t="s">
        <v>2845</v>
      </c>
      <c r="X9" s="1614" t="s">
        <v>2846</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91"/>
      <c r="B10" s="198" t="s">
        <v>2847</v>
      </c>
      <c r="C10" s="200">
        <f>SUMIF(修正!C59:C119,C8,修正!F59:F119)</f>
        <v>0</v>
      </c>
      <c r="D10" s="200" t="s">
        <v>141</v>
      </c>
      <c r="E10" s="200" t="e">
        <f>ROUND(C11/E7,4)</f>
        <v>#DIV/0!</v>
      </c>
      <c r="F10" s="2753" t="s">
        <v>2848</v>
      </c>
      <c r="G10" s="2754"/>
      <c r="H10" s="2754"/>
      <c r="I10" s="2754"/>
      <c r="J10" s="2755"/>
      <c r="K10" s="1373"/>
      <c r="L10" s="2728" t="s">
        <v>2849</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t="e">
        <f t="shared" si="0"/>
        <v>#DIV/0!</v>
      </c>
      <c r="U10" s="1606"/>
      <c r="V10" s="1605" t="e">
        <f t="shared" si="1"/>
        <v>#DIV/0!</v>
      </c>
      <c r="W10" s="3285"/>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291"/>
      <c r="B11" s="2756" t="s">
        <v>2850</v>
      </c>
      <c r="C11" s="923">
        <f>C10/4</f>
        <v>0</v>
      </c>
      <c r="D11" s="923" t="s">
        <v>142</v>
      </c>
      <c r="E11" s="923" t="e">
        <f>ROUND(C11/E7,4)</f>
        <v>#DIV/0!</v>
      </c>
      <c r="F11" s="2757" t="s">
        <v>2851</v>
      </c>
      <c r="G11" s="2758"/>
      <c r="H11" s="2758"/>
      <c r="I11" s="2758"/>
      <c r="J11" s="2759"/>
      <c r="K11" s="1373"/>
      <c r="L11" s="2728" t="s">
        <v>2852</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t="e">
        <f t="shared" si="0"/>
        <v>#DIV/0!</v>
      </c>
      <c r="U11" s="1606"/>
      <c r="V11" s="1605" t="e">
        <f t="shared" si="1"/>
        <v>#DIV/0!</v>
      </c>
      <c r="W11" s="3285" t="s">
        <v>2853</v>
      </c>
      <c r="X11" s="1617" t="s">
        <v>2854</v>
      </c>
      <c r="Y11" s="1618">
        <f>$G$3</f>
        <v>1.04</v>
      </c>
      <c r="Z11" s="1618">
        <f t="shared" ref="Z11:AJ11" si="3">$G$3</f>
        <v>1.04</v>
      </c>
      <c r="AA11" s="1618">
        <f t="shared" si="3"/>
        <v>1.04</v>
      </c>
      <c r="AB11" s="1618">
        <f t="shared" si="3"/>
        <v>1.04</v>
      </c>
      <c r="AC11" s="1618">
        <f t="shared" si="3"/>
        <v>1.04</v>
      </c>
      <c r="AD11" s="1618">
        <f t="shared" si="3"/>
        <v>1.04</v>
      </c>
      <c r="AE11" s="1618">
        <f t="shared" si="3"/>
        <v>1.04</v>
      </c>
      <c r="AF11" s="1618">
        <f t="shared" si="3"/>
        <v>1.04</v>
      </c>
      <c r="AG11" s="1618">
        <f t="shared" si="3"/>
        <v>1.04</v>
      </c>
      <c r="AH11" s="1618">
        <f t="shared" si="3"/>
        <v>1.04</v>
      </c>
      <c r="AI11" s="1618">
        <f t="shared" si="3"/>
        <v>1.04</v>
      </c>
      <c r="AJ11" s="1618">
        <f t="shared" si="3"/>
        <v>1.04</v>
      </c>
    </row>
    <row r="12" spans="1:36" ht="25.5" thickBot="1">
      <c r="A12" s="3290" t="s">
        <v>2855</v>
      </c>
      <c r="B12" s="2760" t="s">
        <v>2856</v>
      </c>
      <c r="C12" s="919">
        <f>ROUND(C15*D15*E15*F15*G15*H15*I15*J15,4)</f>
        <v>1</v>
      </c>
      <c r="D12" s="2761" t="s">
        <v>2857</v>
      </c>
      <c r="E12" s="2762"/>
      <c r="F12" s="2762"/>
      <c r="G12" s="2763"/>
      <c r="H12" s="2763"/>
      <c r="I12" s="2763"/>
      <c r="J12" s="2764"/>
      <c r="K12" s="1373"/>
      <c r="L12" s="2765" t="s">
        <v>2858</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t="e">
        <f t="shared" si="0"/>
        <v>#DIV/0!</v>
      </c>
      <c r="U12" s="1606"/>
      <c r="V12" s="1605" t="e">
        <f t="shared" si="1"/>
        <v>#DIV/0!</v>
      </c>
      <c r="W12" s="3285"/>
      <c r="X12" s="1619" t="s">
        <v>2859</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292"/>
      <c r="B13" s="2766" t="s">
        <v>2860</v>
      </c>
      <c r="C13" s="2767" t="s">
        <v>2861</v>
      </c>
      <c r="D13" s="1811" t="s">
        <v>2862</v>
      </c>
      <c r="E13" s="1811" t="s">
        <v>2863</v>
      </c>
      <c r="F13" s="30" t="s">
        <v>2864</v>
      </c>
      <c r="G13" s="2768" t="s">
        <v>2865</v>
      </c>
      <c r="H13" s="2768" t="s">
        <v>2865</v>
      </c>
      <c r="I13" s="2768" t="s">
        <v>2865</v>
      </c>
      <c r="J13" s="2769" t="s">
        <v>2865</v>
      </c>
      <c r="K13" s="1373"/>
      <c r="L13" s="1373"/>
      <c r="M13" s="1373"/>
      <c r="N13" s="1373"/>
      <c r="O13" s="1373"/>
      <c r="P13" s="1373"/>
      <c r="Q13" s="1373"/>
      <c r="R13" s="1605">
        <v>12</v>
      </c>
      <c r="S13" s="1606"/>
      <c r="T13" s="1605" t="e">
        <f t="shared" si="0"/>
        <v>#DIV/0!</v>
      </c>
      <c r="U13" s="1606"/>
      <c r="V13" s="1605" t="e">
        <f t="shared" si="1"/>
        <v>#DIV/0!</v>
      </c>
      <c r="W13" s="3285"/>
      <c r="X13" s="1619"/>
      <c r="Y13" s="1616">
        <f>(-0.163*(Y12^2)-0.59*Y12+7617)*(10^(-4))/Y11</f>
        <v>0.73240384615384613</v>
      </c>
      <c r="Z13" s="1616">
        <f t="shared" ref="Z13:AJ13" si="5">(-0.163*(Z12^2)-0.59*Z12+7617)*(10^(-4))/Z11</f>
        <v>0.73240384615384613</v>
      </c>
      <c r="AA13" s="1616">
        <f t="shared" si="5"/>
        <v>0.73240384615384613</v>
      </c>
      <c r="AB13" s="1616">
        <f t="shared" si="5"/>
        <v>0.73240384615384613</v>
      </c>
      <c r="AC13" s="1616">
        <f t="shared" si="5"/>
        <v>0.73240384615384613</v>
      </c>
      <c r="AD13" s="1616">
        <f t="shared" si="5"/>
        <v>0.73240384615384613</v>
      </c>
      <c r="AE13" s="1616">
        <f t="shared" si="5"/>
        <v>0.73240384615384613</v>
      </c>
      <c r="AF13" s="1616">
        <f t="shared" si="5"/>
        <v>0.73240384615384613</v>
      </c>
      <c r="AG13" s="1616">
        <f t="shared" si="5"/>
        <v>0.73240384615384613</v>
      </c>
      <c r="AH13" s="1616">
        <f t="shared" si="5"/>
        <v>0.73240384615384613</v>
      </c>
      <c r="AI13" s="1616">
        <f t="shared" si="5"/>
        <v>0.73240384615384613</v>
      </c>
      <c r="AJ13" s="1616">
        <f t="shared" si="5"/>
        <v>0.73240384615384613</v>
      </c>
    </row>
    <row r="14" spans="1:36" ht="15">
      <c r="A14" s="3292"/>
      <c r="B14" s="2770"/>
      <c r="C14" s="2771"/>
      <c r="D14" s="2772"/>
      <c r="E14" s="2772"/>
      <c r="F14" s="2773"/>
      <c r="G14" s="2774" t="s">
        <v>2866</v>
      </c>
      <c r="H14" s="2775"/>
      <c r="I14" s="2776"/>
      <c r="J14" s="2777"/>
      <c r="K14" s="1373"/>
      <c r="L14" s="1373"/>
      <c r="M14" s="1373"/>
      <c r="N14" s="1373"/>
      <c r="O14" s="1373"/>
      <c r="P14" s="1373"/>
      <c r="Q14" s="1373"/>
      <c r="R14" s="1605">
        <v>13</v>
      </c>
      <c r="S14" s="1606"/>
      <c r="T14" s="1605" t="e">
        <f t="shared" si="0"/>
        <v>#DIV/0!</v>
      </c>
      <c r="U14" s="1606"/>
      <c r="V14" s="1605" t="e">
        <f t="shared" si="1"/>
        <v>#DIV/0!</v>
      </c>
      <c r="W14" s="1609"/>
      <c r="X14" s="1609"/>
      <c r="Y14" s="1609"/>
      <c r="Z14" s="1609"/>
      <c r="AA14" s="1609"/>
      <c r="AB14" s="1609"/>
      <c r="AC14" s="1610"/>
      <c r="AD14" s="1611"/>
      <c r="AE14" s="1611"/>
      <c r="AF14" s="1611"/>
      <c r="AG14" s="1611"/>
      <c r="AH14" s="1611"/>
      <c r="AI14" s="1611"/>
      <c r="AJ14" s="1612"/>
    </row>
    <row r="15" spans="1:36" ht="15.75" thickBot="1">
      <c r="A15" s="3293"/>
      <c r="B15" s="2778" t="s">
        <v>2867</v>
      </c>
      <c r="C15" s="229">
        <f>IF(C14="有",1.1,1)</f>
        <v>1</v>
      </c>
      <c r="D15" s="229">
        <f>IF(D14="有",1.1,1)</f>
        <v>1</v>
      </c>
      <c r="E15" s="229">
        <f>IF(E14="有",1.1,1)</f>
        <v>1</v>
      </c>
      <c r="F15" s="229">
        <f>IF(F14="500米范围内",1.2,IF(F14="500-1000米",1.1,1))</f>
        <v>1</v>
      </c>
      <c r="G15" s="949">
        <v>1</v>
      </c>
      <c r="H15" s="949">
        <v>1</v>
      </c>
      <c r="I15" s="949">
        <v>1</v>
      </c>
      <c r="J15" s="950">
        <v>1</v>
      </c>
      <c r="K15" s="1373"/>
      <c r="L15" s="2779" t="s">
        <v>2803</v>
      </c>
      <c r="M15" s="920" t="s">
        <v>2868</v>
      </c>
      <c r="N15" s="920" t="s">
        <v>2869</v>
      </c>
      <c r="O15" s="920" t="s">
        <v>2870</v>
      </c>
      <c r="P15" s="2780" t="s">
        <v>2871</v>
      </c>
      <c r="Q15" s="1373"/>
      <c r="R15" s="1605">
        <v>14</v>
      </c>
      <c r="S15" s="1606"/>
      <c r="T15" s="1605" t="e">
        <f t="shared" si="0"/>
        <v>#DIV/0!</v>
      </c>
      <c r="U15" s="1606"/>
      <c r="V15" s="1605" t="e">
        <f t="shared" si="1"/>
        <v>#DIV/0!</v>
      </c>
      <c r="W15" s="1609"/>
      <c r="X15" s="1609"/>
      <c r="Y15" s="1609"/>
      <c r="Z15" s="1609"/>
      <c r="AA15" s="1609"/>
      <c r="AB15" s="1609"/>
      <c r="AC15" s="1610"/>
      <c r="AD15" s="1611"/>
      <c r="AE15" s="1611"/>
      <c r="AF15" s="1611"/>
      <c r="AG15" s="1611"/>
      <c r="AH15" s="1611"/>
      <c r="AI15" s="1611"/>
      <c r="AJ15" s="1612"/>
    </row>
    <row r="16" spans="1:36" ht="24">
      <c r="A16" s="3290" t="s">
        <v>2872</v>
      </c>
      <c r="B16" s="2747" t="s">
        <v>2873</v>
      </c>
      <c r="C16" s="1804" t="e">
        <f>ROUND(SUM(G17:J17)/C17,0)</f>
        <v>#DIV/0!</v>
      </c>
      <c r="D16" s="2781" t="s">
        <v>2874</v>
      </c>
      <c r="E16" s="2782"/>
      <c r="F16" s="2783"/>
      <c r="G16" s="2784"/>
      <c r="H16" s="2784"/>
      <c r="I16" s="2784"/>
      <c r="J16" s="2785"/>
      <c r="K16" s="1373"/>
      <c r="L16" s="2786" t="s">
        <v>2875</v>
      </c>
      <c r="M16" s="922">
        <v>0.25</v>
      </c>
      <c r="N16" s="922">
        <v>0.2</v>
      </c>
      <c r="O16" s="922">
        <v>0.15</v>
      </c>
      <c r="P16" s="1372">
        <v>0.1</v>
      </c>
      <c r="Q16" s="1373"/>
      <c r="R16" s="1605">
        <v>15</v>
      </c>
      <c r="S16" s="1606"/>
      <c r="T16" s="1605" t="e">
        <f t="shared" si="0"/>
        <v>#DIV/0!</v>
      </c>
      <c r="U16" s="1606"/>
      <c r="V16" s="1605" t="e">
        <f t="shared" si="1"/>
        <v>#DIV/0!</v>
      </c>
      <c r="W16" s="1609"/>
      <c r="X16" s="1609"/>
      <c r="Y16" s="1609"/>
      <c r="Z16" s="1609"/>
      <c r="AA16" s="1609"/>
      <c r="AB16" s="1609"/>
      <c r="AC16" s="1610"/>
      <c r="AD16" s="1611"/>
      <c r="AE16" s="1611"/>
      <c r="AF16" s="1611"/>
      <c r="AG16" s="1611"/>
      <c r="AH16" s="1611"/>
      <c r="AI16" s="1611"/>
      <c r="AJ16" s="1612"/>
    </row>
    <row r="17" spans="1:37" ht="13.5" thickBot="1">
      <c r="A17" s="3291"/>
      <c r="B17" s="2787" t="s">
        <v>2876</v>
      </c>
      <c r="C17" s="924">
        <f>SUMPRODUCT((修正!A2:A5=E2)*(修正!B1:M1=G2)*(修正!B2:M5))</f>
        <v>0</v>
      </c>
      <c r="D17" s="2788" t="s">
        <v>2877</v>
      </c>
      <c r="E17" s="923" t="str">
        <f>IF(OR(G2="八级",G2="九级",G2="十级",G2="十一级",G2="十二级"),"五通一平","七通一平")</f>
        <v>七通一平</v>
      </c>
      <c r="F17" s="924" t="s">
        <v>2878</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89" t="s">
        <v>2879</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0"/>
      <c r="AF17" s="2790"/>
      <c r="AG17" s="2722"/>
      <c r="AH17" s="2722"/>
      <c r="AI17" s="2722"/>
      <c r="AJ17" s="2722"/>
    </row>
    <row r="18" spans="1:37" s="2740" customFormat="1" ht="15.75" thickBot="1">
      <c r="A18" s="2791" t="s">
        <v>808</v>
      </c>
      <c r="B18" s="2792" t="s">
        <v>2880</v>
      </c>
      <c r="C18" s="926">
        <f>SUMIF(修正!C18:C39,E3,修正!E18:E39)</f>
        <v>0</v>
      </c>
      <c r="D18" s="2793"/>
      <c r="E18" s="2794"/>
      <c r="F18" s="2795"/>
      <c r="G18" s="2796"/>
      <c r="H18" s="2796"/>
      <c r="I18" s="2796"/>
      <c r="J18" s="2797"/>
      <c r="K18" s="1380"/>
      <c r="O18" s="1378"/>
      <c r="P18" s="1378"/>
      <c r="Q18" s="1379"/>
      <c r="R18" s="1379"/>
      <c r="S18" s="1379"/>
      <c r="T18" s="1374"/>
      <c r="U18" s="1374"/>
      <c r="V18" s="1374"/>
      <c r="W18" s="1373"/>
      <c r="X18" s="1373"/>
      <c r="Y18" s="1373"/>
      <c r="Z18" s="1380"/>
      <c r="AA18" s="1381"/>
      <c r="AB18" s="1381"/>
      <c r="AC18" s="1381"/>
      <c r="AD18" s="1381"/>
      <c r="AE18" s="1375"/>
      <c r="AF18" s="1375"/>
      <c r="AG18" s="2798"/>
      <c r="AH18" s="2798"/>
      <c r="AI18" s="2798"/>
    </row>
    <row r="19" spans="1:37" s="2740" customFormat="1" ht="27.75" thickBot="1">
      <c r="A19" s="2791" t="s">
        <v>809</v>
      </c>
      <c r="B19" s="2792" t="s">
        <v>2881</v>
      </c>
      <c r="C19" s="927" t="e">
        <f>ROUND(IF(H19="按公示增长率计算",SUMPRODUCT((地价!A3:A25=YEAR(G19)&amp;"-"&amp;ROUNDUP(MONTH(G19)/3,0))*(地价!X2:AB2=E2)*(地价!X3:AB25)),IF(H19="地价指数",M20/M19,(1+I19)^O19)),4)</f>
        <v>#DIV/0!</v>
      </c>
      <c r="D19" s="2799" t="s">
        <v>2882</v>
      </c>
      <c r="E19" s="928">
        <v>41640</v>
      </c>
      <c r="F19" s="2799" t="s">
        <v>2883</v>
      </c>
      <c r="G19" s="929">
        <f>'数据-取费表'!B2</f>
        <v>43528</v>
      </c>
      <c r="H19" s="2800" t="s">
        <v>2884</v>
      </c>
      <c r="I19" s="930" t="str">
        <f>IF(H19="季度增幅（自定义）",SUMIF(N21:N24,E2,O21:O24),"")</f>
        <v/>
      </c>
      <c r="J19" s="2797"/>
      <c r="K19" s="1380"/>
      <c r="L19" s="2801" t="s">
        <v>2885</v>
      </c>
      <c r="M19" s="1737">
        <f>ROUND(SUMIF(地价!B2:F2,E2,地价!B25:F25),0)</f>
        <v>0</v>
      </c>
      <c r="N19" s="2802" t="s">
        <v>2886</v>
      </c>
      <c r="O19" s="931">
        <f>ROUNDDOWN(DATEDIF(E19,G19,"M")/3,0)</f>
        <v>20</v>
      </c>
      <c r="P19" s="1377"/>
      <c r="Q19" s="1379"/>
      <c r="R19" s="1379"/>
      <c r="S19" s="1379"/>
      <c r="T19" s="1374"/>
      <c r="U19" s="1374"/>
      <c r="V19" s="1374"/>
      <c r="W19" s="1373"/>
      <c r="X19" s="1373"/>
      <c r="Y19" s="1373"/>
      <c r="Z19" s="1380"/>
      <c r="AA19" s="1381"/>
      <c r="AB19" s="1381"/>
      <c r="AC19" s="1381"/>
      <c r="AD19" s="1381"/>
      <c r="AE19" s="1381"/>
      <c r="AF19" s="2803"/>
      <c r="AG19" s="2804"/>
      <c r="AH19" s="2798"/>
      <c r="AI19" s="2805"/>
      <c r="AJ19" s="2805"/>
      <c r="AK19" s="2805"/>
    </row>
    <row r="20" spans="1:37" s="2740" customFormat="1" ht="27.75" thickBot="1">
      <c r="A20" s="2806" t="s">
        <v>810</v>
      </c>
      <c r="B20" s="2807" t="s">
        <v>2887</v>
      </c>
      <c r="C20" s="932" t="e">
        <f>ROUND(POWER(1+G20,J20-I20)*(POWER(1+G20,I20)-1)/(POWER(1+G20,J20)-1),4)</f>
        <v>#DIV/0!</v>
      </c>
      <c r="D20" s="2808" t="s">
        <v>2888</v>
      </c>
      <c r="E20" s="1771">
        <f ca="1">存贷款利率!D4/100</f>
        <v>4.3499999999999997E-2</v>
      </c>
      <c r="F20" s="2808" t="s">
        <v>2879</v>
      </c>
      <c r="G20" s="937">
        <f>SUMIF(M15:P15,E2,M17:P17)</f>
        <v>0</v>
      </c>
      <c r="H20" s="2808" t="s">
        <v>2889</v>
      </c>
      <c r="I20" s="938" t="e">
        <f>SUMIF('数据-取费表'!C6:C15,E2,'数据-取费表'!F6:F15)/COUNTIF('数据-取费表'!C6:C15,E2)</f>
        <v>#DIV/0!</v>
      </c>
      <c r="J20" s="939">
        <f>IF(E2="住宅",70,IF(E2="商业",40,50))</f>
        <v>50</v>
      </c>
      <c r="K20" s="1380"/>
      <c r="L20" s="2809" t="s">
        <v>2890</v>
      </c>
      <c r="M20" s="1738">
        <f>ROUND(SUMPRODUCT((地价!A4:A25=YEAR(G19)&amp;"-"&amp;ROUNDUP(MONTH(G19)/3,0))*(地价!B2:F2=E2)*(地价!B4:F25)),0)</f>
        <v>0</v>
      </c>
      <c r="N20" s="2810" t="s">
        <v>2891</v>
      </c>
      <c r="O20" s="2811" t="s">
        <v>2892</v>
      </c>
      <c r="P20" s="2812" t="s">
        <v>2893</v>
      </c>
      <c r="R20" s="1379"/>
      <c r="S20" s="1379"/>
      <c r="T20" s="1374"/>
      <c r="U20" s="1374"/>
      <c r="V20" s="1374"/>
      <c r="W20" s="1373"/>
      <c r="X20" s="1373"/>
      <c r="Y20" s="1373"/>
      <c r="Z20" s="1380"/>
      <c r="AA20" s="1381"/>
      <c r="AB20" s="1381"/>
      <c r="AC20" s="1381"/>
      <c r="AD20" s="1381"/>
      <c r="AE20" s="1381"/>
      <c r="AF20" s="1381"/>
    </row>
    <row r="21" spans="1:37" s="2740" customFormat="1" ht="15">
      <c r="A21" s="2813" t="s">
        <v>811</v>
      </c>
      <c r="B21" s="2814" t="s">
        <v>2894</v>
      </c>
      <c r="C21" s="940">
        <f>IF(B21="容积率修正",IF(G3&lt;=10,D22,J22),C23)</f>
        <v>0</v>
      </c>
      <c r="D21" s="2815"/>
      <c r="E21" s="2815"/>
      <c r="F21" s="2815"/>
      <c r="G21" s="2815"/>
      <c r="H21" s="2815"/>
      <c r="I21" s="2815"/>
      <c r="J21" s="2816"/>
      <c r="K21" s="1380"/>
      <c r="N21" s="2817" t="s">
        <v>2895</v>
      </c>
      <c r="O21" s="1564"/>
      <c r="P21" s="1565">
        <f>SUMPRODUCT((地价!A3:A25=YEAR(G19)&amp;"-"&amp;ROUNDUP(MONTH(G19)/3,0))*(地价!AD2:AH2=N21)*(地价!AD3:AH25))</f>
        <v>1.46E-2</v>
      </c>
      <c r="R21" s="1379"/>
      <c r="S21" s="1379"/>
      <c r="T21" s="1374"/>
      <c r="U21" s="1374"/>
      <c r="V21" s="1374"/>
      <c r="W21" s="1373"/>
      <c r="X21" s="1373"/>
      <c r="Y21" s="1373"/>
      <c r="Z21" s="1380"/>
      <c r="AA21" s="1381"/>
      <c r="AB21" s="1381"/>
      <c r="AC21" s="1381"/>
      <c r="AD21" s="1381"/>
      <c r="AE21" s="1381"/>
      <c r="AF21" s="1381"/>
    </row>
    <row r="22" spans="1:37" s="2740" customFormat="1" ht="14.25">
      <c r="A22" s="2667" t="s">
        <v>2896</v>
      </c>
      <c r="B22" s="2818" t="s">
        <v>2897</v>
      </c>
      <c r="C22" s="1813" t="s">
        <v>2898</v>
      </c>
      <c r="D22" s="1813">
        <f>IF(E22=G22,F22,IF(G3&lt;=10,ROUND(F22+(H22-F22)*(G3-E22)/(G22-E22),4),"——"))</f>
        <v>0.41970000000000002</v>
      </c>
      <c r="E22" s="916">
        <f>ROUNDDOWN(G3,1)</f>
        <v>1</v>
      </c>
      <c r="F22" s="18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1.1000000000000001</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1.0492999999999999</v>
      </c>
      <c r="I22" s="1813" t="s">
        <v>155</v>
      </c>
      <c r="J22" s="941" t="str">
        <f>IF(G3&gt;10,D113,"——")</f>
        <v>——</v>
      </c>
      <c r="K22" s="1380"/>
      <c r="N22" s="2817" t="s">
        <v>2899</v>
      </c>
      <c r="O22" s="1564"/>
      <c r="P22" s="1565">
        <f>SUMPRODUCT((地价!A3:A25=YEAR(G19)&amp;"-"&amp;ROUNDUP(MONTH(G19)/3,0))*(地价!AD2:AH2=N22)*(地价!AD3:AH25))</f>
        <v>1.46E-2</v>
      </c>
      <c r="R22" s="1379"/>
      <c r="S22" s="1379"/>
      <c r="T22" s="1374"/>
      <c r="U22" s="1374"/>
      <c r="V22" s="1374"/>
      <c r="W22" s="1373"/>
      <c r="X22" s="1373"/>
      <c r="Y22" s="1373"/>
      <c r="Z22" s="1380"/>
      <c r="AA22" s="1381"/>
      <c r="AB22" s="1381"/>
      <c r="AC22" s="1381"/>
      <c r="AD22" s="1381"/>
      <c r="AE22" s="1381"/>
      <c r="AF22" s="1381"/>
    </row>
    <row r="23" spans="1:37" ht="27.75" thickBot="1">
      <c r="A23" s="2667" t="s">
        <v>2900</v>
      </c>
      <c r="B23" s="2819" t="s">
        <v>2901</v>
      </c>
      <c r="C23" s="1016">
        <f>ROUND(IF(G3&gt;1,IF(I3&lt;7,SUMPRODUCT((B93:B98=I3)*(C92:N92=G2)*(C93:N98)),SUMIF(C92:N92,G2,C100:N100)),IF(I3&lt;7,SUMPRODUCT((B102:B107=I3)*(C92:N92=G2)*(C102:N107)),SUMIF(C92:N92,G2,C109:N109))),4)</f>
        <v>0</v>
      </c>
      <c r="D23" s="2775"/>
      <c r="E23" s="2775"/>
      <c r="F23" s="2820"/>
      <c r="G23" s="2821"/>
      <c r="H23" s="2822"/>
      <c r="I23" s="2823"/>
      <c r="J23" s="2824"/>
      <c r="K23" s="1373"/>
      <c r="N23" s="2817" t="s">
        <v>2902</v>
      </c>
      <c r="O23" s="1564"/>
      <c r="P23" s="1565">
        <f>SUMPRODUCT((地价!A3:A25=YEAR(G19)&amp;"-"&amp;ROUNDUP(MONTH(G19)/3,0))*(地价!AD2:AH2=N23)*(地价!AD3:AH25))</f>
        <v>2.29E-2</v>
      </c>
      <c r="R23" s="1379"/>
      <c r="S23" s="1379"/>
      <c r="T23" s="1374"/>
      <c r="U23" s="1374"/>
      <c r="V23" s="1374"/>
      <c r="W23" s="1373"/>
      <c r="X23" s="1373"/>
      <c r="Y23" s="1373"/>
      <c r="Z23" s="1380"/>
      <c r="AA23" s="1381"/>
      <c r="AB23" s="1381"/>
      <c r="AC23" s="1381"/>
      <c r="AD23" s="1381"/>
      <c r="AK23" s="2798"/>
    </row>
    <row r="24" spans="1:37" s="2740" customFormat="1" ht="15.75" thickBot="1">
      <c r="A24" s="2806" t="s">
        <v>812</v>
      </c>
      <c r="B24" s="2792" t="s">
        <v>2903</v>
      </c>
      <c r="C24" s="927">
        <f>SUMIF(A45:A88,E2,B45:B88)</f>
        <v>0</v>
      </c>
      <c r="D24" s="2795"/>
      <c r="E24" s="2825"/>
      <c r="F24" s="2825"/>
      <c r="G24" s="2825"/>
      <c r="H24" s="2825"/>
      <c r="I24" s="2825"/>
      <c r="J24" s="2826"/>
      <c r="K24" s="1380"/>
      <c r="N24" s="2827" t="s">
        <v>2904</v>
      </c>
      <c r="O24" s="1566"/>
      <c r="P24" s="1567">
        <f>SUMPRODUCT((地价!A3:A25=YEAR(G19)&amp;"-"&amp;ROUNDUP(MONTH(G19)/3,0))*(地价!AD2:AH2=N24)*(地价!AD3:AH25))</f>
        <v>1.3599999999999999E-2</v>
      </c>
      <c r="R24" s="1379"/>
      <c r="S24" s="1379"/>
      <c r="T24" s="1374"/>
      <c r="U24" s="1374"/>
      <c r="V24" s="1374"/>
      <c r="W24" s="1373"/>
      <c r="X24" s="1373"/>
      <c r="Y24" s="1373"/>
      <c r="Z24" s="1380"/>
      <c r="AA24" s="1381"/>
      <c r="AB24" s="1381"/>
      <c r="AC24" s="1381"/>
      <c r="AD24" s="1381"/>
      <c r="AE24" s="1381"/>
      <c r="AF24" s="1381"/>
    </row>
    <row r="25" spans="1:37" ht="15.75" thickBot="1">
      <c r="A25" s="2806" t="s">
        <v>813</v>
      </c>
      <c r="B25" s="2828" t="s">
        <v>2905</v>
      </c>
      <c r="C25" s="933"/>
      <c r="D25" s="2750"/>
      <c r="E25" s="2750"/>
      <c r="F25" s="2829"/>
      <c r="G25" s="2750"/>
      <c r="H25" s="2750"/>
      <c r="I25" s="2750"/>
      <c r="J25" s="2751"/>
      <c r="K25" s="1373"/>
      <c r="N25" s="2830" t="s">
        <v>2906</v>
      </c>
      <c r="O25" s="1568"/>
      <c r="P25" s="1567">
        <f>SUMPRODUCT((地价!A3:A25=YEAR(G19)&amp;"-"&amp;ROUNDUP(MONTH(G19)/3,0))*(地价!AD2:AH2=N25)*(地价!AD3:AH25))</f>
        <v>2.0899999999999998E-2</v>
      </c>
      <c r="R25" s="1379"/>
      <c r="S25" s="1379"/>
      <c r="T25" s="1374"/>
      <c r="U25" s="1374"/>
      <c r="V25" s="1374"/>
      <c r="W25" s="1373"/>
      <c r="X25" s="1373"/>
      <c r="Y25" s="1373"/>
      <c r="Z25" s="1380"/>
      <c r="AA25" s="1381"/>
      <c r="AB25" s="1381"/>
      <c r="AC25" s="1381"/>
      <c r="AD25" s="1381"/>
    </row>
    <row r="26" spans="1:37" ht="15">
      <c r="A26" s="2831"/>
      <c r="B26" s="2818" t="s">
        <v>2907</v>
      </c>
      <c r="C26" s="206" t="e">
        <f>E29+SUM(E33:E39)</f>
        <v>#DIV/0!</v>
      </c>
      <c r="D26" s="2832"/>
      <c r="E26" s="2775"/>
      <c r="F26" s="2833"/>
      <c r="G26" s="2775"/>
      <c r="H26" s="2775"/>
      <c r="I26" s="2775"/>
      <c r="J26" s="2834"/>
      <c r="K26" s="1373"/>
      <c r="R26" s="1379"/>
      <c r="S26" s="1379"/>
      <c r="T26" s="1374"/>
      <c r="U26" s="1374"/>
      <c r="V26" s="1374"/>
      <c r="W26" s="1373"/>
      <c r="X26" s="1373"/>
      <c r="Y26" s="1373"/>
      <c r="Z26" s="1380"/>
      <c r="AA26" s="1381"/>
      <c r="AB26" s="1381"/>
      <c r="AC26" s="1381"/>
      <c r="AD26" s="1381"/>
    </row>
    <row r="27" spans="1:37" ht="15.75" thickBot="1">
      <c r="A27" s="2831"/>
      <c r="B27" s="2835" t="s">
        <v>2908</v>
      </c>
      <c r="C27" s="934" t="e">
        <f>E30+SUM(I33:I39)</f>
        <v>#DIV/0!</v>
      </c>
      <c r="D27" s="2836"/>
      <c r="E27" s="2837"/>
      <c r="F27" s="2838"/>
      <c r="G27" s="2837"/>
      <c r="H27" s="2837"/>
      <c r="I27" s="2837"/>
      <c r="J27" s="2839"/>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0"/>
      <c r="B28" s="2841" t="s">
        <v>2909</v>
      </c>
      <c r="C28" s="2842" t="s">
        <v>2910</v>
      </c>
      <c r="D28" s="2842" t="s">
        <v>2911</v>
      </c>
      <c r="E28" s="2843" t="s">
        <v>2912</v>
      </c>
      <c r="F28" s="2844"/>
      <c r="G28" s="2763"/>
      <c r="H28" s="2763"/>
      <c r="I28" s="2763"/>
      <c r="J28" s="2764"/>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5"/>
      <c r="B29" s="2846" t="s">
        <v>2913</v>
      </c>
      <c r="C29" s="206" t="e">
        <f>ROUND(C5*C18*C19*C20*C21*C24,0)</f>
        <v>#DIV/0!</v>
      </c>
      <c r="D29" s="2847"/>
      <c r="E29" s="945" t="e">
        <f>ROUND(C29*D29/10000,0)</f>
        <v>#DIV/0!</v>
      </c>
      <c r="F29" s="2848" t="s">
        <v>2914</v>
      </c>
      <c r="G29" s="2849"/>
      <c r="H29" s="2849"/>
      <c r="I29" s="2849"/>
      <c r="J29" s="2850"/>
      <c r="K29" s="1373"/>
      <c r="L29" s="1373"/>
      <c r="M29" s="1373"/>
      <c r="N29" s="1373"/>
      <c r="O29" s="1378"/>
      <c r="P29" s="1378"/>
      <c r="Q29" s="1379"/>
      <c r="R29" s="1379"/>
      <c r="S29" s="1379"/>
      <c r="T29" s="1374"/>
      <c r="U29" s="1374"/>
      <c r="V29" s="1374"/>
      <c r="W29" s="1373"/>
      <c r="X29" s="1373"/>
      <c r="Y29" s="1373"/>
      <c r="Z29" s="1380"/>
      <c r="AA29" s="1381"/>
      <c r="AB29" s="1381"/>
      <c r="AC29" s="1381"/>
      <c r="AD29" s="1381"/>
      <c r="AE29" s="2790"/>
      <c r="AF29" s="2790"/>
      <c r="AG29" s="2722"/>
      <c r="AH29" s="2722"/>
      <c r="AI29" s="2722"/>
      <c r="AJ29" s="2722"/>
    </row>
    <row r="30" spans="1:37" ht="25.5" thickBot="1">
      <c r="A30" s="2851"/>
      <c r="B30" s="2852" t="s">
        <v>2915</v>
      </c>
      <c r="C30" s="229" t="e">
        <f>ROUND(IF(E2="工业",C29*M39,C29*M38),0)</f>
        <v>#DIV/0!</v>
      </c>
      <c r="D30" s="2853"/>
      <c r="E30" s="945" t="e">
        <f>ROUND(C30*D30/10000,0)</f>
        <v>#DIV/0!</v>
      </c>
      <c r="F30" s="2854" t="s">
        <v>2916</v>
      </c>
      <c r="G30" s="2855"/>
      <c r="H30" s="2855"/>
      <c r="I30" s="2855"/>
      <c r="J30" s="2856"/>
      <c r="K30" s="1373"/>
      <c r="L30" s="1373"/>
      <c r="M30" s="1373"/>
      <c r="N30" s="1373"/>
      <c r="O30" s="1378"/>
      <c r="P30" s="1378"/>
      <c r="Q30" s="1379"/>
      <c r="R30" s="1379"/>
      <c r="S30" s="1379"/>
      <c r="T30" s="1374"/>
      <c r="U30" s="1374"/>
      <c r="V30" s="1374"/>
      <c r="W30" s="1373"/>
      <c r="X30" s="1373"/>
      <c r="Y30" s="1373"/>
      <c r="Z30" s="1380"/>
      <c r="AA30" s="1381"/>
      <c r="AB30" s="1381"/>
      <c r="AC30" s="1381"/>
      <c r="AD30" s="1381"/>
      <c r="AE30" s="2790"/>
      <c r="AF30" s="2790"/>
      <c r="AG30" s="2722"/>
      <c r="AH30" s="2722"/>
      <c r="AI30" s="2722"/>
      <c r="AJ30" s="2722"/>
    </row>
    <row r="31" spans="1:37" ht="14.25">
      <c r="A31" s="2857"/>
      <c r="B31" s="2858" t="s">
        <v>2917</v>
      </c>
      <c r="C31" s="2859" t="s">
        <v>2918</v>
      </c>
      <c r="D31" s="2763"/>
      <c r="E31" s="2859"/>
      <c r="F31" s="2859"/>
      <c r="G31" s="2761" t="s">
        <v>2919</v>
      </c>
      <c r="H31" s="2763"/>
      <c r="I31" s="2860"/>
      <c r="J31" s="2764"/>
      <c r="K31" s="1373"/>
      <c r="L31" s="1373"/>
      <c r="M31" s="1373"/>
      <c r="N31" s="1373"/>
      <c r="O31" s="1378"/>
      <c r="P31" s="1378"/>
      <c r="Q31" s="1379"/>
      <c r="R31" s="1379"/>
      <c r="S31" s="1379"/>
      <c r="T31" s="1374"/>
      <c r="U31" s="1374"/>
      <c r="V31" s="1374"/>
      <c r="W31" s="1373"/>
      <c r="X31" s="1373"/>
      <c r="Y31" s="1373"/>
      <c r="Z31" s="1380"/>
      <c r="AA31" s="1381"/>
      <c r="AB31" s="1381"/>
      <c r="AC31" s="1381"/>
      <c r="AD31" s="1381"/>
      <c r="AE31" s="2790"/>
      <c r="AF31" s="2790"/>
      <c r="AG31" s="2722"/>
      <c r="AH31" s="2722"/>
      <c r="AI31" s="2722"/>
      <c r="AJ31" s="2722"/>
    </row>
    <row r="32" spans="1:37" ht="24">
      <c r="A32" s="2845"/>
      <c r="B32" s="2861"/>
      <c r="C32" s="501" t="s">
        <v>2910</v>
      </c>
      <c r="D32" s="498" t="s">
        <v>2911</v>
      </c>
      <c r="E32" s="498" t="s">
        <v>2912</v>
      </c>
      <c r="F32" s="388" t="s">
        <v>2920</v>
      </c>
      <c r="G32" s="2862" t="s">
        <v>2910</v>
      </c>
      <c r="H32" s="2862" t="s">
        <v>2911</v>
      </c>
      <c r="I32" s="2862" t="s">
        <v>2912</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0"/>
      <c r="AF32" s="2790"/>
      <c r="AG32" s="2722"/>
      <c r="AH32" s="2722"/>
      <c r="AI32" s="2722"/>
      <c r="AJ32" s="2722"/>
    </row>
    <row r="33" spans="1:37" ht="36" customHeight="1">
      <c r="A33" s="3300" t="s">
        <v>2921</v>
      </c>
      <c r="B33" s="2863" t="s">
        <v>2922</v>
      </c>
      <c r="C33" s="206" t="e">
        <f>ROUND(D5*C19*C20*C24*F33,0)</f>
        <v>#DIV/0!</v>
      </c>
      <c r="D33" s="2847"/>
      <c r="E33" s="200" t="e">
        <f>ROUND(C33*D33/10000,0)</f>
        <v>#DIV/0!</v>
      </c>
      <c r="F33" s="200">
        <f>SUMIF(修正!A45:A56,G2,修正!B45:B56)</f>
        <v>0.7</v>
      </c>
      <c r="G33" s="200" t="e">
        <f t="shared" ref="G33" si="6">ROUND(IF(E2="工业",C33*$M$39,C33*$M$38),0)</f>
        <v>#DIV/0!</v>
      </c>
      <c r="H33" s="200">
        <f>D33</f>
        <v>0</v>
      </c>
      <c r="I33" s="200" t="e">
        <f>ROUND(G33*H33/10000,0)</f>
        <v>#DIV/0!</v>
      </c>
      <c r="J33" s="2864"/>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301"/>
      <c r="B34" s="2767" t="s">
        <v>2923</v>
      </c>
      <c r="C34" s="206" t="e">
        <f>ROUND(D5*C19*C20*C24*F34,0)</f>
        <v>#DIV/0!</v>
      </c>
      <c r="D34" s="2847"/>
      <c r="E34" s="200" t="e">
        <f t="shared" ref="E34:E39" si="7">ROUND(C34*D34/10000,0)</f>
        <v>#DIV/0!</v>
      </c>
      <c r="F34" s="200">
        <f>SUMIF(修正!A45:A56,G2,修正!C45:C56)</f>
        <v>0.4</v>
      </c>
      <c r="G34" s="200" t="e">
        <f>ROUND(IF(E2="工业",C34*$M$39,C34*$M$38),0)</f>
        <v>#DIV/0!</v>
      </c>
      <c r="H34" s="200">
        <f t="shared" ref="H34:H39" si="8">D34</f>
        <v>0</v>
      </c>
      <c r="I34" s="200" t="e">
        <f t="shared" ref="I34:I39" si="9">ROUND(G34*H34/10000,0)</f>
        <v>#DIV/0!</v>
      </c>
      <c r="J34" s="2864"/>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301"/>
      <c r="B35" s="2767" t="s">
        <v>2924</v>
      </c>
      <c r="C35" s="206" t="e">
        <f>ROUND(D5*C19*C20*C24*F35,0)</f>
        <v>#DIV/0!</v>
      </c>
      <c r="D35" s="2847"/>
      <c r="E35" s="200" t="e">
        <f t="shared" si="7"/>
        <v>#DIV/0!</v>
      </c>
      <c r="F35" s="200">
        <f>SUMIF(修正!A45:A56,G2,修正!D45:D56)</f>
        <v>0.28000000000000003</v>
      </c>
      <c r="G35" s="200" t="e">
        <f>ROUND(IF(E2="工业",C35*$M$39,C35*$M$38),0)</f>
        <v>#DIV/0!</v>
      </c>
      <c r="H35" s="200">
        <f t="shared" si="8"/>
        <v>0</v>
      </c>
      <c r="I35" s="200" t="e">
        <f t="shared" si="9"/>
        <v>#DIV/0!</v>
      </c>
      <c r="J35" s="2864"/>
      <c r="K35" s="1373"/>
      <c r="L35" s="1373"/>
      <c r="M35" s="1373"/>
      <c r="N35" s="1373"/>
      <c r="O35" s="1373"/>
      <c r="P35" s="1373"/>
      <c r="Q35" s="1373"/>
      <c r="R35" s="1373"/>
      <c r="S35" s="1373"/>
      <c r="T35" s="1373"/>
      <c r="U35" s="1373"/>
      <c r="V35" s="1373"/>
      <c r="W35" s="1373"/>
      <c r="X35" s="1373"/>
      <c r="Y35" s="1373"/>
      <c r="Z35" s="1374"/>
    </row>
    <row r="36" spans="1:37" ht="13.5" thickBot="1">
      <c r="A36" s="3302"/>
      <c r="B36" s="2767" t="s">
        <v>2925</v>
      </c>
      <c r="C36" s="206" t="e">
        <f>ROUND(D5*C19*C20*C24*F36,0)</f>
        <v>#DIV/0!</v>
      </c>
      <c r="D36" s="2847"/>
      <c r="E36" s="200" t="e">
        <f t="shared" si="7"/>
        <v>#DIV/0!</v>
      </c>
      <c r="F36" s="200">
        <f>SUMIF(修正!A45:A56,G2,修正!E45:E56)</f>
        <v>0.25</v>
      </c>
      <c r="G36" s="200" t="e">
        <f>ROUND(IF(E2="工业",C36*$M$39,C36*$M$38),0)</f>
        <v>#DIV/0!</v>
      </c>
      <c r="H36" s="200">
        <f t="shared" si="8"/>
        <v>0</v>
      </c>
      <c r="I36" s="200" t="e">
        <f t="shared" si="9"/>
        <v>#DIV/0!</v>
      </c>
      <c r="J36" s="2864"/>
      <c r="K36" s="1373"/>
      <c r="L36" s="2721"/>
      <c r="M36" s="2721"/>
      <c r="N36" s="1373"/>
      <c r="O36" s="1373"/>
      <c r="P36" s="1373"/>
      <c r="Q36" s="1373"/>
      <c r="R36" s="1373"/>
      <c r="S36" s="1373"/>
      <c r="T36" s="1373"/>
      <c r="U36" s="1373"/>
      <c r="V36" s="1373"/>
      <c r="W36" s="1373"/>
      <c r="X36" s="1373"/>
      <c r="Y36" s="1373"/>
      <c r="Z36" s="1374"/>
    </row>
    <row r="37" spans="1:37">
      <c r="A37" s="2865"/>
      <c r="B37" s="2767" t="s">
        <v>2926</v>
      </c>
      <c r="C37" s="200" t="e">
        <f>ROUND(D5*C19*C20*C24*F37,0)</f>
        <v>#DIV/0!</v>
      </c>
      <c r="D37" s="2847"/>
      <c r="E37" s="200" t="e">
        <f t="shared" si="7"/>
        <v>#DIV/0!</v>
      </c>
      <c r="F37" s="206">
        <f>SUMIF(修正!A45:A56,G2,修正!F45:F56)</f>
        <v>0.25</v>
      </c>
      <c r="G37" s="200" t="e">
        <f>ROUND(IF(E2="工业",C37*$M$39,C37*$M$38),0)</f>
        <v>#DIV/0!</v>
      </c>
      <c r="H37" s="200">
        <f t="shared" si="8"/>
        <v>0</v>
      </c>
      <c r="I37" s="200" t="e">
        <f t="shared" si="9"/>
        <v>#DIV/0!</v>
      </c>
      <c r="J37" s="2864"/>
      <c r="K37" s="1373"/>
      <c r="L37" s="2866" t="s">
        <v>2927</v>
      </c>
      <c r="M37" s="2867"/>
      <c r="N37" s="1373"/>
      <c r="O37" s="1373"/>
      <c r="P37" s="1373"/>
      <c r="Q37" s="1373"/>
      <c r="R37" s="1373"/>
      <c r="S37" s="1373"/>
      <c r="T37" s="1373"/>
      <c r="U37" s="1373"/>
      <c r="V37" s="1373"/>
      <c r="W37" s="1373"/>
      <c r="X37" s="1373"/>
      <c r="Y37" s="1373"/>
      <c r="Z37" s="1374"/>
    </row>
    <row r="38" spans="1:37">
      <c r="A38" s="2865"/>
      <c r="B38" s="2767" t="s">
        <v>2928</v>
      </c>
      <c r="C38" s="200" t="e">
        <f>ROUND(D5*C19*C41*C24*F38,0)</f>
        <v>#DIV/0!</v>
      </c>
      <c r="D38" s="2847"/>
      <c r="E38" s="200" t="e">
        <f t="shared" si="7"/>
        <v>#DIV/0!</v>
      </c>
      <c r="F38" s="206">
        <f>SUMIF(修正!A45:A56,G2,修正!G45:G56)</f>
        <v>0.25</v>
      </c>
      <c r="G38" s="200" t="e">
        <f>ROUND(IF(E2="工业",C38*$M$39,C38*$M$38),0)</f>
        <v>#DIV/0!</v>
      </c>
      <c r="H38" s="200">
        <f t="shared" si="8"/>
        <v>0</v>
      </c>
      <c r="I38" s="200" t="e">
        <f t="shared" si="9"/>
        <v>#DIV/0!</v>
      </c>
      <c r="J38" s="2864"/>
      <c r="K38" s="1373"/>
      <c r="L38" s="1890" t="s">
        <v>2929</v>
      </c>
      <c r="M38" s="2868">
        <v>0.25</v>
      </c>
      <c r="N38" s="1373"/>
      <c r="O38" s="1373"/>
      <c r="P38" s="1373"/>
      <c r="Q38" s="1373"/>
      <c r="R38" s="1373"/>
      <c r="S38" s="1373"/>
      <c r="T38" s="1373"/>
      <c r="U38" s="1373"/>
      <c r="V38" s="1373"/>
      <c r="W38" s="1373"/>
      <c r="X38" s="1373"/>
      <c r="Y38" s="1373"/>
      <c r="Z38" s="1374"/>
    </row>
    <row r="39" spans="1:37" ht="13.5" thickBot="1">
      <c r="A39" s="2851"/>
      <c r="B39" s="2869" t="s">
        <v>2930</v>
      </c>
      <c r="C39" s="229" t="e">
        <f>ROUND(D5*C19*C41*C24*F39,0)</f>
        <v>#DIV/0!</v>
      </c>
      <c r="D39" s="2853"/>
      <c r="E39" s="229" t="e">
        <f t="shared" si="7"/>
        <v>#DIV/0!</v>
      </c>
      <c r="F39" s="935">
        <f>SUMIF(修正!A45:A56,G2,修正!H45:H56)</f>
        <v>0.2</v>
      </c>
      <c r="G39" s="229" t="e">
        <f>ROUND(IF(E2="工业",C39*$M$39,C39*$M$38),0)</f>
        <v>#DIV/0!</v>
      </c>
      <c r="H39" s="229">
        <f t="shared" si="8"/>
        <v>0</v>
      </c>
      <c r="I39" s="229" t="e">
        <f t="shared" si="9"/>
        <v>#DIV/0!</v>
      </c>
      <c r="J39" s="2870"/>
      <c r="K39" s="1373"/>
      <c r="L39" s="2871" t="s">
        <v>2871</v>
      </c>
      <c r="M39" s="2872">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940" t="s">
        <v>3041</v>
      </c>
      <c r="C41" s="388" t="e">
        <f>ROUND(POWER(1+E41,H41-G41)*(POWER(1+E41,G41)-1)/(POWER(1+E41,H41)-1),4)</f>
        <v>#DIV/0!</v>
      </c>
      <c r="D41" s="200" t="s">
        <v>2879</v>
      </c>
      <c r="E41" s="2939">
        <f>G20</f>
        <v>0</v>
      </c>
      <c r="F41" s="200" t="s">
        <v>2889</v>
      </c>
      <c r="G41" s="218"/>
      <c r="H41" s="200">
        <v>50</v>
      </c>
      <c r="Z41" s="1374"/>
      <c r="AA41" s="1374"/>
      <c r="AB41" s="1374"/>
      <c r="AC41" s="1374"/>
      <c r="AD41" s="1374"/>
      <c r="AE41" s="1374"/>
      <c r="AF41" s="1374"/>
      <c r="AG41" s="1374"/>
      <c r="AH41" s="1374"/>
      <c r="AI41" s="1374"/>
      <c r="AJ41" s="1374"/>
    </row>
    <row r="42" spans="1:37" s="1373" customFormat="1">
      <c r="A42" s="1374"/>
      <c r="B42" s="2873"/>
      <c r="Z42" s="1374"/>
      <c r="AA42" s="1374"/>
      <c r="AB42" s="1374"/>
      <c r="AC42" s="1374"/>
      <c r="AD42" s="1374"/>
      <c r="AE42" s="1374"/>
      <c r="AF42" s="1374"/>
      <c r="AG42" s="1374"/>
      <c r="AH42" s="1374"/>
      <c r="AI42" s="1374"/>
      <c r="AJ42" s="1374"/>
    </row>
    <row r="43" spans="1:37" s="1373" customFormat="1">
      <c r="A43" s="1374"/>
      <c r="B43" s="2873"/>
      <c r="Z43" s="1374"/>
      <c r="AA43" s="1374"/>
      <c r="AB43" s="1374"/>
      <c r="AC43" s="1374"/>
      <c r="AD43" s="1374"/>
      <c r="AE43" s="1374"/>
      <c r="AF43" s="1374"/>
      <c r="AG43" s="1374"/>
      <c r="AH43" s="1374"/>
      <c r="AI43" s="1374"/>
      <c r="AJ43" s="1374"/>
    </row>
    <row r="44" spans="1:37" s="1373" customFormat="1">
      <c r="A44" s="1374"/>
      <c r="B44" s="2873"/>
      <c r="Z44" s="1374"/>
      <c r="AA44" s="1374"/>
      <c r="AB44" s="1374"/>
      <c r="AC44" s="1374"/>
      <c r="AD44" s="1374"/>
      <c r="AE44" s="1374"/>
      <c r="AF44" s="1374"/>
      <c r="AG44" s="1374"/>
      <c r="AH44" s="1374"/>
      <c r="AI44" s="1374"/>
      <c r="AJ44" s="1374"/>
    </row>
    <row r="45" spans="1:37" s="1373" customFormat="1" ht="15.75" thickBot="1">
      <c r="A45" s="2874" t="s">
        <v>2931</v>
      </c>
      <c r="B45" s="2875"/>
      <c r="C45" s="7"/>
      <c r="D45" s="7"/>
      <c r="E45" s="7"/>
      <c r="F45" s="6"/>
      <c r="G45" s="6"/>
      <c r="H45" s="6"/>
      <c r="I45" s="7"/>
      <c r="J45" s="7"/>
      <c r="K45" s="7"/>
      <c r="L45" s="7"/>
      <c r="M45" s="7"/>
      <c r="N45" s="2790"/>
      <c r="Z45" s="1374"/>
      <c r="AA45" s="1374"/>
      <c r="AB45" s="1374"/>
      <c r="AC45" s="1374"/>
      <c r="AD45" s="1374"/>
      <c r="AE45" s="1374"/>
      <c r="AF45" s="1374"/>
      <c r="AG45" s="1374"/>
      <c r="AH45" s="1374"/>
      <c r="AI45" s="1374"/>
      <c r="AJ45" s="1374"/>
    </row>
    <row r="46" spans="1:37" s="1373" customFormat="1" ht="15">
      <c r="A46" s="2876" t="s">
        <v>2932</v>
      </c>
      <c r="B46" s="2877">
        <f>1+E48</f>
        <v>1</v>
      </c>
      <c r="C46" s="2878"/>
      <c r="D46" s="814"/>
      <c r="E46" s="815"/>
      <c r="F46" s="2879"/>
      <c r="G46" s="6"/>
      <c r="H46" s="7"/>
      <c r="I46" s="7"/>
      <c r="J46" s="7"/>
      <c r="K46" s="7"/>
      <c r="L46" s="7"/>
      <c r="M46" s="7"/>
      <c r="N46" s="2790"/>
      <c r="Z46" s="1374"/>
      <c r="AA46" s="1374"/>
      <c r="AB46" s="1374"/>
      <c r="AC46" s="1374"/>
      <c r="AD46" s="1374"/>
      <c r="AE46" s="1374"/>
      <c r="AF46" s="1374"/>
      <c r="AG46" s="1374"/>
      <c r="AH46" s="1374"/>
      <c r="AI46" s="1374"/>
      <c r="AJ46" s="1374"/>
    </row>
    <row r="47" spans="1:37" s="1373" customFormat="1" ht="24.75">
      <c r="A47" s="2880" t="s">
        <v>2933</v>
      </c>
      <c r="B47" s="1812" t="s">
        <v>2934</v>
      </c>
      <c r="C47" s="1812" t="s">
        <v>2935</v>
      </c>
      <c r="D47" s="1812" t="s">
        <v>2936</v>
      </c>
      <c r="E47" s="819" t="s">
        <v>2937</v>
      </c>
      <c r="F47" s="2881" t="s">
        <v>2938</v>
      </c>
      <c r="G47" s="1812" t="s">
        <v>754</v>
      </c>
      <c r="H47" s="2882" t="s">
        <v>2939</v>
      </c>
      <c r="I47" s="1812" t="s">
        <v>2940</v>
      </c>
      <c r="J47" s="603" t="s">
        <v>2588</v>
      </c>
      <c r="K47" s="603" t="s">
        <v>2589</v>
      </c>
      <c r="L47" s="603" t="s">
        <v>2590</v>
      </c>
      <c r="M47" s="603" t="s">
        <v>2591</v>
      </c>
      <c r="N47" s="603" t="s">
        <v>2592</v>
      </c>
      <c r="AA47" s="1374"/>
      <c r="AB47" s="1374"/>
      <c r="AC47" s="1374"/>
      <c r="AD47" s="1374"/>
      <c r="AE47" s="1374"/>
      <c r="AF47" s="1374"/>
      <c r="AG47" s="1374"/>
      <c r="AH47" s="1374"/>
      <c r="AI47" s="1374"/>
      <c r="AJ47" s="1374"/>
      <c r="AK47" s="1374"/>
    </row>
    <row r="48" spans="1:37" s="1373" customFormat="1" ht="38.25">
      <c r="A48" s="2880" t="s">
        <v>2941</v>
      </c>
      <c r="B48" s="2883" t="str">
        <f>估价对象房地状况!C4</f>
        <v>估价对象位于XX商圈，周边商业氛围成熟，人流量大，商业繁华度好</v>
      </c>
      <c r="C48" s="2772"/>
      <c r="D48" s="1289">
        <f t="shared" ref="D48:D56" si="10">SUMIF($J$47:$N$47,C48,J48:N48)</f>
        <v>0</v>
      </c>
      <c r="E48" s="821">
        <f>ROUND(SUM(D48:D56),4)</f>
        <v>0</v>
      </c>
      <c r="F48" s="2504"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c r="A49" s="2880" t="s">
        <v>2942</v>
      </c>
      <c r="B49" s="2884" t="str">
        <f>估价对象房地状况!C18</f>
        <v>估价对象周边道路状况、公共交通通达情况、停车便捷程度，综合评价交通便捷度较好</v>
      </c>
      <c r="C49" s="2772"/>
      <c r="D49" s="1289">
        <f t="shared" si="10"/>
        <v>0</v>
      </c>
      <c r="E49" s="822"/>
      <c r="F49" s="2504"/>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80" t="s">
        <v>2943</v>
      </c>
      <c r="B50" s="2884">
        <f>估价对象房地状况!C19</f>
        <v>0</v>
      </c>
      <c r="C50" s="2772"/>
      <c r="D50" s="1289">
        <f t="shared" si="10"/>
        <v>0</v>
      </c>
      <c r="E50" s="822"/>
      <c r="F50" s="2504"/>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80" t="s">
        <v>2944</v>
      </c>
      <c r="B51" s="2885" t="s">
        <v>2945</v>
      </c>
      <c r="C51" s="2772"/>
      <c r="D51" s="1289">
        <f t="shared" si="10"/>
        <v>0</v>
      </c>
      <c r="E51" s="822"/>
      <c r="F51" s="2504"/>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80" t="s">
        <v>2946</v>
      </c>
      <c r="B52" s="2884">
        <f>估价对象房地状况!C24</f>
        <v>0</v>
      </c>
      <c r="C52" s="2772"/>
      <c r="D52" s="1289">
        <f t="shared" si="10"/>
        <v>0</v>
      </c>
      <c r="E52" s="822"/>
      <c r="F52" s="2504"/>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80" t="s">
        <v>2947</v>
      </c>
      <c r="B53" s="2886" t="s">
        <v>2948</v>
      </c>
      <c r="C53" s="2772"/>
      <c r="D53" s="1289">
        <f t="shared" si="10"/>
        <v>0</v>
      </c>
      <c r="E53" s="822"/>
      <c r="F53" s="2504"/>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c r="A54" s="2887" t="s">
        <v>2949</v>
      </c>
      <c r="B54" s="1728" t="str">
        <f>估价对象房地状况!C21</f>
        <v>估价对象所在区域公共配套设施齐备情况</v>
      </c>
      <c r="C54" s="2772"/>
      <c r="D54" s="1289">
        <f t="shared" si="10"/>
        <v>0</v>
      </c>
      <c r="E54" s="822"/>
      <c r="F54" s="2504"/>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87" t="s">
        <v>2950</v>
      </c>
      <c r="B55" s="2884" t="str">
        <f>估价对象房地状况!C22</f>
        <v>估价对象所在区域基础设施水平</v>
      </c>
      <c r="C55" s="2772"/>
      <c r="D55" s="1289">
        <f t="shared" si="10"/>
        <v>0</v>
      </c>
      <c r="E55" s="822"/>
      <c r="F55" s="2504"/>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thickBot="1">
      <c r="A56" s="2888" t="s">
        <v>2951</v>
      </c>
      <c r="B56" s="2889" t="str">
        <f>估价对象房地状况!C20</f>
        <v>区域自然环境：；人文环境；综合评价环境状况一般</v>
      </c>
      <c r="C56" s="2772"/>
      <c r="D56" s="1289">
        <f t="shared" si="10"/>
        <v>0</v>
      </c>
      <c r="E56" s="825"/>
      <c r="F56" s="2504"/>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6" t="s">
        <v>2952</v>
      </c>
      <c r="B57" s="2877">
        <f>1+E59</f>
        <v>1</v>
      </c>
      <c r="C57" s="814"/>
      <c r="D57" s="814"/>
      <c r="E57" s="815"/>
      <c r="F57" s="2879"/>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0" t="s">
        <v>2933</v>
      </c>
      <c r="B58" s="1812"/>
      <c r="C58" s="1812" t="s">
        <v>2935</v>
      </c>
      <c r="D58" s="1812" t="s">
        <v>2936</v>
      </c>
      <c r="E58" s="819" t="s">
        <v>2937</v>
      </c>
      <c r="F58" s="2881" t="s">
        <v>2953</v>
      </c>
      <c r="G58" s="1812" t="s">
        <v>754</v>
      </c>
      <c r="H58" s="2882" t="s">
        <v>2939</v>
      </c>
      <c r="I58" s="1812" t="s">
        <v>2940</v>
      </c>
      <c r="J58" s="603" t="s">
        <v>2588</v>
      </c>
      <c r="K58" s="603" t="s">
        <v>2589</v>
      </c>
      <c r="L58" s="603" t="s">
        <v>2590</v>
      </c>
      <c r="M58" s="603" t="s">
        <v>2591</v>
      </c>
      <c r="N58" s="603" t="s">
        <v>2592</v>
      </c>
      <c r="AA58" s="1374"/>
      <c r="AB58" s="1374"/>
      <c r="AC58" s="1374"/>
      <c r="AD58" s="1374"/>
      <c r="AE58" s="1374"/>
      <c r="AF58" s="1374"/>
      <c r="AG58" s="1374"/>
      <c r="AH58" s="1374"/>
      <c r="AI58" s="1374"/>
      <c r="AJ58" s="1374"/>
      <c r="AK58" s="1374"/>
    </row>
    <row r="59" spans="1:37" s="1373" customFormat="1" ht="38.25">
      <c r="A59" s="2880" t="s">
        <v>2954</v>
      </c>
      <c r="B59" s="2883" t="str">
        <f>估价对象房地状况!C17</f>
        <v>估价对象位于XX商圈，周边办公楼项目较多，入驻率高，办公集聚程度较好</v>
      </c>
      <c r="C59" s="2772"/>
      <c r="D59" s="1289">
        <f t="shared" ref="D59:D67" si="15">SUMIF($J$58:$N$58,C59,J59:N59)</f>
        <v>0</v>
      </c>
      <c r="E59" s="821">
        <f>ROUND(SUM(D59:D67),4)</f>
        <v>0</v>
      </c>
      <c r="F59" s="2504"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51">
      <c r="A60" s="2880" t="s">
        <v>2942</v>
      </c>
      <c r="B60" s="2884" t="str">
        <f>估价对象房地状况!C18</f>
        <v>估价对象周边道路状况、公共交通通达情况、停车便捷程度，综合评价交通便捷度较好</v>
      </c>
      <c r="C60" s="2772"/>
      <c r="D60" s="1289">
        <f t="shared" si="15"/>
        <v>0</v>
      </c>
      <c r="E60" s="822"/>
      <c r="F60" s="2504"/>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80" t="s">
        <v>2943</v>
      </c>
      <c r="B61" s="2884">
        <f>估价对象房地状况!C19</f>
        <v>0</v>
      </c>
      <c r="C61" s="2772"/>
      <c r="D61" s="1289">
        <f t="shared" si="15"/>
        <v>0</v>
      </c>
      <c r="E61" s="822"/>
      <c r="F61" s="2504"/>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80" t="s">
        <v>2944</v>
      </c>
      <c r="B62" s="2885" t="s">
        <v>2945</v>
      </c>
      <c r="C62" s="2772"/>
      <c r="D62" s="1289">
        <f t="shared" si="15"/>
        <v>0</v>
      </c>
      <c r="E62" s="822"/>
      <c r="F62" s="2504"/>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80" t="s">
        <v>2946</v>
      </c>
      <c r="B63" s="2884">
        <f>估价对象房地状况!C24</f>
        <v>0</v>
      </c>
      <c r="C63" s="2772"/>
      <c r="D63" s="1289">
        <f t="shared" si="15"/>
        <v>0</v>
      </c>
      <c r="E63" s="822"/>
      <c r="F63" s="2504"/>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80" t="s">
        <v>2947</v>
      </c>
      <c r="B64" s="2886" t="s">
        <v>2948</v>
      </c>
      <c r="C64" s="2772"/>
      <c r="D64" s="1289">
        <f t="shared" si="15"/>
        <v>0</v>
      </c>
      <c r="E64" s="822"/>
      <c r="F64" s="2504"/>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c r="A65" s="2880" t="s">
        <v>2949</v>
      </c>
      <c r="B65" s="1728" t="str">
        <f>估价对象房地状况!C21</f>
        <v>估价对象所在区域公共配套设施齐备情况</v>
      </c>
      <c r="C65" s="2772"/>
      <c r="D65" s="1289">
        <f t="shared" si="15"/>
        <v>0</v>
      </c>
      <c r="E65" s="822"/>
      <c r="F65" s="2504"/>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c r="A66" s="2880" t="s">
        <v>2950</v>
      </c>
      <c r="B66" s="1728" t="str">
        <f>估价对象房地状况!C22</f>
        <v>估价对象所在区域基础设施水平</v>
      </c>
      <c r="C66" s="2772"/>
      <c r="D66" s="1289">
        <f t="shared" si="15"/>
        <v>0</v>
      </c>
      <c r="E66" s="822"/>
      <c r="F66" s="2504"/>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thickBot="1">
      <c r="A67" s="2888" t="s">
        <v>2951</v>
      </c>
      <c r="B67" s="2890" t="str">
        <f>估价对象房地状况!C20</f>
        <v>区域自然环境：；人文环境；综合评价环境状况一般</v>
      </c>
      <c r="C67" s="2772"/>
      <c r="D67" s="1289">
        <f t="shared" si="15"/>
        <v>0</v>
      </c>
      <c r="E67" s="825"/>
      <c r="F67" s="2504"/>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6" t="s">
        <v>2955</v>
      </c>
      <c r="B68" s="2877">
        <f>1+E70</f>
        <v>1</v>
      </c>
      <c r="C68" s="814"/>
      <c r="D68" s="814"/>
      <c r="E68" s="815"/>
      <c r="F68" s="2879"/>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0" t="s">
        <v>2933</v>
      </c>
      <c r="B69" s="1812"/>
      <c r="C69" s="1812" t="s">
        <v>2935</v>
      </c>
      <c r="D69" s="1812" t="s">
        <v>2936</v>
      </c>
      <c r="E69" s="819" t="s">
        <v>2937</v>
      </c>
      <c r="F69" s="2881" t="s">
        <v>2953</v>
      </c>
      <c r="G69" s="1812" t="s">
        <v>754</v>
      </c>
      <c r="H69" s="2882" t="s">
        <v>2939</v>
      </c>
      <c r="I69" s="1812" t="s">
        <v>2940</v>
      </c>
      <c r="J69" s="603" t="s">
        <v>2588</v>
      </c>
      <c r="K69" s="603" t="s">
        <v>2589</v>
      </c>
      <c r="L69" s="603" t="s">
        <v>2590</v>
      </c>
      <c r="M69" s="603" t="s">
        <v>2591</v>
      </c>
      <c r="N69" s="603" t="s">
        <v>2592</v>
      </c>
      <c r="AA69" s="1374"/>
      <c r="AB69" s="1374"/>
      <c r="AC69" s="1374"/>
      <c r="AD69" s="1374"/>
      <c r="AE69" s="1374"/>
      <c r="AF69" s="1374"/>
      <c r="AG69" s="1374"/>
      <c r="AH69" s="1374"/>
      <c r="AI69" s="1374"/>
      <c r="AJ69" s="1374"/>
      <c r="AK69" s="1374"/>
    </row>
    <row r="70" spans="1:37" s="1373" customFormat="1" ht="51">
      <c r="A70" s="2880" t="s">
        <v>2956</v>
      </c>
      <c r="B70" s="2883" t="str">
        <f>估价对象房地状况!C15</f>
        <v>估价对象周边居住用地比例、居住小区规模和社区发展完善程度，综合评价居住社区成熟度一般</v>
      </c>
      <c r="C70" s="2772"/>
      <c r="D70" s="1289">
        <f t="shared" ref="D70:D78" si="20">SUMIF($J$69:$N$69,C70,J70:N70)</f>
        <v>0</v>
      </c>
      <c r="E70" s="821">
        <f>ROUND(SUM(D70:D78),4)</f>
        <v>0</v>
      </c>
      <c r="F70" s="2504"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c r="A71" s="2880" t="s">
        <v>2942</v>
      </c>
      <c r="B71" s="2884" t="str">
        <f>估价对象房地状况!C18</f>
        <v>估价对象周边道路状况、公共交通通达情况、停车便捷程度，综合评价交通便捷度较好</v>
      </c>
      <c r="C71" s="2772"/>
      <c r="D71" s="1289">
        <f t="shared" si="20"/>
        <v>0</v>
      </c>
      <c r="E71" s="826"/>
      <c r="F71" s="2504"/>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80" t="s">
        <v>2943</v>
      </c>
      <c r="B72" s="2884">
        <f>估价对象房地状况!C19</f>
        <v>0</v>
      </c>
      <c r="C72" s="2772"/>
      <c r="D72" s="1289">
        <f t="shared" si="20"/>
        <v>0</v>
      </c>
      <c r="E72" s="826"/>
      <c r="F72" s="2504"/>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80" t="s">
        <v>2957</v>
      </c>
      <c r="B73" s="2884">
        <f>估价对象房地状况!C24</f>
        <v>0</v>
      </c>
      <c r="C73" s="2772"/>
      <c r="D73" s="1289">
        <f t="shared" si="20"/>
        <v>0</v>
      </c>
      <c r="E73" s="826"/>
      <c r="F73" s="2504"/>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c r="A74" s="2880" t="s">
        <v>2949</v>
      </c>
      <c r="B74" s="1728" t="str">
        <f>估价对象房地状况!C21</f>
        <v>估价对象所在区域公共配套设施齐备情况</v>
      </c>
      <c r="C74" s="2772"/>
      <c r="D74" s="1289">
        <f t="shared" si="20"/>
        <v>0</v>
      </c>
      <c r="E74" s="826"/>
      <c r="F74" s="2504"/>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80" t="s">
        <v>2950</v>
      </c>
      <c r="B75" s="1728" t="str">
        <f>估价对象房地状况!C22</f>
        <v>估价对象所在区域基础设施水平</v>
      </c>
      <c r="C75" s="2772"/>
      <c r="D75" s="1289">
        <f t="shared" si="20"/>
        <v>0</v>
      </c>
      <c r="E75" s="826"/>
      <c r="F75" s="2504"/>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1" customFormat="1" ht="24">
      <c r="A76" s="2880" t="s">
        <v>2947</v>
      </c>
      <c r="B76" s="2886" t="s">
        <v>2948</v>
      </c>
      <c r="C76" s="2772"/>
      <c r="D76" s="1289">
        <f t="shared" si="20"/>
        <v>0</v>
      </c>
      <c r="E76" s="826"/>
      <c r="F76" s="2504"/>
      <c r="G76" s="1287"/>
      <c r="H76" s="1291" t="str">
        <f t="shared" si="21"/>
        <v>——</v>
      </c>
      <c r="I76" s="820">
        <v>0.05</v>
      </c>
      <c r="J76" s="1288">
        <f t="shared" si="22"/>
        <v>0</v>
      </c>
      <c r="K76" s="1288">
        <f t="shared" si="23"/>
        <v>0</v>
      </c>
      <c r="L76" s="1288">
        <v>0</v>
      </c>
      <c r="M76" s="1288">
        <f t="shared" si="24"/>
        <v>0</v>
      </c>
      <c r="N76" s="1288">
        <f t="shared" si="24"/>
        <v>0</v>
      </c>
      <c r="AA76" s="2891"/>
      <c r="AB76" s="1374"/>
      <c r="AC76" s="1374"/>
      <c r="AD76" s="1374"/>
      <c r="AE76" s="1374"/>
      <c r="AF76" s="1374"/>
      <c r="AG76" s="1374"/>
      <c r="AH76" s="2891"/>
      <c r="AI76" s="2891"/>
      <c r="AJ76" s="2891"/>
      <c r="AK76" s="2891"/>
    </row>
    <row r="77" spans="1:37" ht="38.25">
      <c r="A77" s="2880" t="s">
        <v>2951</v>
      </c>
      <c r="B77" s="2883" t="str">
        <f>估价对象房地状况!C20</f>
        <v>区域自然环境：；人文环境；综合评价环境状况一般</v>
      </c>
      <c r="C77" s="2772"/>
      <c r="D77" s="1289">
        <f t="shared" si="20"/>
        <v>0</v>
      </c>
      <c r="E77" s="826"/>
      <c r="F77" s="2504"/>
      <c r="G77" s="1287"/>
      <c r="H77" s="1291" t="str">
        <f t="shared" si="21"/>
        <v>——</v>
      </c>
      <c r="I77" s="820">
        <v>0.15</v>
      </c>
      <c r="J77" s="1288">
        <f t="shared" si="22"/>
        <v>0</v>
      </c>
      <c r="K77" s="1288">
        <f t="shared" si="23"/>
        <v>0</v>
      </c>
      <c r="L77" s="1288">
        <v>0</v>
      </c>
      <c r="M77" s="1288">
        <f t="shared" si="24"/>
        <v>0</v>
      </c>
      <c r="N77" s="1288">
        <f t="shared" si="24"/>
        <v>0</v>
      </c>
      <c r="Z77" s="2722"/>
      <c r="AA77" s="2798"/>
      <c r="AG77" s="1375"/>
      <c r="AK77" s="2798"/>
    </row>
    <row r="78" spans="1:37" ht="24.75" thickBot="1">
      <c r="A78" s="2888" t="s">
        <v>2958</v>
      </c>
      <c r="B78" s="2892"/>
      <c r="C78" s="2772"/>
      <c r="D78" s="1289">
        <f t="shared" si="20"/>
        <v>0</v>
      </c>
      <c r="E78" s="827"/>
      <c r="F78" s="2504"/>
      <c r="G78" s="1287"/>
      <c r="H78" s="1291" t="str">
        <f t="shared" si="21"/>
        <v>——</v>
      </c>
      <c r="I78" s="824">
        <v>0.04</v>
      </c>
      <c r="J78" s="1288">
        <f t="shared" si="22"/>
        <v>0</v>
      </c>
      <c r="K78" s="1288">
        <f t="shared" si="23"/>
        <v>0</v>
      </c>
      <c r="L78" s="1288">
        <v>0</v>
      </c>
      <c r="M78" s="1288">
        <f t="shared" si="24"/>
        <v>0</v>
      </c>
      <c r="N78" s="1288">
        <f t="shared" si="24"/>
        <v>0</v>
      </c>
      <c r="Z78" s="2722"/>
      <c r="AA78" s="2798"/>
      <c r="AG78" s="1375"/>
      <c r="AK78" s="2798"/>
    </row>
    <row r="79" spans="1:37" ht="15">
      <c r="A79" s="2876" t="s">
        <v>2959</v>
      </c>
      <c r="B79" s="2877">
        <f>1+E81</f>
        <v>1</v>
      </c>
      <c r="C79" s="814"/>
      <c r="D79" s="814"/>
      <c r="E79" s="815"/>
      <c r="F79" s="2879"/>
      <c r="G79" s="6"/>
      <c r="H79" s="6"/>
      <c r="I79" s="6"/>
      <c r="J79" s="7"/>
      <c r="K79" s="7"/>
      <c r="L79" s="7"/>
      <c r="M79" s="7"/>
      <c r="N79" s="7"/>
      <c r="Z79" s="2722"/>
      <c r="AA79" s="2798"/>
      <c r="AG79" s="1375"/>
      <c r="AK79" s="2798"/>
    </row>
    <row r="80" spans="1:37" ht="24.75">
      <c r="A80" s="2880" t="s">
        <v>2933</v>
      </c>
      <c r="B80" s="1812"/>
      <c r="C80" s="1812" t="s">
        <v>2935</v>
      </c>
      <c r="D80" s="1812" t="s">
        <v>2936</v>
      </c>
      <c r="E80" s="819" t="s">
        <v>2937</v>
      </c>
      <c r="F80" s="2881" t="s">
        <v>2953</v>
      </c>
      <c r="G80" s="1812" t="s">
        <v>754</v>
      </c>
      <c r="H80" s="2882" t="s">
        <v>2939</v>
      </c>
      <c r="I80" s="1812" t="s">
        <v>2940</v>
      </c>
      <c r="J80" s="603" t="s">
        <v>2588</v>
      </c>
      <c r="K80" s="603" t="s">
        <v>2589</v>
      </c>
      <c r="L80" s="603" t="s">
        <v>2590</v>
      </c>
      <c r="M80" s="603" t="s">
        <v>2591</v>
      </c>
      <c r="N80" s="603" t="s">
        <v>2592</v>
      </c>
      <c r="Z80" s="2722"/>
      <c r="AA80" s="2798"/>
      <c r="AG80" s="1375"/>
      <c r="AK80" s="2798"/>
    </row>
    <row r="81" spans="1:37" ht="38.25">
      <c r="A81" s="2880" t="s">
        <v>2960</v>
      </c>
      <c r="B81" s="2884" t="str">
        <f>估价对象房地状况!G15</f>
        <v>估价对象位于XX开发区，园区建设成熟度XX，产业集聚程度XX</v>
      </c>
      <c r="C81" s="2772"/>
      <c r="D81" s="1289">
        <f t="shared" ref="D81:D88" si="25">SUMIF($J$80:$N$80,C81,J81:N81)</f>
        <v>0</v>
      </c>
      <c r="E81" s="821">
        <f>ROUND(SUM(D81:D88),4)</f>
        <v>0</v>
      </c>
      <c r="F81" s="2504"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2"/>
      <c r="AA81" s="2798"/>
      <c r="AG81" s="1375"/>
      <c r="AK81" s="2798"/>
    </row>
    <row r="82" spans="1:37" ht="51">
      <c r="A82" s="2880" t="s">
        <v>2942</v>
      </c>
      <c r="B82" s="2884" t="str">
        <f>估价对象房地状况!G16</f>
        <v>估价对象周边道路状况、公共交通通达情况、停车便捷程度，综合评价交通便捷度较好</v>
      </c>
      <c r="C82" s="2772"/>
      <c r="D82" s="1289">
        <f t="shared" si="25"/>
        <v>0</v>
      </c>
      <c r="E82" s="826"/>
      <c r="F82" s="2504"/>
      <c r="G82" s="1287"/>
      <c r="H82" s="1291" t="str">
        <f t="shared" si="26"/>
        <v>——</v>
      </c>
      <c r="I82" s="820">
        <v>0.33</v>
      </c>
      <c r="J82" s="1288">
        <f t="shared" si="27"/>
        <v>0</v>
      </c>
      <c r="K82" s="1288">
        <f t="shared" si="28"/>
        <v>0</v>
      </c>
      <c r="L82" s="1288">
        <v>0</v>
      </c>
      <c r="M82" s="1288">
        <f t="shared" si="29"/>
        <v>0</v>
      </c>
      <c r="N82" s="1288">
        <f t="shared" si="29"/>
        <v>0</v>
      </c>
      <c r="Z82" s="2722"/>
      <c r="AA82" s="2798"/>
      <c r="AG82" s="1375"/>
      <c r="AK82" s="2798"/>
    </row>
    <row r="83" spans="1:37" ht="24">
      <c r="A83" s="2880" t="s">
        <v>2943</v>
      </c>
      <c r="B83" s="2884">
        <f>估价对象房地状况!G17</f>
        <v>0</v>
      </c>
      <c r="C83" s="2772"/>
      <c r="D83" s="1289">
        <f t="shared" si="25"/>
        <v>0</v>
      </c>
      <c r="E83" s="826"/>
      <c r="F83" s="2504"/>
      <c r="G83" s="1287"/>
      <c r="H83" s="1291" t="str">
        <f t="shared" si="26"/>
        <v>——</v>
      </c>
      <c r="I83" s="820">
        <v>0.05</v>
      </c>
      <c r="J83" s="1288">
        <f t="shared" si="27"/>
        <v>0</v>
      </c>
      <c r="K83" s="1288">
        <f t="shared" si="28"/>
        <v>0</v>
      </c>
      <c r="L83" s="1288">
        <v>0</v>
      </c>
      <c r="M83" s="1288">
        <f t="shared" si="29"/>
        <v>0</v>
      </c>
      <c r="N83" s="1288">
        <f t="shared" si="29"/>
        <v>0</v>
      </c>
      <c r="Z83" s="2722"/>
      <c r="AA83" s="2798"/>
      <c r="AG83" s="1375"/>
      <c r="AK83" s="2798"/>
    </row>
    <row r="84" spans="1:37" ht="14.25">
      <c r="A84" s="2880" t="s">
        <v>2957</v>
      </c>
      <c r="B84" s="2884">
        <f>估价对象房地状况!G22</f>
        <v>0</v>
      </c>
      <c r="C84" s="2772"/>
      <c r="D84" s="1289">
        <f t="shared" si="25"/>
        <v>0</v>
      </c>
      <c r="E84" s="826"/>
      <c r="F84" s="2504"/>
      <c r="G84" s="1287"/>
      <c r="H84" s="1291" t="str">
        <f t="shared" si="26"/>
        <v>——</v>
      </c>
      <c r="I84" s="820">
        <v>0.04</v>
      </c>
      <c r="J84" s="1288">
        <f t="shared" si="27"/>
        <v>0</v>
      </c>
      <c r="K84" s="1288">
        <f t="shared" si="28"/>
        <v>0</v>
      </c>
      <c r="L84" s="1288">
        <v>0</v>
      </c>
      <c r="M84" s="1288">
        <f t="shared" si="29"/>
        <v>0</v>
      </c>
      <c r="N84" s="1288">
        <f t="shared" si="29"/>
        <v>0</v>
      </c>
      <c r="Z84" s="2722"/>
      <c r="AA84" s="2798"/>
      <c r="AG84" s="1375"/>
      <c r="AK84" s="2798"/>
    </row>
    <row r="85" spans="1:37" ht="25.5">
      <c r="A85" s="2880" t="s">
        <v>2949</v>
      </c>
      <c r="B85" s="1728" t="str">
        <f>估价对象房地状况!G19</f>
        <v>估价对象所在区域公共配套设施齐备情况</v>
      </c>
      <c r="C85" s="2772"/>
      <c r="D85" s="1289">
        <f t="shared" si="25"/>
        <v>0</v>
      </c>
      <c r="E85" s="826"/>
      <c r="F85" s="2504"/>
      <c r="G85" s="1287"/>
      <c r="H85" s="1291" t="str">
        <f t="shared" si="26"/>
        <v>——</v>
      </c>
      <c r="I85" s="820">
        <v>0.06</v>
      </c>
      <c r="J85" s="1288">
        <f t="shared" si="27"/>
        <v>0</v>
      </c>
      <c r="K85" s="1288">
        <f t="shared" si="28"/>
        <v>0</v>
      </c>
      <c r="L85" s="1288">
        <v>0</v>
      </c>
      <c r="M85" s="1288">
        <f t="shared" si="29"/>
        <v>0</v>
      </c>
      <c r="N85" s="1288">
        <f t="shared" si="29"/>
        <v>0</v>
      </c>
      <c r="Z85" s="2722"/>
      <c r="AA85" s="2798"/>
      <c r="AG85" s="1375"/>
      <c r="AK85" s="2798"/>
    </row>
    <row r="86" spans="1:37" ht="25.5">
      <c r="A86" s="2880" t="s">
        <v>2950</v>
      </c>
      <c r="B86" s="1728" t="str">
        <f>估价对象房地状况!G20</f>
        <v>估价对象所在区域基础设施水平</v>
      </c>
      <c r="C86" s="2772"/>
      <c r="D86" s="1289">
        <f t="shared" si="25"/>
        <v>0</v>
      </c>
      <c r="E86" s="826"/>
      <c r="F86" s="2504"/>
      <c r="G86" s="1287"/>
      <c r="H86" s="1291" t="str">
        <f t="shared" si="26"/>
        <v>——</v>
      </c>
      <c r="I86" s="820">
        <v>0.15</v>
      </c>
      <c r="J86" s="1288">
        <f t="shared" si="27"/>
        <v>0</v>
      </c>
      <c r="K86" s="1288">
        <f t="shared" si="28"/>
        <v>0</v>
      </c>
      <c r="L86" s="1288">
        <v>0</v>
      </c>
      <c r="M86" s="1288">
        <f t="shared" si="29"/>
        <v>0</v>
      </c>
      <c r="N86" s="1288">
        <f t="shared" si="29"/>
        <v>0</v>
      </c>
      <c r="Z86" s="2722"/>
      <c r="AA86" s="2798"/>
      <c r="AG86" s="1375"/>
      <c r="AK86" s="2798"/>
    </row>
    <row r="87" spans="1:37" ht="24">
      <c r="A87" s="2880" t="s">
        <v>2947</v>
      </c>
      <c r="B87" s="2886" t="s">
        <v>2961</v>
      </c>
      <c r="C87" s="2772"/>
      <c r="D87" s="1289">
        <f t="shared" si="25"/>
        <v>0</v>
      </c>
      <c r="E87" s="826"/>
      <c r="F87" s="2504"/>
      <c r="G87" s="1287"/>
      <c r="H87" s="1291" t="str">
        <f t="shared" si="26"/>
        <v>——</v>
      </c>
      <c r="I87" s="820">
        <v>0.05</v>
      </c>
      <c r="J87" s="1288">
        <f t="shared" si="27"/>
        <v>0</v>
      </c>
      <c r="K87" s="1288">
        <f t="shared" si="28"/>
        <v>0</v>
      </c>
      <c r="L87" s="1288">
        <v>0</v>
      </c>
      <c r="M87" s="1288">
        <f t="shared" si="29"/>
        <v>0</v>
      </c>
      <c r="N87" s="1288">
        <f t="shared" si="29"/>
        <v>0</v>
      </c>
      <c r="Z87" s="2722"/>
      <c r="AA87" s="2798"/>
      <c r="AG87" s="1375"/>
      <c r="AK87" s="2798"/>
    </row>
    <row r="88" spans="1:37" ht="39" thickBot="1">
      <c r="A88" s="2888" t="s">
        <v>2962</v>
      </c>
      <c r="B88" s="2893" t="str">
        <f>估价对象房地状况!G18</f>
        <v>该园区内是否有污染型企业，绿化情况，卫生条件，整体环境状况判断</v>
      </c>
      <c r="C88" s="2772"/>
      <c r="D88" s="1289">
        <f t="shared" si="25"/>
        <v>0</v>
      </c>
      <c r="E88" s="827"/>
      <c r="F88" s="2504"/>
      <c r="G88" s="1287"/>
      <c r="H88" s="1291" t="str">
        <f t="shared" si="26"/>
        <v>——</v>
      </c>
      <c r="I88" s="824">
        <v>0.06</v>
      </c>
      <c r="J88" s="1288">
        <f t="shared" si="27"/>
        <v>0</v>
      </c>
      <c r="K88" s="1288">
        <f t="shared" si="28"/>
        <v>0</v>
      </c>
      <c r="L88" s="1288">
        <v>0</v>
      </c>
      <c r="M88" s="1288">
        <f t="shared" si="29"/>
        <v>0</v>
      </c>
      <c r="N88" s="1288">
        <f t="shared" si="29"/>
        <v>0</v>
      </c>
      <c r="Z88" s="2722"/>
      <c r="AA88" s="2798"/>
      <c r="AG88" s="1375"/>
      <c r="AK88" s="2798"/>
    </row>
    <row r="90" spans="1:37">
      <c r="A90" s="3294" t="s">
        <v>2963</v>
      </c>
      <c r="B90" s="3294"/>
      <c r="C90" s="3294"/>
      <c r="D90" s="3294"/>
      <c r="E90" s="3294"/>
      <c r="F90" s="3294"/>
      <c r="G90" s="3294"/>
      <c r="H90" s="3294"/>
      <c r="I90" s="3294"/>
      <c r="J90" s="3294"/>
      <c r="K90" s="2894"/>
      <c r="L90" s="2894"/>
      <c r="M90" s="2894"/>
      <c r="N90" s="2894"/>
    </row>
    <row r="91" spans="1:37">
      <c r="A91" s="3296" t="s">
        <v>2964</v>
      </c>
      <c r="B91" s="3296" t="s">
        <v>2965</v>
      </c>
      <c r="C91" s="2848" t="s">
        <v>2966</v>
      </c>
      <c r="D91" s="2849"/>
      <c r="E91" s="2849"/>
      <c r="F91" s="2849"/>
      <c r="G91" s="2849"/>
      <c r="H91" s="2849"/>
      <c r="I91" s="2849"/>
      <c r="J91" s="2895"/>
      <c r="K91" s="2896"/>
      <c r="L91" s="2896"/>
      <c r="M91" s="2896"/>
      <c r="N91" s="2896"/>
    </row>
    <row r="92" spans="1:37">
      <c r="A92" s="3296"/>
      <c r="B92" s="3296"/>
      <c r="C92" s="945" t="s">
        <v>2830</v>
      </c>
      <c r="D92" s="945" t="s">
        <v>2831</v>
      </c>
      <c r="E92" s="945" t="s">
        <v>2832</v>
      </c>
      <c r="F92" s="945" t="s">
        <v>2833</v>
      </c>
      <c r="G92" s="945" t="s">
        <v>2834</v>
      </c>
      <c r="H92" s="945" t="s">
        <v>2835</v>
      </c>
      <c r="I92" s="945" t="s">
        <v>2836</v>
      </c>
      <c r="J92" s="945" t="s">
        <v>2837</v>
      </c>
      <c r="K92" s="945" t="s">
        <v>2838</v>
      </c>
      <c r="L92" s="945" t="s">
        <v>2839</v>
      </c>
      <c r="M92" s="945" t="s">
        <v>2840</v>
      </c>
      <c r="N92" s="945" t="s">
        <v>2841</v>
      </c>
    </row>
    <row r="93" spans="1:37">
      <c r="A93" s="3297" t="s">
        <v>2967</v>
      </c>
      <c r="B93" s="2897">
        <v>1</v>
      </c>
      <c r="C93" s="2898">
        <v>1.9361999999999999</v>
      </c>
      <c r="D93" s="2898">
        <v>1.9361999999999999</v>
      </c>
      <c r="E93" s="2898">
        <v>1.8629</v>
      </c>
      <c r="F93" s="2898">
        <v>1.8629</v>
      </c>
      <c r="G93" s="2898">
        <v>1.8629</v>
      </c>
      <c r="H93" s="2898">
        <v>1.8629</v>
      </c>
      <c r="I93" s="2898">
        <v>1.8629</v>
      </c>
      <c r="J93" s="2898">
        <v>1.9419999999999999</v>
      </c>
      <c r="K93" s="2898">
        <v>1.9419999999999999</v>
      </c>
      <c r="L93" s="2898">
        <v>1.9419999999999999</v>
      </c>
      <c r="M93" s="2898">
        <v>1.9419999999999999</v>
      </c>
      <c r="N93" s="2898">
        <v>1.9419999999999999</v>
      </c>
    </row>
    <row r="94" spans="1:37">
      <c r="A94" s="3298"/>
      <c r="B94" s="2897">
        <v>2</v>
      </c>
      <c r="C94" s="2898">
        <v>1.4198</v>
      </c>
      <c r="D94" s="2898">
        <v>1.4198</v>
      </c>
      <c r="E94" s="2898">
        <v>1.3371999999999999</v>
      </c>
      <c r="F94" s="2898">
        <v>1.3371999999999999</v>
      </c>
      <c r="G94" s="2898">
        <v>1.3371999999999999</v>
      </c>
      <c r="H94" s="2898">
        <v>1.3371999999999999</v>
      </c>
      <c r="I94" s="2898">
        <v>1.3371999999999999</v>
      </c>
      <c r="J94" s="2898">
        <v>1.2799</v>
      </c>
      <c r="K94" s="2898">
        <v>1.2799</v>
      </c>
      <c r="L94" s="2898">
        <v>1.2799</v>
      </c>
      <c r="M94" s="2898">
        <v>1.2799</v>
      </c>
      <c r="N94" s="2898">
        <v>1.2799</v>
      </c>
    </row>
    <row r="95" spans="1:37">
      <c r="A95" s="3298"/>
      <c r="B95" s="2897">
        <v>3</v>
      </c>
      <c r="C95" s="2898">
        <v>1.1594</v>
      </c>
      <c r="D95" s="2898">
        <v>1.1594</v>
      </c>
      <c r="E95" s="2898">
        <v>1.0788</v>
      </c>
      <c r="F95" s="2898">
        <v>1.0788</v>
      </c>
      <c r="G95" s="2898">
        <v>1.0788</v>
      </c>
      <c r="H95" s="2898">
        <v>1.0788</v>
      </c>
      <c r="I95" s="2898">
        <v>1.0788</v>
      </c>
      <c r="J95" s="2898">
        <v>1.0072000000000001</v>
      </c>
      <c r="K95" s="2898">
        <v>1.0072000000000001</v>
      </c>
      <c r="L95" s="2898">
        <v>1.0072000000000001</v>
      </c>
      <c r="M95" s="2898">
        <v>1.0072000000000001</v>
      </c>
      <c r="N95" s="2898">
        <v>1.0072000000000001</v>
      </c>
    </row>
    <row r="96" spans="1:37">
      <c r="A96" s="3298"/>
      <c r="B96" s="2897">
        <v>4</v>
      </c>
      <c r="C96" s="2898">
        <v>0.96220000000000006</v>
      </c>
      <c r="D96" s="2898">
        <v>0.96220000000000006</v>
      </c>
      <c r="E96" s="2898">
        <v>0.86560000000000004</v>
      </c>
      <c r="F96" s="2898">
        <v>0.86560000000000004</v>
      </c>
      <c r="G96" s="2898">
        <v>0.86560000000000004</v>
      </c>
      <c r="H96" s="2898">
        <v>0.86560000000000004</v>
      </c>
      <c r="I96" s="2898">
        <v>0.86560000000000004</v>
      </c>
      <c r="J96" s="2898">
        <v>0.75249999999999995</v>
      </c>
      <c r="K96" s="2898">
        <v>0.75249999999999995</v>
      </c>
      <c r="L96" s="2898">
        <v>0.75249999999999995</v>
      </c>
      <c r="M96" s="2898">
        <v>0.75249999999999995</v>
      </c>
      <c r="N96" s="2898">
        <v>0.75249999999999995</v>
      </c>
    </row>
    <row r="97" spans="1:14">
      <c r="A97" s="3298"/>
      <c r="B97" s="2897">
        <v>5</v>
      </c>
      <c r="C97" s="2898">
        <v>0.8417</v>
      </c>
      <c r="D97" s="2898">
        <v>0.8417</v>
      </c>
      <c r="E97" s="2898">
        <v>0.73709999999999998</v>
      </c>
      <c r="F97" s="2898">
        <v>0.73709999999999998</v>
      </c>
      <c r="G97" s="2898">
        <v>0.73709999999999998</v>
      </c>
      <c r="H97" s="2898">
        <v>0.73709999999999998</v>
      </c>
      <c r="I97" s="2898">
        <v>0.73709999999999998</v>
      </c>
      <c r="J97" s="2898">
        <v>0.56589999999999996</v>
      </c>
      <c r="K97" s="2898">
        <v>0.56589999999999996</v>
      </c>
      <c r="L97" s="2898">
        <v>0.56589999999999996</v>
      </c>
      <c r="M97" s="2898">
        <v>0.56589999999999996</v>
      </c>
      <c r="N97" s="2898">
        <v>0.56589999999999996</v>
      </c>
    </row>
    <row r="98" spans="1:14">
      <c r="A98" s="3298"/>
      <c r="B98" s="2897">
        <v>6</v>
      </c>
      <c r="C98" s="2898">
        <v>0.76080000000000003</v>
      </c>
      <c r="D98" s="2898">
        <v>0.76080000000000003</v>
      </c>
      <c r="E98" s="2898">
        <v>0.6482</v>
      </c>
      <c r="F98" s="2898">
        <v>0.6482</v>
      </c>
      <c r="G98" s="2898">
        <v>0.6482</v>
      </c>
      <c r="H98" s="2898">
        <v>0.6482</v>
      </c>
      <c r="I98" s="2898">
        <v>0.6482</v>
      </c>
      <c r="J98" s="2898">
        <v>0.45250000000000001</v>
      </c>
      <c r="K98" s="2898">
        <v>0.45250000000000001</v>
      </c>
      <c r="L98" s="2898">
        <v>0.45250000000000001</v>
      </c>
      <c r="M98" s="2898">
        <v>0.45250000000000001</v>
      </c>
      <c r="N98" s="2898">
        <v>0.45250000000000001</v>
      </c>
    </row>
    <row r="99" spans="1:14">
      <c r="A99" s="3298"/>
      <c r="B99" s="2897" t="s">
        <v>2846</v>
      </c>
      <c r="C99" s="2899">
        <f>$I$3</f>
        <v>0</v>
      </c>
      <c r="D99" s="2899">
        <f t="shared" ref="D99:M99" si="30">$I$3</f>
        <v>0</v>
      </c>
      <c r="E99" s="2899">
        <f t="shared" si="30"/>
        <v>0</v>
      </c>
      <c r="F99" s="2899">
        <f t="shared" si="30"/>
        <v>0</v>
      </c>
      <c r="G99" s="2899">
        <f t="shared" si="30"/>
        <v>0</v>
      </c>
      <c r="H99" s="2899">
        <f t="shared" si="30"/>
        <v>0</v>
      </c>
      <c r="I99" s="2899">
        <f t="shared" si="30"/>
        <v>0</v>
      </c>
      <c r="J99" s="2899">
        <f t="shared" si="30"/>
        <v>0</v>
      </c>
      <c r="K99" s="2899">
        <f t="shared" si="30"/>
        <v>0</v>
      </c>
      <c r="L99" s="2899">
        <f t="shared" si="30"/>
        <v>0</v>
      </c>
      <c r="M99" s="2899">
        <f t="shared" si="30"/>
        <v>0</v>
      </c>
      <c r="N99" s="2899">
        <f>$I$3</f>
        <v>0</v>
      </c>
    </row>
    <row r="100" spans="1:14">
      <c r="A100" s="3299"/>
      <c r="B100" s="2897">
        <v>7</v>
      </c>
      <c r="C100" s="2900">
        <f>(-0.163*(C99^2)-0.59*C99+7617)*(10^(-4))</f>
        <v>0.76170000000000004</v>
      </c>
      <c r="D100" s="2900">
        <f>(-0.163*(D99^2)-0.59*D99+7617)*(10^(-4))</f>
        <v>0.76170000000000004</v>
      </c>
      <c r="E100" s="2900">
        <f>(-0.161*(E99^2)-7.509*E99+6533)*(10^(-4))</f>
        <v>0.65329999999999999</v>
      </c>
      <c r="F100" s="2900">
        <f>(-0.161*(F99^2)-7.509*F99+6533)*(10^(-4))</f>
        <v>0.65329999999999999</v>
      </c>
      <c r="G100" s="2900">
        <f>(-0.161*(G99^2)-7.509*G99+6533)*(10^(-4))</f>
        <v>0.65329999999999999</v>
      </c>
      <c r="H100" s="2900">
        <f>(-0.161*(H99^2)-7.509*H99+6533)*(10^(-4))</f>
        <v>0.65329999999999999</v>
      </c>
      <c r="I100" s="2900">
        <f>(-0.161*(I99^2)-7.509*I99+6533)*(10^(-4))</f>
        <v>0.65329999999999999</v>
      </c>
      <c r="J100" s="2900">
        <f>(-0.214*(J99^2)-21.991*J99+4665)*(10^(-4))</f>
        <v>0.46650000000000003</v>
      </c>
      <c r="K100" s="2900">
        <f>(-0.214*(K99^2)-21.991*K99+4665)*(10^(-4))</f>
        <v>0.46650000000000003</v>
      </c>
      <c r="L100" s="2900">
        <f>(-0.214*(L99^2)-21.991*L99+4665)*(10^(-4))</f>
        <v>0.46650000000000003</v>
      </c>
      <c r="M100" s="2900">
        <f>(-0.214*(M99^2)-21.991*M99+4665)*(10^(-4))</f>
        <v>0.46650000000000003</v>
      </c>
      <c r="N100" s="2900">
        <f>(-0.214*(N99^2)-21.991*N99+4665)*(10^(-4))</f>
        <v>0.46650000000000003</v>
      </c>
    </row>
    <row r="101" spans="1:14">
      <c r="A101" s="3297" t="s">
        <v>2968</v>
      </c>
      <c r="B101" s="2901" t="s">
        <v>2969</v>
      </c>
      <c r="C101" s="2902">
        <f>$G$3</f>
        <v>1.04</v>
      </c>
      <c r="D101" s="2902">
        <f t="shared" ref="D101:N101" si="31">$G$3</f>
        <v>1.04</v>
      </c>
      <c r="E101" s="2902">
        <f t="shared" si="31"/>
        <v>1.04</v>
      </c>
      <c r="F101" s="2902">
        <f t="shared" si="31"/>
        <v>1.04</v>
      </c>
      <c r="G101" s="2902">
        <f t="shared" si="31"/>
        <v>1.04</v>
      </c>
      <c r="H101" s="2902">
        <f t="shared" si="31"/>
        <v>1.04</v>
      </c>
      <c r="I101" s="2902">
        <f t="shared" si="31"/>
        <v>1.04</v>
      </c>
      <c r="J101" s="2902">
        <f t="shared" si="31"/>
        <v>1.04</v>
      </c>
      <c r="K101" s="2902">
        <f t="shared" si="31"/>
        <v>1.04</v>
      </c>
      <c r="L101" s="2902">
        <f t="shared" si="31"/>
        <v>1.04</v>
      </c>
      <c r="M101" s="2902">
        <f t="shared" si="31"/>
        <v>1.04</v>
      </c>
      <c r="N101" s="2902">
        <f t="shared" si="31"/>
        <v>1.04</v>
      </c>
    </row>
    <row r="102" spans="1:14">
      <c r="A102" s="3298"/>
      <c r="B102" s="2897">
        <v>1</v>
      </c>
      <c r="C102" s="2898">
        <f>1.9362/C101</f>
        <v>1.8617307692307692</v>
      </c>
      <c r="D102" s="2898">
        <f>1.9362/D101</f>
        <v>1.8617307692307692</v>
      </c>
      <c r="E102" s="2898">
        <f>1.8629/E101</f>
        <v>1.79125</v>
      </c>
      <c r="F102" s="2898">
        <f>1.8629/F101</f>
        <v>1.79125</v>
      </c>
      <c r="G102" s="2898">
        <f>1.8629/G101</f>
        <v>1.79125</v>
      </c>
      <c r="H102" s="2898">
        <f>1.8629/H101</f>
        <v>1.79125</v>
      </c>
      <c r="I102" s="2898">
        <f>1.8629/I101</f>
        <v>1.79125</v>
      </c>
      <c r="J102" s="2898">
        <f>1.942/J101</f>
        <v>1.8673076923076921</v>
      </c>
      <c r="K102" s="2898">
        <f>1.942/K101</f>
        <v>1.8673076923076921</v>
      </c>
      <c r="L102" s="2898">
        <f>1.942/L101</f>
        <v>1.8673076923076921</v>
      </c>
      <c r="M102" s="2898">
        <f>1.942/M101</f>
        <v>1.8673076923076921</v>
      </c>
      <c r="N102" s="2898">
        <f>1.942/N101</f>
        <v>1.8673076923076921</v>
      </c>
    </row>
    <row r="103" spans="1:14">
      <c r="A103" s="3298"/>
      <c r="B103" s="2897">
        <v>2</v>
      </c>
      <c r="C103" s="2898">
        <f>1.4198/C101</f>
        <v>1.3651923076923076</v>
      </c>
      <c r="D103" s="2898">
        <f>1.4198/D101</f>
        <v>1.3651923076923076</v>
      </c>
      <c r="E103" s="2898">
        <f>1.3372/E101</f>
        <v>1.2857692307692308</v>
      </c>
      <c r="F103" s="2898">
        <f>1.3372/F101</f>
        <v>1.2857692307692308</v>
      </c>
      <c r="G103" s="2898">
        <f>1.3372/G101</f>
        <v>1.2857692307692308</v>
      </c>
      <c r="H103" s="2898">
        <f>1.3372/H101</f>
        <v>1.2857692307692308</v>
      </c>
      <c r="I103" s="2898">
        <f>1.3372/I101</f>
        <v>1.2857692307692308</v>
      </c>
      <c r="J103" s="2898">
        <f>1.2799/J101</f>
        <v>1.2306730769230769</v>
      </c>
      <c r="K103" s="2898">
        <f>1.2799/K101</f>
        <v>1.2306730769230769</v>
      </c>
      <c r="L103" s="2898">
        <f>1.2799/L101</f>
        <v>1.2306730769230769</v>
      </c>
      <c r="M103" s="2898">
        <f>1.2799/M101</f>
        <v>1.2306730769230769</v>
      </c>
      <c r="N103" s="2898">
        <f>1.2799/N101</f>
        <v>1.2306730769230769</v>
      </c>
    </row>
    <row r="104" spans="1:14">
      <c r="A104" s="3298"/>
      <c r="B104" s="2897">
        <v>3</v>
      </c>
      <c r="C104" s="2898">
        <f>1.1594/C101</f>
        <v>1.1148076923076922</v>
      </c>
      <c r="D104" s="2898">
        <f>1.1594/D101</f>
        <v>1.1148076923076922</v>
      </c>
      <c r="E104" s="2898">
        <f>1.0788/E101</f>
        <v>1.0373076923076923</v>
      </c>
      <c r="F104" s="2898">
        <f>1.0788/F101</f>
        <v>1.0373076923076923</v>
      </c>
      <c r="G104" s="2898">
        <f>1.0788/G101</f>
        <v>1.0373076923076923</v>
      </c>
      <c r="H104" s="2898">
        <f>1.0788/H101</f>
        <v>1.0373076923076923</v>
      </c>
      <c r="I104" s="2898">
        <f>1.0788/I101</f>
        <v>1.0373076923076923</v>
      </c>
      <c r="J104" s="2898">
        <f>1.0072/J101</f>
        <v>0.96846153846153848</v>
      </c>
      <c r="K104" s="2898">
        <f>1.0072/K101</f>
        <v>0.96846153846153848</v>
      </c>
      <c r="L104" s="2898">
        <f>1.0072/L101</f>
        <v>0.96846153846153848</v>
      </c>
      <c r="M104" s="2898">
        <f>1.0072/M101</f>
        <v>0.96846153846153848</v>
      </c>
      <c r="N104" s="2898">
        <f>1.0072/N101</f>
        <v>0.96846153846153848</v>
      </c>
    </row>
    <row r="105" spans="1:14">
      <c r="A105" s="3298"/>
      <c r="B105" s="2897">
        <v>4</v>
      </c>
      <c r="C105" s="2898">
        <f>0.9622/C101</f>
        <v>0.92519230769230776</v>
      </c>
      <c r="D105" s="2898">
        <f>0.9622/D101</f>
        <v>0.92519230769230776</v>
      </c>
      <c r="E105" s="2898">
        <f>0.8656/E101</f>
        <v>0.8323076923076923</v>
      </c>
      <c r="F105" s="2898">
        <f>0.8656/F101</f>
        <v>0.8323076923076923</v>
      </c>
      <c r="G105" s="2898">
        <f>0.8656/G101</f>
        <v>0.8323076923076923</v>
      </c>
      <c r="H105" s="2898">
        <f>0.8656/H101</f>
        <v>0.8323076923076923</v>
      </c>
      <c r="I105" s="2898">
        <f>0.8656/I101</f>
        <v>0.8323076923076923</v>
      </c>
      <c r="J105" s="2898">
        <f>0.7525/J101</f>
        <v>0.72355769230769218</v>
      </c>
      <c r="K105" s="2898">
        <f>0.7525/K101</f>
        <v>0.72355769230769218</v>
      </c>
      <c r="L105" s="2898">
        <f>0.7525/L101</f>
        <v>0.72355769230769218</v>
      </c>
      <c r="M105" s="2898">
        <f>0.7525/M101</f>
        <v>0.72355769230769218</v>
      </c>
      <c r="N105" s="2898">
        <f>0.7525/N101</f>
        <v>0.72355769230769218</v>
      </c>
    </row>
    <row r="106" spans="1:14">
      <c r="A106" s="3298"/>
      <c r="B106" s="2897">
        <v>5</v>
      </c>
      <c r="C106" s="2898">
        <f>0.8417/C101</f>
        <v>0.809326923076923</v>
      </c>
      <c r="D106" s="2898">
        <f>0.8417/D101</f>
        <v>0.809326923076923</v>
      </c>
      <c r="E106" s="2898">
        <f>0.7371/E101</f>
        <v>0.70874999999999999</v>
      </c>
      <c r="F106" s="2898">
        <f>0.7371/F101</f>
        <v>0.70874999999999999</v>
      </c>
      <c r="G106" s="2898">
        <f>0.7371/G101</f>
        <v>0.70874999999999999</v>
      </c>
      <c r="H106" s="2898">
        <f>0.7371/H101</f>
        <v>0.70874999999999999</v>
      </c>
      <c r="I106" s="2898">
        <f>0.7371/I101</f>
        <v>0.70874999999999999</v>
      </c>
      <c r="J106" s="2898">
        <f>0.5659/J101</f>
        <v>0.54413461538461527</v>
      </c>
      <c r="K106" s="2898">
        <f>0.5659/K101</f>
        <v>0.54413461538461527</v>
      </c>
      <c r="L106" s="2898">
        <f>0.5659/L101</f>
        <v>0.54413461538461527</v>
      </c>
      <c r="M106" s="2898">
        <f>0.5659/M101</f>
        <v>0.54413461538461527</v>
      </c>
      <c r="N106" s="2898">
        <f>0.5659/N101</f>
        <v>0.54413461538461527</v>
      </c>
    </row>
    <row r="107" spans="1:14">
      <c r="A107" s="3298"/>
      <c r="B107" s="2897">
        <v>6</v>
      </c>
      <c r="C107" s="2898">
        <f>0.7608/C101</f>
        <v>0.73153846153846158</v>
      </c>
      <c r="D107" s="2898">
        <f>0.7608/D101</f>
        <v>0.73153846153846158</v>
      </c>
      <c r="E107" s="2898">
        <f>0.6482/E101</f>
        <v>0.6232692307692308</v>
      </c>
      <c r="F107" s="2898">
        <f>0.6482/F101</f>
        <v>0.6232692307692308</v>
      </c>
      <c r="G107" s="2898">
        <f>0.6482/G101</f>
        <v>0.6232692307692308</v>
      </c>
      <c r="H107" s="2898">
        <f>0.6482/H101</f>
        <v>0.6232692307692308</v>
      </c>
      <c r="I107" s="2898">
        <f>0.6482/I101</f>
        <v>0.6232692307692308</v>
      </c>
      <c r="J107" s="2898">
        <f>0.4525/J101</f>
        <v>0.43509615384615385</v>
      </c>
      <c r="K107" s="2898">
        <f>0.4525/K101</f>
        <v>0.43509615384615385</v>
      </c>
      <c r="L107" s="2898">
        <f>0.4525/L101</f>
        <v>0.43509615384615385</v>
      </c>
      <c r="M107" s="2898">
        <f>0.4525/M101</f>
        <v>0.43509615384615385</v>
      </c>
      <c r="N107" s="2898">
        <f>0.4525/N101</f>
        <v>0.43509615384615385</v>
      </c>
    </row>
    <row r="108" spans="1:14">
      <c r="A108" s="3298"/>
      <c r="B108" s="3152" t="s">
        <v>2970</v>
      </c>
      <c r="C108" s="2899">
        <f>C99</f>
        <v>0</v>
      </c>
      <c r="D108" s="2899">
        <f t="shared" ref="D108:N108" si="32">D99</f>
        <v>0</v>
      </c>
      <c r="E108" s="2899">
        <f t="shared" si="32"/>
        <v>0</v>
      </c>
      <c r="F108" s="2899">
        <f t="shared" si="32"/>
        <v>0</v>
      </c>
      <c r="G108" s="2899">
        <f t="shared" si="32"/>
        <v>0</v>
      </c>
      <c r="H108" s="2899">
        <f t="shared" si="32"/>
        <v>0</v>
      </c>
      <c r="I108" s="2899">
        <f t="shared" si="32"/>
        <v>0</v>
      </c>
      <c r="J108" s="2899">
        <f t="shared" si="32"/>
        <v>0</v>
      </c>
      <c r="K108" s="2899">
        <f t="shared" si="32"/>
        <v>0</v>
      </c>
      <c r="L108" s="2899">
        <f t="shared" si="32"/>
        <v>0</v>
      </c>
      <c r="M108" s="2899">
        <f t="shared" si="32"/>
        <v>0</v>
      </c>
      <c r="N108" s="2899">
        <f t="shared" si="32"/>
        <v>0</v>
      </c>
    </row>
    <row r="109" spans="1:14">
      <c r="A109" s="3299"/>
      <c r="B109" s="3153"/>
      <c r="C109" s="2900">
        <f>(-0.163*(C108^2)-0.59*C108+7617)*(10^(-4))/C101</f>
        <v>0.73240384615384613</v>
      </c>
      <c r="D109" s="2900">
        <f>(-0.163*(D108^2)-0.59*D108+7617)*(10^(-4))/D101</f>
        <v>0.73240384615384613</v>
      </c>
      <c r="E109" s="2900">
        <f>(-0.161*(E108^2)-7.509*E108+6533)*(10^(-4))/E101</f>
        <v>0.62817307692307689</v>
      </c>
      <c r="F109" s="2900">
        <f>(-0.161*(F108^2)-7.509*F108+6533)*(10^(-4))/F101</f>
        <v>0.62817307692307689</v>
      </c>
      <c r="G109" s="2900">
        <f>(-0.161*(G108^2)-7.509*G108+6533)*(10^(-4))/G101</f>
        <v>0.62817307692307689</v>
      </c>
      <c r="H109" s="2900">
        <f>(-0.161*(H108^2)-7.509*H108+6533)*(10^(-4))/H101</f>
        <v>0.62817307692307689</v>
      </c>
      <c r="I109" s="2900">
        <f>(-0.161*(I108^2)-7.509*I108+6533)*(10^(-4))/I101</f>
        <v>0.62817307692307689</v>
      </c>
      <c r="J109" s="2900">
        <f>(-0.214*(J108^2)-21.991*J108+4665)*(10^(-4))/J101</f>
        <v>0.44855769230769232</v>
      </c>
      <c r="K109" s="2900">
        <f>(-0.214*(K108^2)-21.991*K108+4665)*(10^(-4))/K101</f>
        <v>0.44855769230769232</v>
      </c>
      <c r="L109" s="2900">
        <f>(-0.214*(L108^2)-21.991*L108+4665)*(10^(-4))/L101</f>
        <v>0.44855769230769232</v>
      </c>
      <c r="M109" s="2900">
        <f>(-0.214*(M108^2)-21.991*M108+4665)*(10^(-4))/M101</f>
        <v>0.44855769230769232</v>
      </c>
      <c r="N109" s="2900">
        <f>(-0.214*(N108^2)-21.991*N108+4665)*(10^(-4))/N101</f>
        <v>0.44855769230769232</v>
      </c>
    </row>
    <row r="110" spans="1:14">
      <c r="A110" s="3295" t="s">
        <v>2971</v>
      </c>
      <c r="B110" s="3295"/>
      <c r="C110" s="3295"/>
      <c r="D110" s="3295"/>
      <c r="E110" s="3295"/>
      <c r="F110" s="3295"/>
      <c r="G110" s="3295"/>
      <c r="H110" s="3295"/>
      <c r="I110" s="3295"/>
      <c r="J110" s="3295"/>
      <c r="K110" s="2903"/>
      <c r="L110" s="2903"/>
      <c r="M110" s="2903"/>
      <c r="N110" s="2903"/>
    </row>
    <row r="112" spans="1:14" ht="13.5" thickBot="1"/>
    <row r="113" spans="1:13" ht="25.5" thickBot="1">
      <c r="A113" s="903" t="s">
        <v>2972</v>
      </c>
      <c r="B113" s="1290">
        <f>G3</f>
        <v>1.04</v>
      </c>
      <c r="C113" s="904" t="s">
        <v>2973</v>
      </c>
      <c r="D113" s="905">
        <f>SUMPRODUCT((A115:A118=F113)*(B114:M114=H113)*B115:M118)</f>
        <v>0</v>
      </c>
      <c r="E113" s="2726" t="s">
        <v>2803</v>
      </c>
      <c r="F113" s="2905">
        <f>E2</f>
        <v>0</v>
      </c>
      <c r="G113" s="2726" t="s">
        <v>2804</v>
      </c>
      <c r="H113" s="2905" t="str">
        <f>G2</f>
        <v>七级</v>
      </c>
      <c r="I113" s="2726"/>
      <c r="J113" s="2906"/>
      <c r="K113" s="2906"/>
      <c r="L113" s="2906"/>
      <c r="M113" s="2906"/>
    </row>
    <row r="114" spans="1:13">
      <c r="A114" s="908"/>
      <c r="B114" s="2907" t="s">
        <v>2974</v>
      </c>
      <c r="C114" s="2907" t="s">
        <v>2975</v>
      </c>
      <c r="D114" s="2907" t="s">
        <v>2976</v>
      </c>
      <c r="E114" s="2908" t="s">
        <v>2977</v>
      </c>
      <c r="F114" s="2908" t="s">
        <v>2978</v>
      </c>
      <c r="G114" s="2908" t="s">
        <v>2979</v>
      </c>
      <c r="H114" s="2909" t="s">
        <v>2980</v>
      </c>
      <c r="I114" s="2909" t="s">
        <v>2981</v>
      </c>
      <c r="J114" s="2910" t="s">
        <v>2982</v>
      </c>
      <c r="K114" s="2910" t="s">
        <v>2983</v>
      </c>
      <c r="L114" s="2910" t="s">
        <v>2984</v>
      </c>
      <c r="M114" s="2911" t="s">
        <v>2985</v>
      </c>
    </row>
    <row r="115" spans="1:13">
      <c r="A115" s="909" t="s">
        <v>2868</v>
      </c>
      <c r="B115" s="910">
        <f>ROUND(0.9335-0.0094*B113,4)</f>
        <v>0.92369999999999997</v>
      </c>
      <c r="C115" s="910">
        <f>B115</f>
        <v>0.92369999999999997</v>
      </c>
      <c r="D115" s="910">
        <f>ROUND(0.8331-0.0109*B113,4)</f>
        <v>0.82179999999999997</v>
      </c>
      <c r="E115" s="910">
        <f>D115</f>
        <v>0.82179999999999997</v>
      </c>
      <c r="F115" s="910">
        <f>E115</f>
        <v>0.82179999999999997</v>
      </c>
      <c r="G115" s="910">
        <f>F115</f>
        <v>0.82179999999999997</v>
      </c>
      <c r="H115" s="910">
        <f>G115</f>
        <v>0.82179999999999997</v>
      </c>
      <c r="I115" s="910">
        <f>ROUND(0.689-0.0155*B113,4)</f>
        <v>0.67290000000000005</v>
      </c>
      <c r="J115" s="910">
        <f t="shared" ref="J115:M118" si="33">I115</f>
        <v>0.67290000000000005</v>
      </c>
      <c r="K115" s="910">
        <f t="shared" si="33"/>
        <v>0.67290000000000005</v>
      </c>
      <c r="L115" s="910">
        <f t="shared" si="33"/>
        <v>0.67290000000000005</v>
      </c>
      <c r="M115" s="911">
        <f t="shared" si="33"/>
        <v>0.67290000000000005</v>
      </c>
    </row>
    <row r="116" spans="1:13">
      <c r="A116" s="909" t="s">
        <v>2869</v>
      </c>
      <c r="B116" s="910">
        <f>ROUND(0.949-0.012*B113,4)</f>
        <v>0.9365</v>
      </c>
      <c r="C116" s="910">
        <f>B116</f>
        <v>0.9365</v>
      </c>
      <c r="D116" s="910">
        <f>ROUND(0.8567-0.013*B113,4)</f>
        <v>0.84319999999999995</v>
      </c>
      <c r="E116" s="910">
        <f t="shared" ref="E116:H117" si="34">D116</f>
        <v>0.84319999999999995</v>
      </c>
      <c r="F116" s="910">
        <f t="shared" si="34"/>
        <v>0.84319999999999995</v>
      </c>
      <c r="G116" s="910">
        <f t="shared" si="34"/>
        <v>0.84319999999999995</v>
      </c>
      <c r="H116" s="910">
        <f t="shared" si="34"/>
        <v>0.84319999999999995</v>
      </c>
      <c r="I116" s="910">
        <f>ROUND(0.7694-0.014*B113,4)</f>
        <v>0.75480000000000003</v>
      </c>
      <c r="J116" s="910">
        <f t="shared" si="33"/>
        <v>0.75480000000000003</v>
      </c>
      <c r="K116" s="910">
        <f t="shared" si="33"/>
        <v>0.75480000000000003</v>
      </c>
      <c r="L116" s="910">
        <f t="shared" si="33"/>
        <v>0.75480000000000003</v>
      </c>
      <c r="M116" s="911">
        <f t="shared" si="33"/>
        <v>0.75480000000000003</v>
      </c>
    </row>
    <row r="117" spans="1:13">
      <c r="A117" s="909" t="s">
        <v>2870</v>
      </c>
      <c r="B117" s="910">
        <f>ROUND(0.8808-0.006*B113,4)</f>
        <v>0.87460000000000004</v>
      </c>
      <c r="C117" s="910">
        <f>B117</f>
        <v>0.87460000000000004</v>
      </c>
      <c r="D117" s="910">
        <f>ROUND(0.8748-0.008*B113,4)</f>
        <v>0.86650000000000005</v>
      </c>
      <c r="E117" s="910">
        <f t="shared" si="34"/>
        <v>0.86650000000000005</v>
      </c>
      <c r="F117" s="910">
        <f t="shared" si="34"/>
        <v>0.86650000000000005</v>
      </c>
      <c r="G117" s="910">
        <f t="shared" si="34"/>
        <v>0.86650000000000005</v>
      </c>
      <c r="H117" s="910">
        <f t="shared" si="34"/>
        <v>0.86650000000000005</v>
      </c>
      <c r="I117" s="910">
        <f>ROUND(0.7412-0.0095*B113,4)</f>
        <v>0.73129999999999995</v>
      </c>
      <c r="J117" s="910">
        <f t="shared" si="33"/>
        <v>0.73129999999999995</v>
      </c>
      <c r="K117" s="910">
        <f t="shared" si="33"/>
        <v>0.73129999999999995</v>
      </c>
      <c r="L117" s="910">
        <f t="shared" si="33"/>
        <v>0.73129999999999995</v>
      </c>
      <c r="M117" s="911">
        <f t="shared" si="33"/>
        <v>0.73129999999999995</v>
      </c>
    </row>
    <row r="118" spans="1:13" ht="13.5" thickBot="1">
      <c r="A118" s="714" t="s">
        <v>2871</v>
      </c>
      <c r="B118" s="912">
        <f>ROUND(0.7275-0.01*B113,4)</f>
        <v>0.71709999999999996</v>
      </c>
      <c r="C118" s="912">
        <f>B118</f>
        <v>0.71709999999999996</v>
      </c>
      <c r="D118" s="912">
        <f>ROUND(0.7043-0.012*B113,4)</f>
        <v>0.69179999999999997</v>
      </c>
      <c r="E118" s="912">
        <f>D118</f>
        <v>0.69179999999999997</v>
      </c>
      <c r="F118" s="912">
        <f>E118</f>
        <v>0.69179999999999997</v>
      </c>
      <c r="G118" s="912">
        <f>ROUND(0.6299-0.0122*B113,4)</f>
        <v>0.61719999999999997</v>
      </c>
      <c r="H118" s="912">
        <f>G118</f>
        <v>0.61719999999999997</v>
      </c>
      <c r="I118" s="912">
        <f>ROUND(0.5667-0.0136*B113,4)</f>
        <v>0.55259999999999998</v>
      </c>
      <c r="J118" s="912">
        <f t="shared" si="33"/>
        <v>0.55259999999999998</v>
      </c>
      <c r="K118" s="912">
        <f t="shared" si="33"/>
        <v>0.55259999999999998</v>
      </c>
      <c r="L118" s="912">
        <f t="shared" si="33"/>
        <v>0.55259999999999998</v>
      </c>
      <c r="M118" s="913">
        <f t="shared" si="33"/>
        <v>0.55259999999999998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303" t="s">
        <v>183</v>
      </c>
      <c r="B18" s="882" t="s">
        <v>560</v>
      </c>
      <c r="C18" s="883" t="s">
        <v>561</v>
      </c>
      <c r="D18" s="884"/>
      <c r="E18" s="882">
        <v>1</v>
      </c>
      <c r="F18" s="885" t="s">
        <v>562</v>
      </c>
      <c r="G18" s="886"/>
      <c r="H18" s="878"/>
      <c r="I18" s="878"/>
    </row>
    <row r="19" spans="1:9" s="887" customFormat="1" ht="19.5" customHeight="1">
      <c r="A19" s="3303"/>
      <c r="B19" s="3303" t="s">
        <v>563</v>
      </c>
      <c r="C19" s="883" t="s">
        <v>564</v>
      </c>
      <c r="D19" s="884"/>
      <c r="E19" s="882">
        <v>0.9</v>
      </c>
      <c r="F19" s="885" t="s">
        <v>565</v>
      </c>
      <c r="G19" s="886"/>
      <c r="H19" s="878"/>
      <c r="I19" s="878"/>
    </row>
    <row r="20" spans="1:9" s="887" customFormat="1" ht="19.5" customHeight="1">
      <c r="A20" s="3303"/>
      <c r="B20" s="3303"/>
      <c r="C20" s="883" t="s">
        <v>566</v>
      </c>
      <c r="D20" s="884"/>
      <c r="E20" s="882">
        <v>1.1000000000000001</v>
      </c>
      <c r="F20" s="885" t="s">
        <v>567</v>
      </c>
      <c r="G20" s="886"/>
      <c r="H20" s="878"/>
      <c r="I20" s="878"/>
    </row>
    <row r="21" spans="1:9" s="887" customFormat="1" ht="19.5" customHeight="1">
      <c r="A21" s="3303"/>
      <c r="B21" s="3303"/>
      <c r="C21" s="883" t="s">
        <v>568</v>
      </c>
      <c r="D21" s="884"/>
      <c r="E21" s="882">
        <v>0.8</v>
      </c>
      <c r="F21" s="885" t="s">
        <v>569</v>
      </c>
      <c r="G21" s="886"/>
      <c r="H21" s="878"/>
      <c r="I21" s="878"/>
    </row>
    <row r="22" spans="1:9" s="887" customFormat="1" ht="19.5" customHeight="1">
      <c r="A22" s="3303"/>
      <c r="B22" s="3303"/>
      <c r="C22" s="883" t="s">
        <v>570</v>
      </c>
      <c r="D22" s="884"/>
      <c r="E22" s="882">
        <v>0.5</v>
      </c>
      <c r="F22" s="885"/>
      <c r="G22" s="886"/>
      <c r="H22" s="878"/>
      <c r="I22" s="878"/>
    </row>
    <row r="23" spans="1:9" s="887" customFormat="1" ht="19.5" customHeight="1">
      <c r="A23" s="3303" t="s">
        <v>184</v>
      </c>
      <c r="B23" s="882" t="s">
        <v>560</v>
      </c>
      <c r="C23" s="883" t="s">
        <v>571</v>
      </c>
      <c r="D23" s="884"/>
      <c r="E23" s="882">
        <v>1</v>
      </c>
      <c r="F23" s="885" t="s">
        <v>572</v>
      </c>
      <c r="G23" s="886"/>
      <c r="H23" s="878"/>
      <c r="I23" s="878"/>
    </row>
    <row r="24" spans="1:9" s="887" customFormat="1" ht="19.5" customHeight="1">
      <c r="A24" s="3303"/>
      <c r="B24" s="3303" t="s">
        <v>563</v>
      </c>
      <c r="C24" s="883" t="s">
        <v>573</v>
      </c>
      <c r="D24" s="884"/>
      <c r="E24" s="882">
        <v>0.5</v>
      </c>
      <c r="F24" s="885"/>
      <c r="G24" s="886"/>
      <c r="H24" s="878"/>
      <c r="I24" s="878"/>
    </row>
    <row r="25" spans="1:9" s="887" customFormat="1" ht="19.5" customHeight="1">
      <c r="A25" s="3303"/>
      <c r="B25" s="3303"/>
      <c r="C25" s="883" t="s">
        <v>574</v>
      </c>
      <c r="D25" s="884"/>
      <c r="E25" s="882">
        <v>1.1000000000000001</v>
      </c>
      <c r="F25" s="885"/>
      <c r="G25" s="886"/>
      <c r="H25" s="878"/>
      <c r="I25" s="878"/>
    </row>
    <row r="26" spans="1:9" s="887" customFormat="1" ht="19.5" customHeight="1">
      <c r="A26" s="3303"/>
      <c r="B26" s="3303"/>
      <c r="C26" s="883" t="s">
        <v>575</v>
      </c>
      <c r="D26" s="884"/>
      <c r="E26" s="882">
        <v>1.1000000000000001</v>
      </c>
      <c r="F26" s="885"/>
      <c r="G26" s="886"/>
      <c r="H26" s="878"/>
      <c r="I26" s="878"/>
    </row>
    <row r="27" spans="1:9" s="887" customFormat="1" ht="19.5" customHeight="1">
      <c r="A27" s="3303"/>
      <c r="B27" s="3303"/>
      <c r="C27" s="883" t="s">
        <v>576</v>
      </c>
      <c r="D27" s="884"/>
      <c r="E27" s="882">
        <v>0.9</v>
      </c>
      <c r="F27" s="885" t="s">
        <v>577</v>
      </c>
      <c r="G27" s="886"/>
      <c r="H27" s="878"/>
      <c r="I27" s="878"/>
    </row>
    <row r="28" spans="1:9" s="887" customFormat="1" ht="19.5" customHeight="1">
      <c r="A28" s="3303"/>
      <c r="B28" s="3303"/>
      <c r="C28" s="883" t="s">
        <v>578</v>
      </c>
      <c r="D28" s="884"/>
      <c r="E28" s="882">
        <v>0.9</v>
      </c>
      <c r="F28" s="885" t="s">
        <v>579</v>
      </c>
      <c r="G28" s="886"/>
      <c r="H28" s="878"/>
      <c r="I28" s="878"/>
    </row>
    <row r="29" spans="1:9" s="887" customFormat="1" ht="19.5" customHeight="1">
      <c r="A29" s="3303"/>
      <c r="B29" s="3303"/>
      <c r="C29" s="883" t="s">
        <v>580</v>
      </c>
      <c r="D29" s="884"/>
      <c r="E29" s="882">
        <v>0.9</v>
      </c>
      <c r="F29" s="885" t="s">
        <v>581</v>
      </c>
      <c r="G29" s="886"/>
      <c r="H29" s="878"/>
      <c r="I29" s="878"/>
    </row>
    <row r="30" spans="1:9" s="887" customFormat="1" ht="19.5" customHeight="1">
      <c r="A30" s="3303"/>
      <c r="B30" s="3303"/>
      <c r="C30" s="883" t="s">
        <v>582</v>
      </c>
      <c r="D30" s="884"/>
      <c r="E30" s="882">
        <v>0.9</v>
      </c>
      <c r="F30" s="885" t="s">
        <v>583</v>
      </c>
      <c r="G30" s="886"/>
      <c r="H30" s="878"/>
      <c r="I30" s="878"/>
    </row>
    <row r="31" spans="1:9" s="887" customFormat="1" ht="19.5" customHeight="1">
      <c r="A31" s="3303"/>
      <c r="B31" s="3303"/>
      <c r="C31" s="883" t="s">
        <v>584</v>
      </c>
      <c r="D31" s="884"/>
      <c r="E31" s="882">
        <v>0.8</v>
      </c>
      <c r="F31" s="885" t="s">
        <v>585</v>
      </c>
      <c r="G31" s="886"/>
      <c r="H31" s="878"/>
      <c r="I31" s="878"/>
    </row>
    <row r="32" spans="1:9" s="887" customFormat="1" ht="19.5" customHeight="1">
      <c r="A32" s="3303"/>
      <c r="B32" s="3303"/>
      <c r="C32" s="883" t="s">
        <v>586</v>
      </c>
      <c r="D32" s="884"/>
      <c r="E32" s="882">
        <v>0.8</v>
      </c>
      <c r="F32" s="885" t="s">
        <v>587</v>
      </c>
      <c r="G32" s="886"/>
      <c r="H32" s="878"/>
      <c r="I32" s="878"/>
    </row>
    <row r="33" spans="1:9" s="887" customFormat="1" ht="19.5" customHeight="1">
      <c r="A33" s="3303" t="s">
        <v>185</v>
      </c>
      <c r="B33" s="882" t="s">
        <v>560</v>
      </c>
      <c r="C33" s="883" t="s">
        <v>588</v>
      </c>
      <c r="D33" s="884"/>
      <c r="E33" s="882">
        <v>1</v>
      </c>
      <c r="F33" s="885" t="s">
        <v>589</v>
      </c>
      <c r="G33" s="886"/>
      <c r="H33" s="878"/>
      <c r="I33" s="878"/>
    </row>
    <row r="34" spans="1:9" s="887" customFormat="1" ht="19.5" customHeight="1">
      <c r="A34" s="3303"/>
      <c r="B34" s="882" t="s">
        <v>563</v>
      </c>
      <c r="C34" s="883" t="s">
        <v>590</v>
      </c>
      <c r="D34" s="884"/>
      <c r="E34" s="882">
        <v>1.5</v>
      </c>
      <c r="F34" s="885" t="s">
        <v>591</v>
      </c>
      <c r="G34" s="886"/>
      <c r="H34" s="878"/>
      <c r="I34" s="878"/>
    </row>
    <row r="35" spans="1:9" s="887" customFormat="1" ht="19.5" customHeight="1">
      <c r="A35" s="3303" t="s">
        <v>186</v>
      </c>
      <c r="B35" s="882" t="s">
        <v>560</v>
      </c>
      <c r="C35" s="883" t="s">
        <v>592</v>
      </c>
      <c r="D35" s="884"/>
      <c r="E35" s="882">
        <v>1</v>
      </c>
      <c r="F35" s="885" t="s">
        <v>593</v>
      </c>
      <c r="G35" s="886"/>
      <c r="H35" s="878"/>
      <c r="I35" s="878"/>
    </row>
    <row r="36" spans="1:9" s="887" customFormat="1" ht="19.5" customHeight="1">
      <c r="A36" s="3303"/>
      <c r="B36" s="3303" t="s">
        <v>563</v>
      </c>
      <c r="C36" s="883" t="s">
        <v>594</v>
      </c>
      <c r="D36" s="884"/>
      <c r="E36" s="882">
        <v>1</v>
      </c>
      <c r="F36" s="885" t="s">
        <v>595</v>
      </c>
      <c r="G36" s="886"/>
      <c r="H36" s="878"/>
      <c r="I36" s="878"/>
    </row>
    <row r="37" spans="1:9" s="887" customFormat="1" ht="19.5" customHeight="1">
      <c r="A37" s="3303"/>
      <c r="B37" s="3303"/>
      <c r="C37" s="883" t="s">
        <v>596</v>
      </c>
      <c r="D37" s="884"/>
      <c r="E37" s="882">
        <v>1.5</v>
      </c>
      <c r="F37" s="885" t="s">
        <v>597</v>
      </c>
      <c r="G37" s="886"/>
      <c r="H37" s="878"/>
      <c r="I37" s="878"/>
    </row>
    <row r="38" spans="1:9" s="887" customFormat="1" ht="19.5" customHeight="1">
      <c r="A38" s="3303"/>
      <c r="B38" s="3303"/>
      <c r="C38" s="883" t="s">
        <v>598</v>
      </c>
      <c r="D38" s="884"/>
      <c r="E38" s="882">
        <v>1</v>
      </c>
      <c r="F38" s="885" t="s">
        <v>599</v>
      </c>
      <c r="G38" s="886"/>
      <c r="H38" s="878"/>
      <c r="I38" s="878"/>
    </row>
    <row r="39" spans="1:9" s="887" customFormat="1" ht="19.5" customHeight="1">
      <c r="A39" s="3303"/>
      <c r="B39" s="3303"/>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303" t="s">
        <v>614</v>
      </c>
      <c r="C61" s="818" t="s">
        <v>615</v>
      </c>
      <c r="D61" s="818" t="s">
        <v>616</v>
      </c>
      <c r="E61" s="895">
        <v>0.5</v>
      </c>
      <c r="F61" s="882">
        <v>80</v>
      </c>
    </row>
    <row r="62" spans="1:8" s="878" customFormat="1" ht="24">
      <c r="A62" s="882">
        <v>2</v>
      </c>
      <c r="B62" s="3303"/>
      <c r="C62" s="818" t="s">
        <v>617</v>
      </c>
      <c r="D62" s="818" t="s">
        <v>618</v>
      </c>
      <c r="E62" s="895">
        <v>0.5</v>
      </c>
      <c r="F62" s="882">
        <v>80</v>
      </c>
    </row>
    <row r="63" spans="1:8" s="878" customFormat="1" ht="36">
      <c r="A63" s="882">
        <v>3</v>
      </c>
      <c r="B63" s="3303"/>
      <c r="C63" s="818" t="s">
        <v>619</v>
      </c>
      <c r="D63" s="818" t="s">
        <v>620</v>
      </c>
      <c r="E63" s="895">
        <v>0.5</v>
      </c>
      <c r="F63" s="882">
        <v>80</v>
      </c>
    </row>
    <row r="64" spans="1:8" s="878" customFormat="1" ht="36">
      <c r="A64" s="882">
        <v>4</v>
      </c>
      <c r="B64" s="3303"/>
      <c r="C64" s="818" t="s">
        <v>621</v>
      </c>
      <c r="D64" s="818" t="s">
        <v>622</v>
      </c>
      <c r="E64" s="895">
        <v>0.4</v>
      </c>
      <c r="F64" s="882">
        <v>60</v>
      </c>
    </row>
    <row r="65" spans="1:6" s="878" customFormat="1" ht="36">
      <c r="A65" s="882">
        <v>5</v>
      </c>
      <c r="B65" s="3303"/>
      <c r="C65" s="818" t="s">
        <v>623</v>
      </c>
      <c r="D65" s="818" t="s">
        <v>624</v>
      </c>
      <c r="E65" s="895">
        <v>0.2</v>
      </c>
      <c r="F65" s="882">
        <v>30</v>
      </c>
    </row>
    <row r="66" spans="1:6" s="878" customFormat="1" ht="36">
      <c r="A66" s="882">
        <v>6</v>
      </c>
      <c r="B66" s="3303"/>
      <c r="C66" s="818" t="s">
        <v>625</v>
      </c>
      <c r="D66" s="818" t="s">
        <v>626</v>
      </c>
      <c r="E66" s="895">
        <v>0.3</v>
      </c>
      <c r="F66" s="882">
        <v>50</v>
      </c>
    </row>
    <row r="67" spans="1:6" s="878" customFormat="1" ht="36">
      <c r="A67" s="882">
        <v>7</v>
      </c>
      <c r="B67" s="3303"/>
      <c r="C67" s="818" t="s">
        <v>627</v>
      </c>
      <c r="D67" s="818" t="s">
        <v>628</v>
      </c>
      <c r="E67" s="895">
        <v>0.2</v>
      </c>
      <c r="F67" s="882">
        <v>30</v>
      </c>
    </row>
    <row r="68" spans="1:6" s="878" customFormat="1" ht="36">
      <c r="A68" s="882">
        <v>8</v>
      </c>
      <c r="B68" s="3303"/>
      <c r="C68" s="818" t="s">
        <v>629</v>
      </c>
      <c r="D68" s="818" t="s">
        <v>630</v>
      </c>
      <c r="E68" s="895">
        <v>0.2</v>
      </c>
      <c r="F68" s="882">
        <v>30</v>
      </c>
    </row>
    <row r="69" spans="1:6" s="878" customFormat="1" ht="36">
      <c r="A69" s="882">
        <v>9</v>
      </c>
      <c r="B69" s="3303"/>
      <c r="C69" s="818" t="s">
        <v>631</v>
      </c>
      <c r="D69" s="818" t="s">
        <v>632</v>
      </c>
      <c r="E69" s="895">
        <v>0.2</v>
      </c>
      <c r="F69" s="882">
        <v>30</v>
      </c>
    </row>
    <row r="70" spans="1:6" s="878" customFormat="1" ht="48">
      <c r="A70" s="882">
        <v>10</v>
      </c>
      <c r="B70" s="3303"/>
      <c r="C70" s="818" t="s">
        <v>633</v>
      </c>
      <c r="D70" s="818" t="s">
        <v>634</v>
      </c>
      <c r="E70" s="895">
        <v>0.2</v>
      </c>
      <c r="F70" s="882">
        <v>30</v>
      </c>
    </row>
    <row r="71" spans="1:6" s="878" customFormat="1" ht="48">
      <c r="A71" s="882">
        <v>11</v>
      </c>
      <c r="B71" s="3303"/>
      <c r="C71" s="818" t="s">
        <v>635</v>
      </c>
      <c r="D71" s="818" t="s">
        <v>636</v>
      </c>
      <c r="E71" s="895">
        <v>0.2</v>
      </c>
      <c r="F71" s="882">
        <v>30</v>
      </c>
    </row>
    <row r="72" spans="1:6" s="878" customFormat="1" ht="36">
      <c r="A72" s="882">
        <v>12</v>
      </c>
      <c r="B72" s="3303"/>
      <c r="C72" s="818" t="s">
        <v>637</v>
      </c>
      <c r="D72" s="818" t="s">
        <v>638</v>
      </c>
      <c r="E72" s="895">
        <v>0.5</v>
      </c>
      <c r="F72" s="882">
        <v>80</v>
      </c>
    </row>
    <row r="73" spans="1:6" s="878" customFormat="1" ht="24">
      <c r="A73" s="882">
        <v>13</v>
      </c>
      <c r="B73" s="3303"/>
      <c r="C73" s="818" t="s">
        <v>639</v>
      </c>
      <c r="D73" s="818" t="s">
        <v>640</v>
      </c>
      <c r="E73" s="895">
        <v>0.4</v>
      </c>
      <c r="F73" s="882">
        <v>60</v>
      </c>
    </row>
    <row r="74" spans="1:6" s="878" customFormat="1" ht="24">
      <c r="A74" s="882">
        <v>14</v>
      </c>
      <c r="B74" s="3303"/>
      <c r="C74" s="818" t="s">
        <v>641</v>
      </c>
      <c r="D74" s="818" t="s">
        <v>642</v>
      </c>
      <c r="E74" s="895">
        <v>0.2</v>
      </c>
      <c r="F74" s="882">
        <v>30</v>
      </c>
    </row>
    <row r="75" spans="1:6" s="878" customFormat="1" ht="24">
      <c r="A75" s="882">
        <v>15</v>
      </c>
      <c r="B75" s="3303"/>
      <c r="C75" s="818" t="s">
        <v>643</v>
      </c>
      <c r="D75" s="818" t="s">
        <v>644</v>
      </c>
      <c r="E75" s="895">
        <v>0.2</v>
      </c>
      <c r="F75" s="882">
        <v>30</v>
      </c>
    </row>
    <row r="76" spans="1:6" s="878" customFormat="1" ht="24">
      <c r="A76" s="882">
        <v>16</v>
      </c>
      <c r="B76" s="3303" t="s">
        <v>645</v>
      </c>
      <c r="C76" s="818" t="s">
        <v>646</v>
      </c>
      <c r="D76" s="818" t="s">
        <v>647</v>
      </c>
      <c r="E76" s="895">
        <v>0.5</v>
      </c>
      <c r="F76" s="882">
        <v>80</v>
      </c>
    </row>
    <row r="77" spans="1:6" s="878" customFormat="1" ht="24">
      <c r="A77" s="882">
        <v>17</v>
      </c>
      <c r="B77" s="3303"/>
      <c r="C77" s="818" t="s">
        <v>648</v>
      </c>
      <c r="D77" s="818" t="s">
        <v>649</v>
      </c>
      <c r="E77" s="895">
        <v>0.5</v>
      </c>
      <c r="F77" s="882">
        <v>80</v>
      </c>
    </row>
    <row r="78" spans="1:6" s="878" customFormat="1" ht="24">
      <c r="A78" s="882">
        <v>18</v>
      </c>
      <c r="B78" s="3303"/>
      <c r="C78" s="818" t="s">
        <v>650</v>
      </c>
      <c r="D78" s="818" t="s">
        <v>651</v>
      </c>
      <c r="E78" s="895">
        <v>0.2</v>
      </c>
      <c r="F78" s="882">
        <v>30</v>
      </c>
    </row>
    <row r="79" spans="1:6" s="878" customFormat="1" ht="24">
      <c r="A79" s="882">
        <v>19</v>
      </c>
      <c r="B79" s="3303"/>
      <c r="C79" s="818" t="s">
        <v>652</v>
      </c>
      <c r="D79" s="818" t="s">
        <v>653</v>
      </c>
      <c r="E79" s="895">
        <v>0.5</v>
      </c>
      <c r="F79" s="882">
        <v>80</v>
      </c>
    </row>
    <row r="80" spans="1:6" s="878" customFormat="1" ht="36">
      <c r="A80" s="882">
        <v>20</v>
      </c>
      <c r="B80" s="3303"/>
      <c r="C80" s="818" t="s">
        <v>654</v>
      </c>
      <c r="D80" s="818" t="s">
        <v>655</v>
      </c>
      <c r="E80" s="895">
        <v>0.2</v>
      </c>
      <c r="F80" s="882">
        <v>30</v>
      </c>
    </row>
    <row r="81" spans="1:6" s="878" customFormat="1" ht="36">
      <c r="A81" s="882">
        <v>21</v>
      </c>
      <c r="B81" s="3303"/>
      <c r="C81" s="818" t="s">
        <v>656</v>
      </c>
      <c r="D81" s="818" t="s">
        <v>657</v>
      </c>
      <c r="E81" s="895">
        <v>0.2</v>
      </c>
      <c r="F81" s="882">
        <v>30</v>
      </c>
    </row>
    <row r="82" spans="1:6" s="878" customFormat="1" ht="48">
      <c r="A82" s="882">
        <v>22</v>
      </c>
      <c r="B82" s="3303"/>
      <c r="C82" s="818" t="s">
        <v>658</v>
      </c>
      <c r="D82" s="818" t="s">
        <v>659</v>
      </c>
      <c r="E82" s="895">
        <v>0.2</v>
      </c>
      <c r="F82" s="882">
        <v>30</v>
      </c>
    </row>
    <row r="83" spans="1:6" s="878" customFormat="1" ht="48">
      <c r="A83" s="882">
        <v>23</v>
      </c>
      <c r="B83" s="3303"/>
      <c r="C83" s="818" t="s">
        <v>660</v>
      </c>
      <c r="D83" s="818" t="s">
        <v>661</v>
      </c>
      <c r="E83" s="895">
        <v>0.2</v>
      </c>
      <c r="F83" s="882">
        <v>30</v>
      </c>
    </row>
    <row r="84" spans="1:6" s="878" customFormat="1" ht="36">
      <c r="A84" s="882">
        <v>24</v>
      </c>
      <c r="B84" s="3303"/>
      <c r="C84" s="818" t="s">
        <v>662</v>
      </c>
      <c r="D84" s="818" t="s">
        <v>663</v>
      </c>
      <c r="E84" s="895">
        <v>0.2</v>
      </c>
      <c r="F84" s="882">
        <v>30</v>
      </c>
    </row>
    <row r="85" spans="1:6" s="878" customFormat="1" ht="36">
      <c r="A85" s="882">
        <v>25</v>
      </c>
      <c r="B85" s="3303"/>
      <c r="C85" s="818" t="s">
        <v>664</v>
      </c>
      <c r="D85" s="818" t="s">
        <v>665</v>
      </c>
      <c r="E85" s="895">
        <v>0.5</v>
      </c>
      <c r="F85" s="882">
        <v>80</v>
      </c>
    </row>
    <row r="86" spans="1:6" s="878" customFormat="1" ht="36">
      <c r="A86" s="882">
        <v>26</v>
      </c>
      <c r="B86" s="3303"/>
      <c r="C86" s="818" t="s">
        <v>666</v>
      </c>
      <c r="D86" s="818" t="s">
        <v>667</v>
      </c>
      <c r="E86" s="895">
        <v>0.2</v>
      </c>
      <c r="F86" s="882">
        <v>30</v>
      </c>
    </row>
    <row r="87" spans="1:6" s="878" customFormat="1" ht="36">
      <c r="A87" s="882">
        <v>27</v>
      </c>
      <c r="B87" s="3303"/>
      <c r="C87" s="818" t="s">
        <v>668</v>
      </c>
      <c r="D87" s="818" t="s">
        <v>669</v>
      </c>
      <c r="E87" s="895">
        <v>0.2</v>
      </c>
      <c r="F87" s="882">
        <v>30</v>
      </c>
    </row>
    <row r="88" spans="1:6" s="878" customFormat="1" ht="36">
      <c r="A88" s="882">
        <v>28</v>
      </c>
      <c r="B88" s="3303"/>
      <c r="C88" s="818" t="s">
        <v>670</v>
      </c>
      <c r="D88" s="818" t="s">
        <v>671</v>
      </c>
      <c r="E88" s="895">
        <v>0.2</v>
      </c>
      <c r="F88" s="882">
        <v>30</v>
      </c>
    </row>
    <row r="89" spans="1:6" s="878" customFormat="1" ht="24">
      <c r="A89" s="882">
        <v>29</v>
      </c>
      <c r="B89" s="3303"/>
      <c r="C89" s="818" t="s">
        <v>672</v>
      </c>
      <c r="D89" s="818" t="s">
        <v>673</v>
      </c>
      <c r="E89" s="895">
        <v>0.2</v>
      </c>
      <c r="F89" s="882">
        <v>30</v>
      </c>
    </row>
    <row r="90" spans="1:6" s="878" customFormat="1" ht="24">
      <c r="A90" s="882">
        <v>30</v>
      </c>
      <c r="B90" s="3303"/>
      <c r="C90" s="818" t="s">
        <v>674</v>
      </c>
      <c r="D90" s="818" t="s">
        <v>675</v>
      </c>
      <c r="E90" s="895">
        <v>0.2</v>
      </c>
      <c r="F90" s="882">
        <v>30</v>
      </c>
    </row>
    <row r="91" spans="1:6" s="878" customFormat="1" ht="36">
      <c r="A91" s="882">
        <v>31</v>
      </c>
      <c r="B91" s="3303"/>
      <c r="C91" s="818" t="s">
        <v>676</v>
      </c>
      <c r="D91" s="818" t="s">
        <v>677</v>
      </c>
      <c r="E91" s="895">
        <v>0.2</v>
      </c>
      <c r="F91" s="882">
        <v>30</v>
      </c>
    </row>
    <row r="92" spans="1:6" s="878" customFormat="1" ht="24">
      <c r="A92" s="882">
        <v>32</v>
      </c>
      <c r="B92" s="3303" t="s">
        <v>678</v>
      </c>
      <c r="C92" s="882" t="s">
        <v>679</v>
      </c>
      <c r="D92" s="818" t="s">
        <v>680</v>
      </c>
      <c r="E92" s="895">
        <v>0.2</v>
      </c>
      <c r="F92" s="882">
        <v>30</v>
      </c>
    </row>
    <row r="93" spans="1:6" s="878" customFormat="1" ht="36">
      <c r="A93" s="882">
        <v>33</v>
      </c>
      <c r="B93" s="3303"/>
      <c r="C93" s="882" t="s">
        <v>681</v>
      </c>
      <c r="D93" s="818" t="s">
        <v>682</v>
      </c>
      <c r="E93" s="895">
        <v>0.2</v>
      </c>
      <c r="F93" s="882">
        <v>30</v>
      </c>
    </row>
    <row r="94" spans="1:6" s="878" customFormat="1" ht="48">
      <c r="A94" s="882">
        <v>34</v>
      </c>
      <c r="B94" s="3303"/>
      <c r="C94" s="882" t="s">
        <v>683</v>
      </c>
      <c r="D94" s="818" t="s">
        <v>684</v>
      </c>
      <c r="E94" s="895">
        <v>0.2</v>
      </c>
      <c r="F94" s="882">
        <v>30</v>
      </c>
    </row>
    <row r="95" spans="1:6" s="878" customFormat="1" ht="36">
      <c r="A95" s="882">
        <v>35</v>
      </c>
      <c r="B95" s="3303"/>
      <c r="C95" s="882" t="s">
        <v>685</v>
      </c>
      <c r="D95" s="818" t="s">
        <v>686</v>
      </c>
      <c r="E95" s="895">
        <v>0.2</v>
      </c>
      <c r="F95" s="882">
        <v>30</v>
      </c>
    </row>
    <row r="96" spans="1:6" s="878" customFormat="1" ht="48">
      <c r="A96" s="882">
        <v>36</v>
      </c>
      <c r="B96" s="3303"/>
      <c r="C96" s="818" t="s">
        <v>687</v>
      </c>
      <c r="D96" s="818" t="s">
        <v>688</v>
      </c>
      <c r="E96" s="895">
        <v>0.2</v>
      </c>
      <c r="F96" s="882">
        <v>30</v>
      </c>
    </row>
    <row r="97" spans="1:6" s="878" customFormat="1" ht="36">
      <c r="A97" s="882">
        <v>37</v>
      </c>
      <c r="B97" s="3303"/>
      <c r="C97" s="882" t="s">
        <v>689</v>
      </c>
      <c r="D97" s="818" t="s">
        <v>690</v>
      </c>
      <c r="E97" s="895">
        <v>0.2</v>
      </c>
      <c r="F97" s="882">
        <v>30</v>
      </c>
    </row>
    <row r="98" spans="1:6" s="878" customFormat="1" ht="36">
      <c r="A98" s="882">
        <v>38</v>
      </c>
      <c r="B98" s="3303"/>
      <c r="C98" s="882" t="s">
        <v>691</v>
      </c>
      <c r="D98" s="818" t="s">
        <v>692</v>
      </c>
      <c r="E98" s="895">
        <v>0.2</v>
      </c>
      <c r="F98" s="882">
        <v>30</v>
      </c>
    </row>
    <row r="99" spans="1:6" s="878" customFormat="1" ht="36">
      <c r="A99" s="882">
        <v>39</v>
      </c>
      <c r="B99" s="3303" t="s">
        <v>693</v>
      </c>
      <c r="C99" s="882" t="s">
        <v>694</v>
      </c>
      <c r="D99" s="818" t="s">
        <v>695</v>
      </c>
      <c r="E99" s="895">
        <v>0.3</v>
      </c>
      <c r="F99" s="882">
        <v>50</v>
      </c>
    </row>
    <row r="100" spans="1:6" s="878" customFormat="1" ht="24">
      <c r="A100" s="882">
        <v>40</v>
      </c>
      <c r="B100" s="3303"/>
      <c r="C100" s="882" t="s">
        <v>696</v>
      </c>
      <c r="D100" s="818" t="s">
        <v>697</v>
      </c>
      <c r="E100" s="895">
        <v>0.2</v>
      </c>
      <c r="F100" s="882">
        <v>30</v>
      </c>
    </row>
    <row r="101" spans="1:6" s="878" customFormat="1" ht="36">
      <c r="A101" s="882">
        <v>41</v>
      </c>
      <c r="B101" s="3303"/>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03" t="s">
        <v>708</v>
      </c>
      <c r="C105" s="882" t="s">
        <v>709</v>
      </c>
      <c r="D105" s="818" t="s">
        <v>710</v>
      </c>
      <c r="E105" s="895">
        <v>0.2</v>
      </c>
      <c r="F105" s="882">
        <v>30</v>
      </c>
    </row>
    <row r="106" spans="1:6" s="878" customFormat="1" ht="36">
      <c r="A106" s="882">
        <v>46</v>
      </c>
      <c r="B106" s="3303"/>
      <c r="C106" s="882" t="s">
        <v>711</v>
      </c>
      <c r="D106" s="818" t="s">
        <v>712</v>
      </c>
      <c r="E106" s="895">
        <v>0.2</v>
      </c>
      <c r="F106" s="882">
        <v>30</v>
      </c>
    </row>
    <row r="107" spans="1:6" s="878" customFormat="1" ht="36">
      <c r="A107" s="882">
        <v>47</v>
      </c>
      <c r="B107" s="3303" t="s">
        <v>713</v>
      </c>
      <c r="C107" s="882" t="s">
        <v>714</v>
      </c>
      <c r="D107" s="818" t="s">
        <v>715</v>
      </c>
      <c r="E107" s="895">
        <v>0.3</v>
      </c>
      <c r="F107" s="882">
        <v>50</v>
      </c>
    </row>
    <row r="108" spans="1:6" s="878" customFormat="1" ht="36">
      <c r="A108" s="882">
        <v>48</v>
      </c>
      <c r="B108" s="3303"/>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03" t="s">
        <v>724</v>
      </c>
      <c r="C111" s="882" t="s">
        <v>725</v>
      </c>
      <c r="D111" s="818" t="s">
        <v>726</v>
      </c>
      <c r="E111" s="895">
        <v>0.2</v>
      </c>
      <c r="F111" s="882">
        <v>30</v>
      </c>
    </row>
    <row r="112" spans="1:6" s="878" customFormat="1" ht="24">
      <c r="A112" s="882">
        <v>52</v>
      </c>
      <c r="B112" s="3303"/>
      <c r="C112" s="882" t="s">
        <v>727</v>
      </c>
      <c r="D112" s="818" t="s">
        <v>728</v>
      </c>
      <c r="E112" s="895">
        <v>0.2</v>
      </c>
      <c r="F112" s="882">
        <v>30</v>
      </c>
    </row>
    <row r="113" spans="1:6" s="878" customFormat="1" ht="24">
      <c r="A113" s="882">
        <v>53</v>
      </c>
      <c r="B113" s="3303"/>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03" t="s">
        <v>737</v>
      </c>
      <c r="C116" s="882" t="s">
        <v>738</v>
      </c>
      <c r="D116" s="818" t="s">
        <v>739</v>
      </c>
      <c r="E116" s="895">
        <v>0.2</v>
      </c>
      <c r="F116" s="882">
        <v>30</v>
      </c>
    </row>
    <row r="117" spans="1:6" ht="36">
      <c r="A117" s="882">
        <v>57</v>
      </c>
      <c r="B117" s="3303"/>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1.2786999999999999</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AN6" sqref="AN6"/>
    </sheetView>
  </sheetViews>
  <sheetFormatPr defaultColWidth="9"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4" t="s">
        <v>2994</v>
      </c>
    </row>
    <row r="2" spans="1:5" ht="15.75">
      <c r="A2" s="2912" t="s">
        <v>2986</v>
      </c>
      <c r="B2" s="2913" t="e">
        <f ca="1">SUMIF(B6:B13,"&lt;&gt;#ref!",B6:B13)</f>
        <v>#DIV/0!</v>
      </c>
      <c r="C2" s="2912" t="s">
        <v>2987</v>
      </c>
      <c r="D2" s="2912" t="s">
        <v>2988</v>
      </c>
      <c r="E2" s="2913">
        <f ca="1">SUMIF(E6:E13,"&lt;&gt;#ref!",E6:E13)</f>
        <v>0</v>
      </c>
    </row>
    <row r="3" spans="1:5" ht="15.75">
      <c r="A3" s="2912" t="s">
        <v>2989</v>
      </c>
      <c r="B3" s="2913" t="e">
        <f ca="1">ROUND(B2*10000/E2,0)</f>
        <v>#DIV/0!</v>
      </c>
      <c r="C3" s="2912" t="s">
        <v>2995</v>
      </c>
      <c r="D3" s="2914"/>
      <c r="E3" s="2914"/>
    </row>
    <row r="4" spans="1:5" ht="15.75">
      <c r="A4" s="2915"/>
      <c r="B4" s="2914"/>
      <c r="C4" s="2914"/>
      <c r="D4" s="2914"/>
      <c r="E4" s="2914"/>
    </row>
    <row r="5" spans="1:5" ht="28.5">
      <c r="A5" s="2916" t="s">
        <v>2990</v>
      </c>
      <c r="B5" s="2912" t="s">
        <v>2991</v>
      </c>
      <c r="C5" s="2913"/>
      <c r="D5" s="2914"/>
      <c r="E5" s="2912" t="s">
        <v>2992</v>
      </c>
    </row>
    <row r="6" spans="1:5" ht="15.75">
      <c r="A6" s="2917" t="s">
        <v>2993</v>
      </c>
      <c r="B6" s="2913" t="e">
        <f ca="1">SUMIF(INDIRECT("'"&amp;A6&amp;"'"&amp;"!A:A"),"总价",INDIRECT("'"&amp;A6&amp;"'"&amp;"!B:B"))</f>
        <v>#DIV/0!</v>
      </c>
      <c r="C6" s="2912" t="s">
        <v>2987</v>
      </c>
      <c r="D6" s="2914"/>
      <c r="E6" s="2578">
        <f ca="1">SUMIF(INDIRECT("'"&amp;A6&amp;"'"&amp;"!C:C"),"建筑面积",INDIRECT("'"&amp;A6&amp;"'"&amp;"!D:D"))</f>
        <v>0</v>
      </c>
    </row>
    <row r="7" spans="1:5" ht="15.75">
      <c r="A7" s="2917"/>
      <c r="B7" s="2913" t="e">
        <f ca="1">SUMIF(INDIRECT("'"&amp;A7&amp;"'"&amp;"!A:A"),"总价",INDIRECT("'"&amp;A7&amp;"'"&amp;"!B:B"))</f>
        <v>#REF!</v>
      </c>
      <c r="C7" s="2912" t="s">
        <v>2987</v>
      </c>
      <c r="D7" s="2914"/>
      <c r="E7" s="2578" t="e">
        <f t="shared" ref="E7:E13" ca="1" si="0">SUMIF(INDIRECT("'"&amp;A7&amp;"'"&amp;"!C:C"),"建筑面积",INDIRECT("'"&amp;A7&amp;"'"&amp;"!D:D"))</f>
        <v>#REF!</v>
      </c>
    </row>
    <row r="8" spans="1:5" ht="15.75">
      <c r="A8" s="2917"/>
      <c r="B8" s="2913" t="e">
        <f t="shared" ref="B8:B13" ca="1" si="1">SUMIF(INDIRECT("'"&amp;A8&amp;"'"&amp;"!A:A"),"总价",INDIRECT("'"&amp;A8&amp;"'"&amp;"!B:B"))</f>
        <v>#REF!</v>
      </c>
      <c r="C8" s="2912" t="s">
        <v>2987</v>
      </c>
      <c r="D8" s="2914"/>
      <c r="E8" s="2578" t="e">
        <f t="shared" ca="1" si="0"/>
        <v>#REF!</v>
      </c>
    </row>
    <row r="9" spans="1:5" ht="15.75">
      <c r="A9" s="2917"/>
      <c r="B9" s="2913" t="e">
        <f t="shared" ca="1" si="1"/>
        <v>#REF!</v>
      </c>
      <c r="C9" s="2912" t="s">
        <v>2987</v>
      </c>
      <c r="D9" s="2914"/>
      <c r="E9" s="2578" t="e">
        <f t="shared" ca="1" si="0"/>
        <v>#REF!</v>
      </c>
    </row>
    <row r="10" spans="1:5" ht="15.75">
      <c r="A10" s="2917"/>
      <c r="B10" s="2913" t="e">
        <f t="shared" ca="1" si="1"/>
        <v>#REF!</v>
      </c>
      <c r="C10" s="2912" t="s">
        <v>2987</v>
      </c>
      <c r="D10" s="2914"/>
      <c r="E10" s="2578" t="e">
        <f t="shared" ca="1" si="0"/>
        <v>#REF!</v>
      </c>
    </row>
    <row r="11" spans="1:5" ht="15.75">
      <c r="A11" s="2917"/>
      <c r="B11" s="2913" t="e">
        <f t="shared" ca="1" si="1"/>
        <v>#REF!</v>
      </c>
      <c r="C11" s="2912" t="s">
        <v>2987</v>
      </c>
      <c r="D11" s="2914"/>
      <c r="E11" s="2578" t="e">
        <f t="shared" ca="1" si="0"/>
        <v>#REF!</v>
      </c>
    </row>
    <row r="12" spans="1:5" ht="15.75">
      <c r="A12" s="2917"/>
      <c r="B12" s="2913" t="e">
        <f t="shared" ca="1" si="1"/>
        <v>#REF!</v>
      </c>
      <c r="C12" s="2912" t="s">
        <v>2987</v>
      </c>
      <c r="D12" s="2914"/>
      <c r="E12" s="2578" t="e">
        <f t="shared" ca="1" si="0"/>
        <v>#REF!</v>
      </c>
    </row>
    <row r="13" spans="1:5" ht="15.75">
      <c r="A13" s="2917"/>
      <c r="B13" s="2913" t="e">
        <f t="shared" ca="1" si="1"/>
        <v>#REF!</v>
      </c>
      <c r="C13" s="2912" t="s">
        <v>2987</v>
      </c>
      <c r="D13" s="2914"/>
      <c r="E13" s="257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L38" sqref="L38"/>
    </sheetView>
  </sheetViews>
  <sheetFormatPr defaultColWidth="9"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309" t="s">
        <v>1146</v>
      </c>
      <c r="C1" s="3309"/>
      <c r="D1" s="3309"/>
      <c r="E1" s="3309"/>
      <c r="F1" s="3309"/>
      <c r="G1" s="3308" t="s">
        <v>1147</v>
      </c>
      <c r="H1" s="3308"/>
      <c r="I1" s="3308"/>
      <c r="J1" s="3308"/>
      <c r="K1" s="3308"/>
      <c r="L1" s="3308"/>
      <c r="N1" s="3308" t="s">
        <v>1148</v>
      </c>
      <c r="O1" s="3308"/>
      <c r="P1" s="3308"/>
      <c r="Q1" s="3308"/>
      <c r="R1" s="1449"/>
      <c r="S1" s="3308" t="s">
        <v>1149</v>
      </c>
      <c r="T1" s="3308"/>
      <c r="U1" s="3308"/>
      <c r="V1" s="3308"/>
      <c r="X1" s="3307" t="s">
        <v>1150</v>
      </c>
      <c r="Y1" s="3308"/>
      <c r="Z1" s="3308"/>
      <c r="AA1" s="3308"/>
      <c r="AB1" s="3308"/>
      <c r="AD1" s="3307" t="s">
        <v>1151</v>
      </c>
      <c r="AE1" s="3308"/>
      <c r="AF1" s="3308"/>
      <c r="AG1" s="3308"/>
      <c r="AH1" s="3308"/>
    </row>
    <row r="2" spans="1:34" s="1450" customFormat="1" ht="14.25" thickBot="1">
      <c r="B2" s="1451" t="s">
        <v>1152</v>
      </c>
      <c r="C2" s="1451" t="s">
        <v>1153</v>
      </c>
      <c r="D2" s="1452" t="s">
        <v>1154</v>
      </c>
      <c r="E2" s="1452" t="s">
        <v>1155</v>
      </c>
      <c r="F2" s="1451" t="s">
        <v>1156</v>
      </c>
      <c r="G2" s="1453"/>
      <c r="H2" s="1454"/>
      <c r="I2" s="1451" t="s">
        <v>1152</v>
      </c>
      <c r="J2" s="1452" t="s">
        <v>1381</v>
      </c>
      <c r="K2" s="1452" t="s">
        <v>751</v>
      </c>
      <c r="L2" s="1451" t="s">
        <v>1156</v>
      </c>
      <c r="N2" s="1451" t="s">
        <v>1152</v>
      </c>
      <c r="O2" s="1452" t="s">
        <v>1381</v>
      </c>
      <c r="P2" s="1452" t="s">
        <v>751</v>
      </c>
      <c r="Q2" s="1451" t="s">
        <v>1156</v>
      </c>
      <c r="R2" s="1455"/>
      <c r="S2" s="1451" t="s">
        <v>1152</v>
      </c>
      <c r="T2" s="1452" t="s">
        <v>1381</v>
      </c>
      <c r="U2" s="1452" t="s">
        <v>751</v>
      </c>
      <c r="V2" s="1451" t="s">
        <v>1156</v>
      </c>
      <c r="X2" s="1451" t="s">
        <v>1152</v>
      </c>
      <c r="Y2" s="1451" t="s">
        <v>1153</v>
      </c>
      <c r="Z2" s="1452" t="s">
        <v>1154</v>
      </c>
      <c r="AA2" s="1452" t="s">
        <v>1155</v>
      </c>
      <c r="AB2" s="1451" t="s">
        <v>1156</v>
      </c>
      <c r="AD2" s="1451" t="s">
        <v>1152</v>
      </c>
      <c r="AE2" s="1451" t="s">
        <v>1153</v>
      </c>
      <c r="AF2" s="1452" t="s">
        <v>1154</v>
      </c>
      <c r="AG2" s="1452" t="s">
        <v>1155</v>
      </c>
      <c r="AH2" s="1451" t="s">
        <v>1156</v>
      </c>
    </row>
    <row r="3" spans="1:34" s="2928" customFormat="1" ht="14.25">
      <c r="A3" s="2937" t="s">
        <v>3029</v>
      </c>
      <c r="B3" s="2929"/>
      <c r="C3" s="2929"/>
      <c r="D3" s="2930"/>
      <c r="E3" s="2930"/>
      <c r="F3" s="2929"/>
      <c r="G3" s="2931"/>
      <c r="H3" s="2932"/>
      <c r="I3" s="2933">
        <f>ROUND(AVERAGE($I4:$I25),2)</f>
        <v>2.09</v>
      </c>
      <c r="J3" s="2933">
        <f>ROUND(AVERAGE($J4:$J25),2)</f>
        <v>1.46</v>
      </c>
      <c r="K3" s="2933">
        <f>ROUND(AVERAGE($K4:$K25),2)</f>
        <v>2.29</v>
      </c>
      <c r="L3" s="2933">
        <f>ROUND(AVERAGE($L4:$L25),2)</f>
        <v>1.36</v>
      </c>
      <c r="N3" s="2931"/>
      <c r="O3" s="2934"/>
      <c r="P3" s="2934"/>
      <c r="Q3" s="2934"/>
      <c r="R3" s="2934"/>
      <c r="S3" s="2931"/>
      <c r="T3" s="2934"/>
      <c r="U3" s="2934"/>
      <c r="V3" s="2934"/>
      <c r="W3" s="2926"/>
      <c r="X3" s="2935">
        <f>ROUND(SUMPRODUCT(PRODUCT(1+N3:N$24)),4)</f>
        <v>1.4956</v>
      </c>
      <c r="Y3" s="2935">
        <f>ROUND(SUMPRODUCT(PRODUCT(1+O3:O$24)),4)</f>
        <v>1.3237000000000001</v>
      </c>
      <c r="Z3" s="2935">
        <f t="shared" ref="Z3:Z22" si="0">Y3</f>
        <v>1.3237000000000001</v>
      </c>
      <c r="AA3" s="2935">
        <f>ROUND(SUMPRODUCT(PRODUCT(1+P3:P$24)),4)</f>
        <v>1.554</v>
      </c>
      <c r="AB3" s="2935">
        <f>ROUND(SUMPRODUCT(PRODUCT(1+Q3:Q$24)),4)</f>
        <v>1.3087</v>
      </c>
      <c r="AD3" s="2936">
        <f>ROUND(AVERAGE(I3:I$25)/100,4)</f>
        <v>2.0899999999999998E-2</v>
      </c>
      <c r="AE3" s="2936">
        <f>ROUND(AVERAGE(J3:J$25)/100,4)</f>
        <v>1.46E-2</v>
      </c>
      <c r="AF3" s="2936">
        <f t="shared" ref="AF3:AF23" si="1">AE3</f>
        <v>1.46E-2</v>
      </c>
      <c r="AG3" s="2936">
        <f>ROUND(AVERAGE(K3:K$25)/100,4)</f>
        <v>2.29E-2</v>
      </c>
      <c r="AH3" s="2936">
        <f>ROUND(AVERAGE(L3:L$25)/100,4)</f>
        <v>1.3599999999999999E-2</v>
      </c>
    </row>
    <row r="4" spans="1:34" s="1456" customFormat="1" ht="14.25">
      <c r="B4" s="1457"/>
      <c r="C4" s="1457"/>
      <c r="D4" s="1458"/>
      <c r="E4" s="1458"/>
      <c r="F4" s="1457"/>
      <c r="G4" s="1459"/>
      <c r="H4" s="1460"/>
      <c r="I4" s="2923"/>
      <c r="J4" s="2923"/>
      <c r="K4" s="2923"/>
      <c r="L4" s="2923"/>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3042</v>
      </c>
      <c r="B5" s="1794">
        <f t="shared" ref="B5" si="2">B6*(1+N5)</f>
        <v>459.95733971036987</v>
      </c>
      <c r="C5" s="1794">
        <f t="shared" ref="C5" si="3">C6*(1+O5)</f>
        <v>341.22221064422405</v>
      </c>
      <c r="D5" s="1794">
        <f t="shared" ref="D5" si="4">C5</f>
        <v>341.22221064422405</v>
      </c>
      <c r="E5" s="1794">
        <f t="shared" ref="E5" si="5">E6*(1+P5)</f>
        <v>657.19161663724799</v>
      </c>
      <c r="F5" s="1794">
        <f t="shared" ref="F5" si="6">F6*(1+Q5)</f>
        <v>300.87803644464805</v>
      </c>
      <c r="G5" s="2941">
        <v>2019</v>
      </c>
      <c r="H5" s="1733">
        <v>1</v>
      </c>
      <c r="I5" s="2924">
        <v>0</v>
      </c>
      <c r="J5" s="2924">
        <v>0</v>
      </c>
      <c r="K5" s="2924">
        <v>0</v>
      </c>
      <c r="L5" s="2924">
        <v>0</v>
      </c>
      <c r="N5" s="1470">
        <f>I5/100</f>
        <v>0</v>
      </c>
      <c r="O5" s="1470">
        <f t="shared" ref="O5" si="7">J5/100</f>
        <v>0</v>
      </c>
      <c r="P5" s="1470">
        <f t="shared" ref="P5" si="8">K5/100</f>
        <v>0</v>
      </c>
      <c r="Q5" s="1470">
        <f t="shared" ref="Q5" si="9">L5/100</f>
        <v>0</v>
      </c>
      <c r="R5" s="1735"/>
      <c r="S5" s="1736"/>
      <c r="T5" s="1735"/>
      <c r="U5" s="1735"/>
      <c r="V5" s="1735"/>
      <c r="W5" s="2927" t="s">
        <v>3030</v>
      </c>
      <c r="X5" s="1729">
        <f>ROUND(IF(项目基本情况!B8="出让",SUMPRODUCT(PRODUCT(1+N5:N$25)),SUMPRODUCT(PRODUCT(1+N5:N$24))),4)</f>
        <v>1.4956</v>
      </c>
      <c r="Y5" s="1729">
        <f>ROUND(IF(项目基本情况!B8="出让",SUMPRODUCT(PRODUCT(1+O5:O$25)),SUMPRODUCT(PRODUCT(1+O5:O$24))),4)</f>
        <v>1.3237000000000001</v>
      </c>
      <c r="Z5" s="1729">
        <f t="shared" ref="Z5" si="10">Y5</f>
        <v>1.3237000000000001</v>
      </c>
      <c r="AA5" s="1729">
        <f>ROUND(IF(项目基本情况!B8="出让",SUMPRODUCT(PRODUCT(1+P5:P$25)),SUMPRODUCT(PRODUCT(1+P5:P$24))),4)</f>
        <v>1.554</v>
      </c>
      <c r="AB5" s="1729">
        <f>ROUND(IF(项目基本情况!B8="出让",SUMPRODUCT(PRODUCT(1+Q5:Q$25)),SUMPRODUCT(PRODUCT(1+Q5:Q$24))),4)</f>
        <v>1.3087</v>
      </c>
      <c r="AD5" s="1471">
        <f>ROUND(AVERAGE(I5:I$25)/100,4)</f>
        <v>2.0899999999999998E-2</v>
      </c>
      <c r="AE5" s="1471">
        <f>ROUND(AVERAGE(J5:J$25)/100,4)</f>
        <v>1.46E-2</v>
      </c>
      <c r="AF5" s="1471">
        <f t="shared" ref="AF5" si="11">AE5</f>
        <v>1.46E-2</v>
      </c>
      <c r="AG5" s="1471">
        <f>ROUND(AVERAGE(K5:K$25)/100,4)</f>
        <v>2.29E-2</v>
      </c>
      <c r="AH5" s="1471">
        <f>ROUND(AVERAGE(L5:L$25)/100,4)</f>
        <v>1.3599999999999999E-2</v>
      </c>
    </row>
    <row r="6" spans="1:34" s="1469" customFormat="1">
      <c r="A6" s="1464" t="s">
        <v>3043</v>
      </c>
      <c r="B6" s="1480">
        <f t="shared" ref="B6" si="12">B7*(1+N6)</f>
        <v>459.95733971036987</v>
      </c>
      <c r="C6" s="1480">
        <f t="shared" ref="C6" si="13">C7*(1+O6)</f>
        <v>341.22221064422405</v>
      </c>
      <c r="D6" s="1480">
        <f t="shared" ref="D6" si="14">C6</f>
        <v>341.22221064422405</v>
      </c>
      <c r="E6" s="1480">
        <f t="shared" ref="E6" si="15">E7*(1+P6)</f>
        <v>657.19161663724799</v>
      </c>
      <c r="F6" s="1480">
        <f t="shared" ref="F6" si="16">F7*(1+Q6)</f>
        <v>300.87803644464805</v>
      </c>
      <c r="G6" s="3305">
        <v>2018</v>
      </c>
      <c r="H6" s="1467">
        <v>4</v>
      </c>
      <c r="I6" s="1467">
        <v>0</v>
      </c>
      <c r="J6" s="1467">
        <v>0</v>
      </c>
      <c r="K6" s="1467">
        <v>0</v>
      </c>
      <c r="L6" s="1481">
        <v>0</v>
      </c>
      <c r="M6" s="1474"/>
      <c r="N6" s="1475">
        <f>I6/100</f>
        <v>0</v>
      </c>
      <c r="O6" s="1476">
        <f t="shared" ref="O6" si="17">J6/100</f>
        <v>0</v>
      </c>
      <c r="P6" s="1476">
        <f t="shared" ref="P6" si="18">K6/100</f>
        <v>0</v>
      </c>
      <c r="Q6" s="1476">
        <f t="shared" ref="Q6" si="19">L6/100</f>
        <v>0</v>
      </c>
      <c r="R6" s="1477"/>
      <c r="S6" s="1475"/>
      <c r="T6" s="1476"/>
      <c r="U6" s="1476"/>
      <c r="V6" s="1476"/>
      <c r="W6" s="1793"/>
      <c r="X6" s="1791">
        <f>ROUND(SUMPRODUCT(PRODUCT(1+N6:N$24)),4)</f>
        <v>1.4956</v>
      </c>
      <c r="Y6" s="1791">
        <f>ROUND(SUMPRODUCT(PRODUCT(1+O6:O$24)),4)</f>
        <v>1.3237000000000001</v>
      </c>
      <c r="Z6" s="1791">
        <f t="shared" ref="Z6" si="20">Y6</f>
        <v>1.3237000000000001</v>
      </c>
      <c r="AA6" s="1791">
        <f>ROUND(SUMPRODUCT(PRODUCT(1+P6:P$24)),4)</f>
        <v>1.554</v>
      </c>
      <c r="AB6" s="1791">
        <f>ROUND(SUMPRODUCT(PRODUCT(1+Q6:Q$24)),4)</f>
        <v>1.3087</v>
      </c>
      <c r="AC6" s="1793"/>
      <c r="AD6" s="1792">
        <f>ROUND(AVERAGE(I6:I$25)/100,4)</f>
        <v>2.1899999999999999E-2</v>
      </c>
      <c r="AE6" s="1792">
        <f>ROUND(AVERAGE(J6:J$25)/100,4)</f>
        <v>1.5299999999999999E-2</v>
      </c>
      <c r="AF6" s="1792">
        <f t="shared" ref="AF6" si="21">AE6</f>
        <v>1.5299999999999999E-2</v>
      </c>
      <c r="AG6" s="1792">
        <f>ROUND(AVERAGE(K6:K$25)/100,4)</f>
        <v>2.41E-2</v>
      </c>
      <c r="AH6" s="1792">
        <f>ROUND(AVERAGE(L6:L$25)/100,4)</f>
        <v>1.4200000000000001E-2</v>
      </c>
    </row>
    <row r="7" spans="1:34" s="1469" customFormat="1" ht="14.45" customHeight="1">
      <c r="A7" s="1464" t="s">
        <v>3036</v>
      </c>
      <c r="B7" s="1480">
        <f t="shared" ref="B7" si="22">B8*(1+N7)</f>
        <v>459.95733971036987</v>
      </c>
      <c r="C7" s="1480">
        <f t="shared" ref="C7" si="23">C8*(1+O7)</f>
        <v>341.22221064422405</v>
      </c>
      <c r="D7" s="1480">
        <f t="shared" ref="D7" si="24">C7</f>
        <v>341.22221064422405</v>
      </c>
      <c r="E7" s="1480">
        <f t="shared" ref="E7" si="25">E8*(1+P7)</f>
        <v>657.19161663724799</v>
      </c>
      <c r="F7" s="1480">
        <f t="shared" ref="F7" si="26">F8*(1+Q7)</f>
        <v>300.87803644464805</v>
      </c>
      <c r="G7" s="3305"/>
      <c r="H7" s="1467">
        <v>3</v>
      </c>
      <c r="I7" s="1467">
        <v>1.51</v>
      </c>
      <c r="J7" s="1467">
        <v>1.41</v>
      </c>
      <c r="K7" s="1467">
        <v>1.52</v>
      </c>
      <c r="L7" s="1481">
        <v>1.74</v>
      </c>
      <c r="M7" s="1474"/>
      <c r="N7" s="1475">
        <f>I7/100</f>
        <v>1.5100000000000001E-2</v>
      </c>
      <c r="O7" s="1476">
        <f t="shared" ref="O7" si="27">J7/100</f>
        <v>1.41E-2</v>
      </c>
      <c r="P7" s="1476">
        <f t="shared" ref="P7" si="28">K7/100</f>
        <v>1.52E-2</v>
      </c>
      <c r="Q7" s="1476">
        <f t="shared" ref="Q7" si="29">L7/100</f>
        <v>1.7399999999999999E-2</v>
      </c>
      <c r="R7" s="1477"/>
      <c r="S7" s="1475"/>
      <c r="T7" s="1476"/>
      <c r="U7" s="1476"/>
      <c r="V7" s="1476"/>
      <c r="W7" s="1793"/>
      <c r="X7" s="1791">
        <f>ROUND(SUMPRODUCT(PRODUCT(1+N7:N$24)),4)</f>
        <v>1.4956</v>
      </c>
      <c r="Y7" s="1791">
        <f>ROUND(SUMPRODUCT(PRODUCT(1+O7:O$24)),4)</f>
        <v>1.3237000000000001</v>
      </c>
      <c r="Z7" s="1791">
        <f t="shared" ref="Z7" si="30">Y7</f>
        <v>1.3237000000000001</v>
      </c>
      <c r="AA7" s="1791">
        <f>ROUND(SUMPRODUCT(PRODUCT(1+P7:P$24)),4)</f>
        <v>1.554</v>
      </c>
      <c r="AB7" s="1791">
        <f>ROUND(SUMPRODUCT(PRODUCT(1+Q7:Q$24)),4)</f>
        <v>1.3087</v>
      </c>
      <c r="AC7" s="1793"/>
      <c r="AD7" s="1792">
        <f>ROUND(AVERAGE(I7:I$25)/100,4)</f>
        <v>2.3099999999999999E-2</v>
      </c>
      <c r="AE7" s="1792">
        <f>ROUND(AVERAGE(J7:J$25)/100,4)</f>
        <v>1.61E-2</v>
      </c>
      <c r="AF7" s="1792">
        <f t="shared" ref="AF7" si="31">AE7</f>
        <v>1.61E-2</v>
      </c>
      <c r="AG7" s="1792">
        <f>ROUND(AVERAGE(K7:K$25)/100,4)</f>
        <v>2.53E-2</v>
      </c>
      <c r="AH7" s="1792">
        <f>ROUND(AVERAGE(L7:L$25)/100,4)</f>
        <v>1.4999999999999999E-2</v>
      </c>
    </row>
    <row r="8" spans="1:34" s="1469" customFormat="1" ht="14.45" customHeight="1">
      <c r="A8" s="1464" t="s">
        <v>3035</v>
      </c>
      <c r="B8" s="1480">
        <f t="shared" ref="B8" si="32">B9*(1+N8)</f>
        <v>453.11529869999993</v>
      </c>
      <c r="C8" s="1480">
        <f t="shared" ref="C8" si="33">C9*(1+O8)</f>
        <v>336.47787264000004</v>
      </c>
      <c r="D8" s="1480">
        <f t="shared" ref="D8" si="34">C8</f>
        <v>336.47787264000004</v>
      </c>
      <c r="E8" s="1480">
        <f t="shared" ref="E8" si="35">E9*(1+P8)</f>
        <v>647.35186823999993</v>
      </c>
      <c r="F8" s="1480">
        <f t="shared" ref="F8" si="36">F9*(1+Q8)</f>
        <v>295.73229452000004</v>
      </c>
      <c r="G8" s="3305"/>
      <c r="H8" s="1467">
        <v>2</v>
      </c>
      <c r="I8" s="1467">
        <v>1.49</v>
      </c>
      <c r="J8" s="1467">
        <v>0.96</v>
      </c>
      <c r="K8" s="1467">
        <v>1.58</v>
      </c>
      <c r="L8" s="1481">
        <v>2.44</v>
      </c>
      <c r="M8" s="1474"/>
      <c r="N8" s="1475">
        <f t="shared" ref="N8" si="37">I8/100</f>
        <v>1.49E-2</v>
      </c>
      <c r="O8" s="1476">
        <f t="shared" ref="O8" si="38">J8/100</f>
        <v>9.5999999999999992E-3</v>
      </c>
      <c r="P8" s="1476">
        <f t="shared" ref="P8" si="39">K8/100</f>
        <v>1.5800000000000002E-2</v>
      </c>
      <c r="Q8" s="1476">
        <f t="shared" ref="Q8" si="40">L8/100</f>
        <v>2.4399999999999998E-2</v>
      </c>
      <c r="R8" s="1477"/>
      <c r="S8" s="1475"/>
      <c r="T8" s="1476"/>
      <c r="U8" s="1476"/>
      <c r="V8" s="1476"/>
      <c r="W8" s="1793"/>
      <c r="X8" s="1791">
        <f>ROUND(SUMPRODUCT(PRODUCT(1+N8:N$24)),4)</f>
        <v>1.4733000000000001</v>
      </c>
      <c r="Y8" s="1791">
        <f>ROUND(SUMPRODUCT(PRODUCT(1+O8:O$24)),4)</f>
        <v>1.3052999999999999</v>
      </c>
      <c r="Z8" s="1791">
        <f t="shared" ref="Z8" si="41">Y8</f>
        <v>1.3052999999999999</v>
      </c>
      <c r="AA8" s="1791">
        <f>ROUND(SUMPRODUCT(PRODUCT(1+P8:P$24)),4)</f>
        <v>1.5306999999999999</v>
      </c>
      <c r="AB8" s="1791">
        <f>ROUND(SUMPRODUCT(PRODUCT(1+Q8:Q$24)),4)</f>
        <v>1.2863</v>
      </c>
      <c r="AC8" s="1793"/>
      <c r="AD8" s="1792">
        <f>ROUND(AVERAGE(I8:I$25)/100,4)</f>
        <v>2.35E-2</v>
      </c>
      <c r="AE8" s="1792">
        <f>ROUND(AVERAGE(J8:J$25)/100,4)</f>
        <v>1.6199999999999999E-2</v>
      </c>
      <c r="AF8" s="1792">
        <f t="shared" ref="AF8" si="42">AE8</f>
        <v>1.6199999999999999E-2</v>
      </c>
      <c r="AG8" s="1792">
        <f>ROUND(AVERAGE(K8:K$25)/100,4)</f>
        <v>2.5899999999999999E-2</v>
      </c>
      <c r="AH8" s="1792">
        <f>ROUND(AVERAGE(L8:L$25)/100,4)</f>
        <v>1.49E-2</v>
      </c>
    </row>
    <row r="9" spans="1:34" s="1469" customFormat="1" ht="15" customHeight="1" thickBot="1">
      <c r="A9" s="1464" t="s">
        <v>3028</v>
      </c>
      <c r="B9" s="1480">
        <f t="shared" ref="B9" si="43">B10*(1+N9)</f>
        <v>446.46299999999997</v>
      </c>
      <c r="C9" s="1480">
        <f t="shared" ref="C9" si="44">C10*(1+O9)</f>
        <v>333.27840000000003</v>
      </c>
      <c r="D9" s="1480">
        <f t="shared" ref="D9" si="45">C9</f>
        <v>333.27840000000003</v>
      </c>
      <c r="E9" s="1480">
        <f t="shared" ref="E9" si="46">E10*(1+P9)</f>
        <v>637.28279999999995</v>
      </c>
      <c r="F9" s="1480">
        <f t="shared" ref="F9" si="47">F10*(1+Q9)</f>
        <v>288.68830000000003</v>
      </c>
      <c r="G9" s="3314"/>
      <c r="H9" s="1467">
        <v>1</v>
      </c>
      <c r="I9" s="1467">
        <v>1.7</v>
      </c>
      <c r="J9" s="1467">
        <v>1.92</v>
      </c>
      <c r="K9" s="1467">
        <v>1.64</v>
      </c>
      <c r="L9" s="1481">
        <v>2.0099999999999998</v>
      </c>
      <c r="M9" s="1474"/>
      <c r="N9" s="1475">
        <f t="shared" ref="N9:N14" si="48">I9/100</f>
        <v>1.7000000000000001E-2</v>
      </c>
      <c r="O9" s="1476">
        <f t="shared" ref="O9" si="49">J9/100</f>
        <v>1.9199999999999998E-2</v>
      </c>
      <c r="P9" s="1476">
        <f t="shared" ref="P9" si="50">K9/100</f>
        <v>1.6399999999999998E-2</v>
      </c>
      <c r="Q9" s="1476">
        <f t="shared" ref="Q9" si="51">L9/100</f>
        <v>2.0099999999999996E-2</v>
      </c>
      <c r="R9" s="1477"/>
      <c r="S9" s="1475">
        <f>B9/B10-1</f>
        <v>1.6999999999999904E-2</v>
      </c>
      <c r="T9" s="1476">
        <f t="shared" ref="T9" si="52">C9/C10-1</f>
        <v>1.9200000000000106E-2</v>
      </c>
      <c r="U9" s="1476">
        <f t="shared" ref="U9" si="53">D9/D10-1</f>
        <v>1.9200000000000106E-2</v>
      </c>
      <c r="V9" s="1476">
        <f t="shared" ref="V9" si="54">E9/E10-1</f>
        <v>1.639999999999997E-2</v>
      </c>
      <c r="W9" s="1793"/>
      <c r="X9" s="1791">
        <f>ROUND(SUMPRODUCT(PRODUCT(1+N9:N$24)),4)</f>
        <v>1.4517</v>
      </c>
      <c r="Y9" s="1791">
        <f>ROUND(SUMPRODUCT(PRODUCT(1+O9:O$24)),4)</f>
        <v>1.2928999999999999</v>
      </c>
      <c r="Z9" s="1791">
        <f t="shared" ref="Z9" si="55">Y9</f>
        <v>1.2928999999999999</v>
      </c>
      <c r="AA9" s="1791">
        <f>ROUND(SUMPRODUCT(PRODUCT(1+P9:P$24)),4)</f>
        <v>1.5068999999999999</v>
      </c>
      <c r="AB9" s="1791">
        <f>ROUND(SUMPRODUCT(PRODUCT(1+Q9:Q$24)),4)</f>
        <v>1.2557</v>
      </c>
      <c r="AC9" s="1793"/>
      <c r="AD9" s="1792">
        <f>ROUND(AVERAGE(I9:I$25)/100,4)</f>
        <v>2.4E-2</v>
      </c>
      <c r="AE9" s="1792">
        <f>ROUND(AVERAGE(J9:J$25)/100,4)</f>
        <v>1.66E-2</v>
      </c>
      <c r="AF9" s="1792">
        <f t="shared" ref="AF9" si="56">AE9</f>
        <v>1.66E-2</v>
      </c>
      <c r="AG9" s="1792">
        <f>ROUND(AVERAGE(K9:K$25)/100,4)</f>
        <v>2.6499999999999999E-2</v>
      </c>
      <c r="AH9" s="1792">
        <f>ROUND(AVERAGE(L9:L$25)/100,4)</f>
        <v>1.43E-2</v>
      </c>
    </row>
    <row r="10" spans="1:34">
      <c r="A10" s="1464" t="s">
        <v>3025</v>
      </c>
      <c r="B10" s="1472">
        <v>439</v>
      </c>
      <c r="C10" s="1472">
        <v>327</v>
      </c>
      <c r="D10" s="1472">
        <f>C10</f>
        <v>327</v>
      </c>
      <c r="E10" s="1472">
        <v>627</v>
      </c>
      <c r="F10" s="1473">
        <v>283</v>
      </c>
      <c r="G10" s="3310">
        <v>2017</v>
      </c>
      <c r="H10" s="1465">
        <v>4</v>
      </c>
      <c r="I10" s="1465">
        <v>1.71</v>
      </c>
      <c r="J10" s="1465">
        <v>1.78</v>
      </c>
      <c r="K10" s="1465">
        <v>1.71</v>
      </c>
      <c r="L10" s="1466">
        <v>1.43</v>
      </c>
      <c r="N10" s="1475">
        <f t="shared" si="48"/>
        <v>1.7100000000000001E-2</v>
      </c>
      <c r="O10" s="1476">
        <f t="shared" ref="O10" si="57">J10/100</f>
        <v>1.78E-2</v>
      </c>
      <c r="P10" s="1476">
        <f t="shared" ref="P10" si="58">K10/100</f>
        <v>1.7100000000000001E-2</v>
      </c>
      <c r="Q10" s="1476">
        <f t="shared" ref="Q10" si="59">L10/100</f>
        <v>1.43E-2</v>
      </c>
      <c r="R10" s="1477"/>
      <c r="S10" s="1478"/>
      <c r="T10" s="1479"/>
      <c r="U10" s="1479"/>
      <c r="V10" s="1479"/>
      <c r="X10" s="1462">
        <f>ROUND(SUMPRODUCT(PRODUCT(1+N10:N$24)),4)</f>
        <v>1.4274</v>
      </c>
      <c r="Y10" s="1462">
        <f>ROUND(SUMPRODUCT(PRODUCT(1+O10:O$24)),4)</f>
        <v>1.2685</v>
      </c>
      <c r="Z10" s="1462">
        <f t="shared" si="0"/>
        <v>1.2685</v>
      </c>
      <c r="AA10" s="1462">
        <f>ROUND(SUMPRODUCT(PRODUCT(1+P10:P$24)),4)</f>
        <v>1.4825999999999999</v>
      </c>
      <c r="AB10" s="1462">
        <f>ROUND(SUMPRODUCT(PRODUCT(1+Q10:Q$24)),4)</f>
        <v>1.2309000000000001</v>
      </c>
      <c r="AD10" s="1463">
        <f>ROUND(AVERAGE(I10:I$25)/100,4)</f>
        <v>2.4500000000000001E-2</v>
      </c>
      <c r="AE10" s="1463">
        <f>ROUND(AVERAGE(J10:J$25)/100,4)</f>
        <v>1.6500000000000001E-2</v>
      </c>
      <c r="AF10" s="1463">
        <f t="shared" si="1"/>
        <v>1.6500000000000001E-2</v>
      </c>
      <c r="AG10" s="1463">
        <f>ROUND(AVERAGE(K10:K$25)/100,4)</f>
        <v>2.7099999999999999E-2</v>
      </c>
      <c r="AH10" s="1463">
        <f>ROUND(AVERAGE(L10:L$25)/100,4)</f>
        <v>1.3899999999999999E-2</v>
      </c>
    </row>
    <row r="11" spans="1:34" s="1469" customFormat="1" ht="14.45" customHeight="1">
      <c r="A11" s="1464" t="s">
        <v>3026</v>
      </c>
      <c r="B11" s="1480">
        <f t="shared" ref="B11:B12" si="60">B12*(1+N11)</f>
        <v>431.80730811680002</v>
      </c>
      <c r="C11" s="1480">
        <f t="shared" ref="C11:C12" si="61">C12*(1+O11)</f>
        <v>320.57880516480003</v>
      </c>
      <c r="D11" s="1480">
        <f t="shared" ref="D11:D12" si="62">C11</f>
        <v>320.57880516480003</v>
      </c>
      <c r="E11" s="1480">
        <f t="shared" ref="E11:E12" si="63">E12*(1+P11)</f>
        <v>615.96110553196797</v>
      </c>
      <c r="F11" s="1480">
        <f t="shared" ref="F11:F12" si="64">F12*(1+Q11)</f>
        <v>279.46777300108801</v>
      </c>
      <c r="G11" s="3305"/>
      <c r="H11" s="1467">
        <v>3</v>
      </c>
      <c r="I11" s="1467">
        <v>2.98</v>
      </c>
      <c r="J11" s="1467">
        <v>2.11</v>
      </c>
      <c r="K11" s="1467">
        <v>3.24</v>
      </c>
      <c r="L11" s="1481">
        <v>1.72</v>
      </c>
      <c r="M11" s="1474"/>
      <c r="N11" s="1475">
        <f t="shared" si="48"/>
        <v>2.98E-2</v>
      </c>
      <c r="O11" s="1476">
        <f t="shared" ref="O11" si="65">J11/100</f>
        <v>2.1099999999999997E-2</v>
      </c>
      <c r="P11" s="1476">
        <f t="shared" ref="P11" si="66">K11/100</f>
        <v>3.2400000000000005E-2</v>
      </c>
      <c r="Q11" s="1476">
        <f t="shared" ref="Q11" si="67">L11/100</f>
        <v>1.72E-2</v>
      </c>
      <c r="R11" s="1477"/>
      <c r="S11" s="1475"/>
      <c r="T11" s="1476"/>
      <c r="U11" s="1476"/>
      <c r="V11" s="1476"/>
      <c r="W11" s="1793"/>
      <c r="X11" s="1791">
        <f>ROUND(SUMPRODUCT(PRODUCT(1+N11:N$24)),4)</f>
        <v>1.4034</v>
      </c>
      <c r="Y11" s="1791">
        <f>ROUND(SUMPRODUCT(PRODUCT(1+O11:O$24)),4)</f>
        <v>1.2463</v>
      </c>
      <c r="Z11" s="1791">
        <f t="shared" si="0"/>
        <v>1.2463</v>
      </c>
      <c r="AA11" s="1791">
        <f>ROUND(SUMPRODUCT(PRODUCT(1+P11:P$24)),4)</f>
        <v>1.4577</v>
      </c>
      <c r="AB11" s="1791">
        <f>ROUND(SUMPRODUCT(PRODUCT(1+Q11:Q$24)),4)</f>
        <v>1.2136</v>
      </c>
      <c r="AC11" s="1793"/>
      <c r="AD11" s="1792">
        <f>ROUND(AVERAGE(I11:I$25)/100,4)</f>
        <v>2.4899999999999999E-2</v>
      </c>
      <c r="AE11" s="1792">
        <f>ROUND(AVERAGE(J11:J$25)/100,4)</f>
        <v>1.6400000000000001E-2</v>
      </c>
      <c r="AF11" s="1792">
        <f t="shared" si="1"/>
        <v>1.6400000000000001E-2</v>
      </c>
      <c r="AG11" s="1792">
        <f>ROUND(AVERAGE(K11:K$25)/100,4)</f>
        <v>2.7799999999999998E-2</v>
      </c>
      <c r="AH11" s="1792">
        <f>ROUND(AVERAGE(L11:L$25)/100,4)</f>
        <v>1.3899999999999999E-2</v>
      </c>
    </row>
    <row r="12" spans="1:34" s="1734" customFormat="1" ht="14.45" customHeight="1">
      <c r="A12" s="1464" t="s">
        <v>1382</v>
      </c>
      <c r="B12" s="1480">
        <f t="shared" si="60"/>
        <v>419.31181600000002</v>
      </c>
      <c r="C12" s="1480">
        <f t="shared" si="61"/>
        <v>313.95436800000004</v>
      </c>
      <c r="D12" s="1480">
        <f t="shared" si="62"/>
        <v>313.95436800000004</v>
      </c>
      <c r="E12" s="1480">
        <f t="shared" si="63"/>
        <v>596.63028431999999</v>
      </c>
      <c r="F12" s="1480">
        <f t="shared" si="64"/>
        <v>274.74220703999998</v>
      </c>
      <c r="G12" s="3305"/>
      <c r="H12" s="1468">
        <v>2</v>
      </c>
      <c r="I12" s="1468">
        <v>3.4</v>
      </c>
      <c r="J12" s="1468">
        <v>2</v>
      </c>
      <c r="K12" s="1468">
        <v>3.82</v>
      </c>
      <c r="L12" s="1482">
        <v>1.68</v>
      </c>
      <c r="M12" s="1474"/>
      <c r="N12" s="1475">
        <f t="shared" si="48"/>
        <v>3.4000000000000002E-2</v>
      </c>
      <c r="O12" s="1476">
        <f t="shared" ref="O12" si="68">J12/100</f>
        <v>0.02</v>
      </c>
      <c r="P12" s="1476">
        <f t="shared" ref="P12" si="69">K12/100</f>
        <v>3.8199999999999998E-2</v>
      </c>
      <c r="Q12" s="1476">
        <f t="shared" ref="Q12" si="70">L12/100</f>
        <v>1.6799999999999999E-2</v>
      </c>
      <c r="R12" s="1477"/>
      <c r="S12" s="1478"/>
      <c r="T12" s="1479"/>
      <c r="U12" s="1479"/>
      <c r="V12" s="1479"/>
      <c r="W12" s="1456"/>
      <c r="X12" s="1791">
        <f>ROUND(SUMPRODUCT(PRODUCT(1+N12:N$24)),4)</f>
        <v>1.3628</v>
      </c>
      <c r="Y12" s="1791">
        <f>ROUND(SUMPRODUCT(PRODUCT(1+O12:O$24)),4)</f>
        <v>1.2205999999999999</v>
      </c>
      <c r="Z12" s="1791">
        <f t="shared" si="0"/>
        <v>1.2205999999999999</v>
      </c>
      <c r="AA12" s="1791">
        <f>ROUND(SUMPRODUCT(PRODUCT(1+P12:P$24)),4)</f>
        <v>1.4118999999999999</v>
      </c>
      <c r="AB12" s="1791">
        <f>ROUND(SUMPRODUCT(PRODUCT(1+Q12:Q$24)),4)</f>
        <v>1.1930000000000001</v>
      </c>
      <c r="AC12" s="1456"/>
      <c r="AD12" s="1792">
        <f>ROUND(AVERAGE(I12:I$25)/100,4)</f>
        <v>2.46E-2</v>
      </c>
      <c r="AE12" s="1792">
        <f>ROUND(AVERAGE(J12:J$25)/100,4)</f>
        <v>1.6E-2</v>
      </c>
      <c r="AF12" s="1792">
        <f t="shared" si="1"/>
        <v>1.6E-2</v>
      </c>
      <c r="AG12" s="1792">
        <f>ROUND(AVERAGE(K12:K$25)/100,4)</f>
        <v>2.75E-2</v>
      </c>
      <c r="AH12" s="1792">
        <f>ROUND(AVERAGE(L12:L$25)/100,4)</f>
        <v>1.37E-2</v>
      </c>
    </row>
    <row r="13" spans="1:34" s="1469" customFormat="1" ht="15" customHeight="1" thickBot="1">
      <c r="A13" s="1464" t="s">
        <v>1157</v>
      </c>
      <c r="B13" s="1480">
        <f>B14*(1+N13)</f>
        <v>405.524</v>
      </c>
      <c r="C13" s="1480">
        <f>C14*(1+O13)</f>
        <v>307.79840000000002</v>
      </c>
      <c r="D13" s="1480">
        <f>C13</f>
        <v>307.79840000000002</v>
      </c>
      <c r="E13" s="1480">
        <f>E14*(1+P13)</f>
        <v>574.67759999999998</v>
      </c>
      <c r="F13" s="1480">
        <f>F14*(1+Q13)</f>
        <v>270.20280000000002</v>
      </c>
      <c r="G13" s="3314"/>
      <c r="H13" s="1467">
        <v>1</v>
      </c>
      <c r="I13" s="1467">
        <v>3.45</v>
      </c>
      <c r="J13" s="1467">
        <v>1.92</v>
      </c>
      <c r="K13" s="1467">
        <v>3.92</v>
      </c>
      <c r="L13" s="1481">
        <v>1.58</v>
      </c>
      <c r="M13" s="1474"/>
      <c r="N13" s="1475">
        <f t="shared" si="48"/>
        <v>3.4500000000000003E-2</v>
      </c>
      <c r="O13" s="1476">
        <f t="shared" ref="O13:Q28" si="71">J13/100</f>
        <v>1.9199999999999998E-2</v>
      </c>
      <c r="P13" s="1476">
        <f t="shared" si="71"/>
        <v>3.9199999999999999E-2</v>
      </c>
      <c r="Q13" s="1476">
        <f t="shared" si="71"/>
        <v>1.5800000000000002E-2</v>
      </c>
      <c r="R13" s="1477"/>
      <c r="S13" s="1475">
        <f>B13/B14-1</f>
        <v>3.4499999999999975E-2</v>
      </c>
      <c r="T13" s="1476">
        <f t="shared" ref="T13:V13" si="72">C13/C14-1</f>
        <v>1.9200000000000106E-2</v>
      </c>
      <c r="U13" s="1476">
        <f t="shared" si="72"/>
        <v>1.9200000000000106E-2</v>
      </c>
      <c r="V13" s="1476">
        <f t="shared" si="72"/>
        <v>3.9199999999999902E-2</v>
      </c>
      <c r="W13" s="1793"/>
      <c r="X13" s="1791">
        <f>ROUND(SUMPRODUCT(PRODUCT(1+N13:N$24)),4)</f>
        <v>1.3180000000000001</v>
      </c>
      <c r="Y13" s="1791">
        <f>ROUND(SUMPRODUCT(PRODUCT(1+O13:O$24)),4)</f>
        <v>1.1966000000000001</v>
      </c>
      <c r="Z13" s="1791">
        <f t="shared" si="0"/>
        <v>1.1966000000000001</v>
      </c>
      <c r="AA13" s="1791">
        <f>ROUND(SUMPRODUCT(PRODUCT(1+P13:P$24)),4)</f>
        <v>1.36</v>
      </c>
      <c r="AB13" s="1791">
        <f>ROUND(SUMPRODUCT(PRODUCT(1+Q13:Q$24)),4)</f>
        <v>1.1733</v>
      </c>
      <c r="AC13" s="1793"/>
      <c r="AD13" s="1792">
        <f>ROUND(AVERAGE(I13:I$25)/100,4)</f>
        <v>2.3900000000000001E-2</v>
      </c>
      <c r="AE13" s="1792">
        <f>ROUND(AVERAGE(J13:J$25)/100,4)</f>
        <v>1.5699999999999999E-2</v>
      </c>
      <c r="AF13" s="1792">
        <f t="shared" si="1"/>
        <v>1.5699999999999999E-2</v>
      </c>
      <c r="AG13" s="1792">
        <f>ROUND(AVERAGE(K13:K$25)/100,4)</f>
        <v>2.6599999999999999E-2</v>
      </c>
      <c r="AH13" s="1792">
        <f>ROUND(AVERAGE(L13:L$25)/100,4)</f>
        <v>1.34E-2</v>
      </c>
    </row>
    <row r="14" spans="1:34">
      <c r="A14" s="1464" t="s">
        <v>154</v>
      </c>
      <c r="B14" s="1472">
        <v>392</v>
      </c>
      <c r="C14" s="1472">
        <v>302</v>
      </c>
      <c r="D14" s="1472">
        <f>C14</f>
        <v>302</v>
      </c>
      <c r="E14" s="1472">
        <v>553</v>
      </c>
      <c r="F14" s="1473">
        <v>266</v>
      </c>
      <c r="G14" s="3310">
        <v>2016</v>
      </c>
      <c r="H14" s="1465">
        <v>4</v>
      </c>
      <c r="I14" s="1465">
        <v>4.5599999999999996</v>
      </c>
      <c r="J14" s="1465">
        <v>2.15</v>
      </c>
      <c r="K14" s="1465">
        <v>5.32</v>
      </c>
      <c r="L14" s="1466">
        <v>1.57</v>
      </c>
      <c r="N14" s="1475">
        <f t="shared" si="48"/>
        <v>4.5599999999999995E-2</v>
      </c>
      <c r="O14" s="1476">
        <f t="shared" si="71"/>
        <v>2.1499999999999998E-2</v>
      </c>
      <c r="P14" s="1476">
        <f t="shared" si="71"/>
        <v>5.3200000000000004E-2</v>
      </c>
      <c r="Q14" s="1476">
        <f t="shared" si="71"/>
        <v>1.5700000000000002E-2</v>
      </c>
      <c r="R14" s="1477"/>
      <c r="S14" s="1478"/>
      <c r="T14" s="1479"/>
      <c r="U14" s="1479"/>
      <c r="V14" s="1479"/>
      <c r="X14" s="1462">
        <f>ROUND(SUMPRODUCT(PRODUCT(1+N14:N$24)),4)</f>
        <v>1.274</v>
      </c>
      <c r="Y14" s="1462">
        <f>ROUND(SUMPRODUCT(PRODUCT(1+O14:O$24)),4)</f>
        <v>1.1740999999999999</v>
      </c>
      <c r="Z14" s="1462">
        <f t="shared" si="0"/>
        <v>1.1740999999999999</v>
      </c>
      <c r="AA14" s="1462">
        <f>ROUND(SUMPRODUCT(PRODUCT(1+P14:P$24)),4)</f>
        <v>1.3087</v>
      </c>
      <c r="AB14" s="1462">
        <f>ROUND(SUMPRODUCT(PRODUCT(1+Q14:Q$24)),4)</f>
        <v>1.1551</v>
      </c>
      <c r="AD14" s="1463">
        <f>ROUND(AVERAGE(I14:I$25)/100,4)</f>
        <v>2.3E-2</v>
      </c>
      <c r="AE14" s="1463">
        <f>ROUND(AVERAGE(J14:J$25)/100,4)</f>
        <v>1.55E-2</v>
      </c>
      <c r="AF14" s="1463">
        <f t="shared" si="1"/>
        <v>1.55E-2</v>
      </c>
      <c r="AG14" s="1463">
        <f>ROUND(AVERAGE(K14:K$25)/100,4)</f>
        <v>2.5600000000000001E-2</v>
      </c>
      <c r="AH14" s="1463">
        <f>ROUND(AVERAGE(L14:L$25)/100,4)</f>
        <v>1.32E-2</v>
      </c>
    </row>
    <row r="15" spans="1:34">
      <c r="A15" s="1464" t="s">
        <v>153</v>
      </c>
      <c r="B15" s="1480">
        <f t="shared" ref="B15:C17" si="73">B14/(1+N14)</f>
        <v>374.90436113236416</v>
      </c>
      <c r="C15" s="1480">
        <f t="shared" si="73"/>
        <v>295.64366128242779</v>
      </c>
      <c r="D15" s="1480">
        <f t="shared" ref="D15:D74" si="74">C15</f>
        <v>295.64366128242779</v>
      </c>
      <c r="E15" s="1480">
        <f t="shared" ref="E15:F17" si="75">E14/(1+P14)</f>
        <v>525.06646410938095</v>
      </c>
      <c r="F15" s="1480">
        <f t="shared" si="75"/>
        <v>261.88835286009646</v>
      </c>
      <c r="G15" s="3305"/>
      <c r="H15" s="1467">
        <v>3</v>
      </c>
      <c r="I15" s="1467">
        <v>4.12</v>
      </c>
      <c r="J15" s="1467">
        <v>2</v>
      </c>
      <c r="K15" s="1467">
        <v>4.79</v>
      </c>
      <c r="L15" s="1481">
        <v>1.97</v>
      </c>
      <c r="N15" s="1475">
        <f t="shared" ref="N15:Q49" si="76">I15/100</f>
        <v>4.1200000000000001E-2</v>
      </c>
      <c r="O15" s="1476">
        <f t="shared" si="71"/>
        <v>0.02</v>
      </c>
      <c r="P15" s="1476">
        <f t="shared" si="71"/>
        <v>4.7899999999999998E-2</v>
      </c>
      <c r="Q15" s="1476">
        <f t="shared" si="71"/>
        <v>1.9699999999999999E-2</v>
      </c>
      <c r="R15" s="1477"/>
      <c r="S15" s="1475"/>
      <c r="T15" s="1476"/>
      <c r="U15" s="1476"/>
      <c r="V15" s="1476"/>
      <c r="X15" s="1462">
        <f>ROUND(SUMPRODUCT(PRODUCT(1+N15:N$24)),4)</f>
        <v>1.2184999999999999</v>
      </c>
      <c r="Y15" s="1462">
        <f>ROUND(SUMPRODUCT(PRODUCT(1+O15:O$24)),4)</f>
        <v>1.1494</v>
      </c>
      <c r="Z15" s="1462">
        <f t="shared" si="0"/>
        <v>1.1494</v>
      </c>
      <c r="AA15" s="1462">
        <f>ROUND(SUMPRODUCT(PRODUCT(1+P15:P$24)),4)</f>
        <v>1.2425999999999999</v>
      </c>
      <c r="AB15" s="1462">
        <f>ROUND(SUMPRODUCT(PRODUCT(1+Q15:Q$24)),4)</f>
        <v>1.1372</v>
      </c>
      <c r="AD15" s="1463">
        <f>ROUND(AVERAGE(I15:I$25)/100,4)</f>
        <v>2.0899999999999998E-2</v>
      </c>
      <c r="AE15" s="1463">
        <f>ROUND(AVERAGE(J15:J$25)/100,4)</f>
        <v>1.49E-2</v>
      </c>
      <c r="AF15" s="1463">
        <f t="shared" si="1"/>
        <v>1.49E-2</v>
      </c>
      <c r="AG15" s="1463">
        <f>ROUND(AVERAGE(K15:K$25)/100,4)</f>
        <v>2.3099999999999999E-2</v>
      </c>
      <c r="AH15" s="1463">
        <f>ROUND(AVERAGE(L15:L$25)/100,4)</f>
        <v>1.2999999999999999E-2</v>
      </c>
    </row>
    <row r="16" spans="1:34">
      <c r="A16" s="1464" t="s">
        <v>143</v>
      </c>
      <c r="B16" s="1480">
        <f t="shared" si="73"/>
        <v>360.06949782209392</v>
      </c>
      <c r="C16" s="1480">
        <f t="shared" si="73"/>
        <v>289.84672674747821</v>
      </c>
      <c r="D16" s="1480">
        <f t="shared" si="74"/>
        <v>289.84672674747821</v>
      </c>
      <c r="E16" s="1480">
        <f t="shared" si="75"/>
        <v>501.06543001181495</v>
      </c>
      <c r="F16" s="1480">
        <f t="shared" si="75"/>
        <v>256.82882500744967</v>
      </c>
      <c r="G16" s="3305"/>
      <c r="H16" s="1468">
        <v>2</v>
      </c>
      <c r="I16" s="1468">
        <v>3.85</v>
      </c>
      <c r="J16" s="1468">
        <v>1.95</v>
      </c>
      <c r="K16" s="1468">
        <v>4.4800000000000004</v>
      </c>
      <c r="L16" s="1482">
        <v>1.41</v>
      </c>
      <c r="N16" s="1475">
        <f t="shared" si="76"/>
        <v>3.85E-2</v>
      </c>
      <c r="O16" s="1476">
        <f t="shared" si="71"/>
        <v>1.95E-2</v>
      </c>
      <c r="P16" s="1476">
        <f t="shared" si="71"/>
        <v>4.4800000000000006E-2</v>
      </c>
      <c r="Q16" s="1476">
        <f t="shared" si="71"/>
        <v>1.41E-2</v>
      </c>
      <c r="R16" s="1477"/>
      <c r="S16" s="1475"/>
      <c r="T16" s="1476"/>
      <c r="U16" s="1476"/>
      <c r="V16" s="1476"/>
      <c r="X16" s="1462">
        <f>ROUND(SUMPRODUCT(PRODUCT(1+N16:N$24)),4)</f>
        <v>1.1702999999999999</v>
      </c>
      <c r="Y16" s="1462">
        <f>ROUND(SUMPRODUCT(PRODUCT(1+O16:O$24)),4)</f>
        <v>1.1269</v>
      </c>
      <c r="Z16" s="1462">
        <f t="shared" si="0"/>
        <v>1.1269</v>
      </c>
      <c r="AA16" s="1462">
        <f>ROUND(SUMPRODUCT(PRODUCT(1+P16:P$24)),4)</f>
        <v>1.1858</v>
      </c>
      <c r="AB16" s="1462">
        <f>ROUND(SUMPRODUCT(PRODUCT(1+Q16:Q$24)),4)</f>
        <v>1.1152</v>
      </c>
      <c r="AD16" s="1463">
        <f>ROUND(AVERAGE(I16:I$25)/100,4)</f>
        <v>1.89E-2</v>
      </c>
      <c r="AE16" s="1463">
        <f>ROUND(AVERAGE(J16:J$25)/100,4)</f>
        <v>1.44E-2</v>
      </c>
      <c r="AF16" s="1463">
        <f t="shared" si="1"/>
        <v>1.44E-2</v>
      </c>
      <c r="AG16" s="1463">
        <f>ROUND(AVERAGE(K16:K$25)/100,4)</f>
        <v>2.06E-2</v>
      </c>
      <c r="AH16" s="1463">
        <f>ROUND(AVERAGE(L16:L$25)/100,4)</f>
        <v>1.23E-2</v>
      </c>
    </row>
    <row r="17" spans="1:34" ht="13.5" thickBot="1">
      <c r="A17" s="1464" t="s">
        <v>152</v>
      </c>
      <c r="B17" s="1480">
        <f t="shared" si="73"/>
        <v>346.720748986128</v>
      </c>
      <c r="C17" s="1480">
        <f t="shared" si="73"/>
        <v>284.30282172386285</v>
      </c>
      <c r="D17" s="1480">
        <f t="shared" si="74"/>
        <v>284.30282172386285</v>
      </c>
      <c r="E17" s="1480">
        <f t="shared" si="75"/>
        <v>479.58023546306947</v>
      </c>
      <c r="F17" s="1480">
        <f t="shared" si="75"/>
        <v>253.25788877571213</v>
      </c>
      <c r="G17" s="3306"/>
      <c r="H17" s="1467">
        <v>1</v>
      </c>
      <c r="I17" s="1467">
        <v>4.09</v>
      </c>
      <c r="J17" s="1467">
        <v>2.93</v>
      </c>
      <c r="K17" s="1467">
        <v>4.54</v>
      </c>
      <c r="L17" s="1481">
        <v>1.48</v>
      </c>
      <c r="N17" s="1475">
        <f t="shared" si="76"/>
        <v>4.0899999999999999E-2</v>
      </c>
      <c r="O17" s="1476">
        <f t="shared" si="71"/>
        <v>2.9300000000000003E-2</v>
      </c>
      <c r="P17" s="1476">
        <f t="shared" si="71"/>
        <v>4.5400000000000003E-2</v>
      </c>
      <c r="Q17" s="1476">
        <f t="shared" si="71"/>
        <v>1.4800000000000001E-2</v>
      </c>
      <c r="R17" s="1477"/>
      <c r="S17" s="1483">
        <f>B17/B18-1</f>
        <v>4.1203450408792808E-2</v>
      </c>
      <c r="T17" s="1484">
        <f>C17/C18-1</f>
        <v>2.6363977342465095E-2</v>
      </c>
      <c r="U17" s="1484">
        <f>E17/E18-1</f>
        <v>4.4837114298626357E-2</v>
      </c>
      <c r="V17" s="1484">
        <f>F17/F18-1</f>
        <v>1.7099954922538574E-2</v>
      </c>
      <c r="X17" s="1462">
        <f>ROUND(SUMPRODUCT(PRODUCT(1+N17:N$24)),4)</f>
        <v>1.1269</v>
      </c>
      <c r="Y17" s="1462">
        <f>ROUND(SUMPRODUCT(PRODUCT(1+O17:O$24)),4)</f>
        <v>1.1052999999999999</v>
      </c>
      <c r="Z17" s="1462">
        <f t="shared" si="0"/>
        <v>1.1052999999999999</v>
      </c>
      <c r="AA17" s="1462">
        <f>ROUND(SUMPRODUCT(PRODUCT(1+P17:P$24)),4)</f>
        <v>1.1349</v>
      </c>
      <c r="AB17" s="1462">
        <f>ROUND(SUMPRODUCT(PRODUCT(1+Q17:Q$24)),4)</f>
        <v>1.0996999999999999</v>
      </c>
      <c r="AD17" s="1463">
        <f>ROUND(AVERAGE(I17:I$25)/100,4)</f>
        <v>1.67E-2</v>
      </c>
      <c r="AE17" s="1463">
        <f>ROUND(AVERAGE(J17:J$25)/100,4)</f>
        <v>1.38E-2</v>
      </c>
      <c r="AF17" s="1463">
        <f t="shared" si="1"/>
        <v>1.38E-2</v>
      </c>
      <c r="AG17" s="1463">
        <f>ROUND(AVERAGE(K17:K$25)/100,4)</f>
        <v>1.7899999999999999E-2</v>
      </c>
      <c r="AH17" s="1463">
        <f>ROUND(AVERAGE(L17:L$25)/100,4)</f>
        <v>1.21E-2</v>
      </c>
    </row>
    <row r="18" spans="1:34" ht="13.5" thickBot="1">
      <c r="A18" s="1464" t="s">
        <v>151</v>
      </c>
      <c r="B18" s="1472">
        <v>333</v>
      </c>
      <c r="C18" s="1472">
        <v>277</v>
      </c>
      <c r="D18" s="1472">
        <f t="shared" si="74"/>
        <v>277</v>
      </c>
      <c r="E18" s="1472">
        <v>459</v>
      </c>
      <c r="F18" s="1473">
        <v>249</v>
      </c>
      <c r="G18" s="3304">
        <v>2015</v>
      </c>
      <c r="H18" s="1485">
        <v>4</v>
      </c>
      <c r="I18" s="1485">
        <v>1.63</v>
      </c>
      <c r="J18" s="1485">
        <v>1.1100000000000001</v>
      </c>
      <c r="K18" s="1485">
        <v>1.77</v>
      </c>
      <c r="L18" s="1486">
        <v>1.89</v>
      </c>
      <c r="N18" s="1487">
        <f t="shared" si="76"/>
        <v>1.6299999999999999E-2</v>
      </c>
      <c r="O18" s="1488">
        <f t="shared" si="71"/>
        <v>1.11E-2</v>
      </c>
      <c r="P18" s="1488">
        <f t="shared" si="71"/>
        <v>1.77E-2</v>
      </c>
      <c r="Q18" s="1488">
        <f t="shared" si="71"/>
        <v>1.89E-2</v>
      </c>
      <c r="R18" s="1477"/>
      <c r="X18" s="1462">
        <f>ROUND(SUMPRODUCT(PRODUCT(1+N18:N$24)),4)</f>
        <v>1.0826</v>
      </c>
      <c r="Y18" s="1462">
        <f>ROUND(SUMPRODUCT(PRODUCT(1+O18:O$24)),4)</f>
        <v>1.0738000000000001</v>
      </c>
      <c r="Z18" s="1462">
        <f t="shared" si="0"/>
        <v>1.0738000000000001</v>
      </c>
      <c r="AA18" s="1462">
        <f>ROUND(SUMPRODUCT(PRODUCT(1+P18:P$24)),4)</f>
        <v>1.0855999999999999</v>
      </c>
      <c r="AB18" s="1462">
        <f>ROUND(SUMPRODUCT(PRODUCT(1+Q18:Q$24)),4)</f>
        <v>1.0837000000000001</v>
      </c>
      <c r="AD18" s="1463">
        <f>ROUND(AVERAGE(I18:I$25)/100,4)</f>
        <v>1.37E-2</v>
      </c>
      <c r="AE18" s="1463">
        <f>ROUND(AVERAGE(J18:J$25)/100,4)</f>
        <v>1.1900000000000001E-2</v>
      </c>
      <c r="AF18" s="1463">
        <f t="shared" si="1"/>
        <v>1.1900000000000001E-2</v>
      </c>
      <c r="AG18" s="1463">
        <f>ROUND(AVERAGE(K18:K$25)/100,4)</f>
        <v>1.4500000000000001E-2</v>
      </c>
      <c r="AH18" s="1463">
        <f>ROUND(AVERAGE(L18:L$25)/100,4)</f>
        <v>1.18E-2</v>
      </c>
    </row>
    <row r="19" spans="1:34">
      <c r="A19" s="1464" t="s">
        <v>150</v>
      </c>
      <c r="B19" s="1480">
        <f t="shared" ref="B19:C21" si="77">B18/(1+N18)</f>
        <v>327.65915576109415</v>
      </c>
      <c r="C19" s="1480">
        <f t="shared" si="77"/>
        <v>273.95905449510434</v>
      </c>
      <c r="D19" s="1480">
        <f t="shared" si="74"/>
        <v>273.95905449510434</v>
      </c>
      <c r="E19" s="1480">
        <f t="shared" ref="E19:F21" si="78">E18/(1+P18)</f>
        <v>451.01699911565294</v>
      </c>
      <c r="F19" s="1480">
        <f t="shared" si="78"/>
        <v>244.38119540681129</v>
      </c>
      <c r="G19" s="3305"/>
      <c r="H19" s="1490">
        <v>3</v>
      </c>
      <c r="I19" s="1490">
        <v>1.65</v>
      </c>
      <c r="J19" s="1490">
        <v>0.92</v>
      </c>
      <c r="K19" s="1490">
        <v>1.88</v>
      </c>
      <c r="L19" s="1491">
        <v>1.26</v>
      </c>
      <c r="N19" s="1475">
        <f t="shared" si="76"/>
        <v>1.6500000000000001E-2</v>
      </c>
      <c r="O19" s="1492">
        <f t="shared" si="71"/>
        <v>9.1999999999999998E-3</v>
      </c>
      <c r="P19" s="1492">
        <f t="shared" si="71"/>
        <v>1.8799999999999997E-2</v>
      </c>
      <c r="Q19" s="1492">
        <f t="shared" si="71"/>
        <v>1.26E-2</v>
      </c>
      <c r="R19" s="1477"/>
      <c r="S19" s="1475"/>
      <c r="T19" s="1476"/>
      <c r="U19" s="1476"/>
      <c r="V19" s="1476"/>
      <c r="X19" s="1462">
        <f>ROUND(SUMPRODUCT(PRODUCT(1+N19:N$24)),4)</f>
        <v>1.0651999999999999</v>
      </c>
      <c r="Y19" s="1462">
        <f>ROUND(SUMPRODUCT(PRODUCT(1+O19:O$24)),4)</f>
        <v>1.0621</v>
      </c>
      <c r="Z19" s="1462">
        <f t="shared" si="0"/>
        <v>1.0621</v>
      </c>
      <c r="AA19" s="1462">
        <f>ROUND(SUMPRODUCT(PRODUCT(1+P19:P$24)),4)</f>
        <v>1.0668</v>
      </c>
      <c r="AB19" s="1462">
        <f>ROUND(SUMPRODUCT(PRODUCT(1+Q19:Q$24)),4)</f>
        <v>1.0636000000000001</v>
      </c>
      <c r="AD19" s="1463">
        <f>ROUND(AVERAGE(I19:I$25)/100,4)</f>
        <v>1.3299999999999999E-2</v>
      </c>
      <c r="AE19" s="1463">
        <f>ROUND(AVERAGE(J19:J$25)/100,4)</f>
        <v>1.2E-2</v>
      </c>
      <c r="AF19" s="1463">
        <f t="shared" si="1"/>
        <v>1.2E-2</v>
      </c>
      <c r="AG19" s="1463">
        <f>ROUND(AVERAGE(K19:K$25)/100,4)</f>
        <v>1.4E-2</v>
      </c>
      <c r="AH19" s="1463">
        <f>ROUND(AVERAGE(L19:L$25)/100,4)</f>
        <v>1.0800000000000001E-2</v>
      </c>
    </row>
    <row r="20" spans="1:34">
      <c r="A20" s="1464" t="s">
        <v>149</v>
      </c>
      <c r="B20" s="1480">
        <f t="shared" si="77"/>
        <v>322.34053690220776</v>
      </c>
      <c r="C20" s="1480">
        <f t="shared" si="77"/>
        <v>271.46160770422546</v>
      </c>
      <c r="D20" s="1480">
        <f t="shared" si="74"/>
        <v>271.46160770422546</v>
      </c>
      <c r="E20" s="1480">
        <f t="shared" si="78"/>
        <v>442.69434542172456</v>
      </c>
      <c r="F20" s="1480">
        <f t="shared" si="78"/>
        <v>241.34030753190925</v>
      </c>
      <c r="G20" s="3305"/>
      <c r="H20" s="1468">
        <v>2</v>
      </c>
      <c r="I20" s="1468">
        <v>0.77</v>
      </c>
      <c r="J20" s="1468">
        <v>0.69</v>
      </c>
      <c r="K20" s="1468">
        <v>0.8</v>
      </c>
      <c r="L20" s="1482">
        <v>0.88</v>
      </c>
      <c r="N20" s="1475">
        <f t="shared" si="76"/>
        <v>7.7000000000000002E-3</v>
      </c>
      <c r="O20" s="1492">
        <f t="shared" si="71"/>
        <v>6.8999999999999999E-3</v>
      </c>
      <c r="P20" s="1492">
        <f t="shared" si="71"/>
        <v>8.0000000000000002E-3</v>
      </c>
      <c r="Q20" s="1492">
        <f t="shared" si="71"/>
        <v>8.8000000000000005E-3</v>
      </c>
      <c r="R20" s="1477"/>
      <c r="S20" s="1475"/>
      <c r="T20" s="1476"/>
      <c r="U20" s="1476"/>
      <c r="V20" s="1476"/>
      <c r="X20" s="1462">
        <f>ROUND(SUMPRODUCT(PRODUCT(1+N20:N$24)),4)</f>
        <v>1.048</v>
      </c>
      <c r="Y20" s="1462">
        <f>ROUND(SUMPRODUCT(PRODUCT(1+O20:O$24)),4)</f>
        <v>1.0524</v>
      </c>
      <c r="Z20" s="1462">
        <f t="shared" si="0"/>
        <v>1.0524</v>
      </c>
      <c r="AA20" s="1462">
        <f>ROUND(SUMPRODUCT(PRODUCT(1+P20:P$24)),4)</f>
        <v>1.0470999999999999</v>
      </c>
      <c r="AB20" s="1462">
        <f>ROUND(SUMPRODUCT(PRODUCT(1+Q20:Q$24)),4)</f>
        <v>1.0504</v>
      </c>
      <c r="AD20" s="1463">
        <f>ROUND(AVERAGE(I20:I$25)/100,4)</f>
        <v>1.2800000000000001E-2</v>
      </c>
      <c r="AE20" s="1463">
        <f>ROUND(AVERAGE(J20:J$25)/100,4)</f>
        <v>1.2500000000000001E-2</v>
      </c>
      <c r="AF20" s="1463">
        <f t="shared" si="1"/>
        <v>1.2500000000000001E-2</v>
      </c>
      <c r="AG20" s="1463">
        <f>ROUND(AVERAGE(K20:K$25)/100,4)</f>
        <v>1.32E-2</v>
      </c>
      <c r="AH20" s="1463">
        <f>ROUND(AVERAGE(L20:L$25)/100,4)</f>
        <v>1.0500000000000001E-2</v>
      </c>
    </row>
    <row r="21" spans="1:34">
      <c r="A21" s="1464" t="s">
        <v>148</v>
      </c>
      <c r="B21" s="1480">
        <f t="shared" si="77"/>
        <v>319.87748030386797</v>
      </c>
      <c r="C21" s="1480">
        <f t="shared" si="77"/>
        <v>269.60135833173649</v>
      </c>
      <c r="D21" s="1480">
        <f t="shared" si="74"/>
        <v>269.60135833173649</v>
      </c>
      <c r="E21" s="1480">
        <f t="shared" si="78"/>
        <v>439.18089823583784</v>
      </c>
      <c r="F21" s="1480">
        <f t="shared" si="78"/>
        <v>239.23503918706311</v>
      </c>
      <c r="G21" s="3306"/>
      <c r="H21" s="1467">
        <v>1</v>
      </c>
      <c r="I21" s="1467">
        <v>0.51</v>
      </c>
      <c r="J21" s="1467">
        <v>0.54</v>
      </c>
      <c r="K21" s="1467">
        <v>0.48</v>
      </c>
      <c r="L21" s="1481">
        <v>0.93</v>
      </c>
      <c r="N21" s="1483">
        <f t="shared" si="76"/>
        <v>5.1000000000000004E-3</v>
      </c>
      <c r="O21" s="1484">
        <f t="shared" si="71"/>
        <v>5.4000000000000003E-3</v>
      </c>
      <c r="P21" s="1484">
        <f t="shared" si="71"/>
        <v>4.7999999999999996E-3</v>
      </c>
      <c r="Q21" s="1484">
        <f t="shared" si="71"/>
        <v>9.300000000000001E-3</v>
      </c>
      <c r="R21" s="1477"/>
      <c r="S21" s="1483">
        <f>B21/B22-1</f>
        <v>5.9040261127922822E-3</v>
      </c>
      <c r="T21" s="1484">
        <f>C21/C22-1</f>
        <v>5.9752176557332781E-3</v>
      </c>
      <c r="U21" s="1484">
        <f>E21/E22-1</f>
        <v>4.9906138119859556E-3</v>
      </c>
      <c r="V21" s="1484">
        <f>F21/F22-1</f>
        <v>9.4305450930933787E-3</v>
      </c>
      <c r="X21" s="1462">
        <f>ROUND(SUMPRODUCT(PRODUCT(1+N21:N$24)),4)</f>
        <v>1.0399</v>
      </c>
      <c r="Y21" s="1462">
        <f>ROUND(SUMPRODUCT(PRODUCT(1+O21:O$24)),4)</f>
        <v>1.0451999999999999</v>
      </c>
      <c r="Z21" s="1462">
        <f t="shared" si="0"/>
        <v>1.0451999999999999</v>
      </c>
      <c r="AA21" s="1462">
        <f>ROUND(SUMPRODUCT(PRODUCT(1+P21:P$24)),4)</f>
        <v>1.0387999999999999</v>
      </c>
      <c r="AB21" s="1462">
        <f>ROUND(SUMPRODUCT(PRODUCT(1+Q21:Q$24)),4)</f>
        <v>1.0411999999999999</v>
      </c>
      <c r="AD21" s="1463">
        <f>ROUND(AVERAGE(I21:I$25)/100,4)</f>
        <v>1.38E-2</v>
      </c>
      <c r="AE21" s="1463">
        <f>ROUND(AVERAGE(J21:J$25)/100,4)</f>
        <v>1.3599999999999999E-2</v>
      </c>
      <c r="AF21" s="1463">
        <f t="shared" si="1"/>
        <v>1.3599999999999999E-2</v>
      </c>
      <c r="AG21" s="1463">
        <f>ROUND(AVERAGE(K21:K$25)/100,4)</f>
        <v>1.4200000000000001E-2</v>
      </c>
      <c r="AH21" s="1463">
        <f>ROUND(AVERAGE(L21:L$25)/100,4)</f>
        <v>1.0800000000000001E-2</v>
      </c>
    </row>
    <row r="22" spans="1:34" ht="13.5" thickBot="1">
      <c r="A22" s="1464" t="s">
        <v>147</v>
      </c>
      <c r="B22" s="1493">
        <v>318</v>
      </c>
      <c r="C22" s="1493">
        <v>268</v>
      </c>
      <c r="D22" s="1493">
        <f t="shared" si="74"/>
        <v>268</v>
      </c>
      <c r="E22" s="1493">
        <v>437</v>
      </c>
      <c r="F22" s="1494">
        <v>237</v>
      </c>
      <c r="G22" s="3304">
        <v>2014</v>
      </c>
      <c r="H22" s="1485">
        <v>4</v>
      </c>
      <c r="I22" s="1485">
        <v>0.21</v>
      </c>
      <c r="J22" s="1485">
        <v>0.41</v>
      </c>
      <c r="K22" s="1485">
        <v>0.12</v>
      </c>
      <c r="L22" s="1486">
        <v>0.89</v>
      </c>
      <c r="N22" s="1475">
        <f t="shared" si="76"/>
        <v>2.0999999999999999E-3</v>
      </c>
      <c r="O22" s="1476">
        <f t="shared" si="71"/>
        <v>4.0999999999999995E-3</v>
      </c>
      <c r="P22" s="1476">
        <f t="shared" si="71"/>
        <v>1.1999999999999999E-3</v>
      </c>
      <c r="Q22" s="1476">
        <f t="shared" si="71"/>
        <v>8.8999999999999999E-3</v>
      </c>
      <c r="R22" s="1477"/>
      <c r="S22" s="1478"/>
      <c r="T22" s="1479"/>
      <c r="U22" s="1479"/>
      <c r="V22" s="1479"/>
      <c r="X22" s="1462">
        <f>ROUND(SUMPRODUCT(PRODUCT(1+N22:N$24)),4)</f>
        <v>1.0347</v>
      </c>
      <c r="Y22" s="1462">
        <f>ROUND(SUMPRODUCT(PRODUCT(1+O22:O$24)),4)</f>
        <v>1.0395000000000001</v>
      </c>
      <c r="Z22" s="1462">
        <f t="shared" si="0"/>
        <v>1.0395000000000001</v>
      </c>
      <c r="AA22" s="1462">
        <f>ROUND(SUMPRODUCT(PRODUCT(1+P22:P$24)),4)</f>
        <v>1.0338000000000001</v>
      </c>
      <c r="AB22" s="1462">
        <f>ROUND(SUMPRODUCT(PRODUCT(1+Q22:Q$24)),4)</f>
        <v>1.0316000000000001</v>
      </c>
      <c r="AD22" s="1463">
        <f>ROUND(AVERAGE(I22:I$25)/100,4)</f>
        <v>1.6E-2</v>
      </c>
      <c r="AE22" s="1463">
        <f>ROUND(AVERAGE(J22:J$25)/100,4)</f>
        <v>1.5599999999999999E-2</v>
      </c>
      <c r="AF22" s="1463">
        <f t="shared" si="1"/>
        <v>1.5599999999999999E-2</v>
      </c>
      <c r="AG22" s="1463">
        <f>ROUND(AVERAGE(K22:K$25)/100,4)</f>
        <v>1.66E-2</v>
      </c>
      <c r="AH22" s="1463">
        <f>ROUND(AVERAGE(L22:L$25)/100,4)</f>
        <v>1.12E-2</v>
      </c>
    </row>
    <row r="23" spans="1:34">
      <c r="A23" s="1464" t="s">
        <v>146</v>
      </c>
      <c r="B23" s="1480">
        <f t="shared" ref="B23:C25" si="79">B22/(1+N22)</f>
        <v>317.33359944117353</v>
      </c>
      <c r="C23" s="1480">
        <f t="shared" si="79"/>
        <v>266.90568668459315</v>
      </c>
      <c r="D23" s="1480">
        <f t="shared" si="74"/>
        <v>266.90568668459315</v>
      </c>
      <c r="E23" s="1480">
        <f t="shared" ref="E23:F25" si="80">E22/(1+P22)</f>
        <v>436.47622852576905</v>
      </c>
      <c r="F23" s="1480">
        <f t="shared" si="80"/>
        <v>234.90930716622066</v>
      </c>
      <c r="G23" s="3305"/>
      <c r="H23" s="1495">
        <v>3</v>
      </c>
      <c r="I23" s="1495">
        <v>0.83</v>
      </c>
      <c r="J23" s="1495">
        <v>1.47</v>
      </c>
      <c r="K23" s="1495">
        <v>0.65</v>
      </c>
      <c r="L23" s="1496">
        <v>0.72</v>
      </c>
      <c r="N23" s="1475">
        <f t="shared" si="76"/>
        <v>8.3000000000000001E-3</v>
      </c>
      <c r="O23" s="1476">
        <f t="shared" si="71"/>
        <v>1.47E-2</v>
      </c>
      <c r="P23" s="1476">
        <f t="shared" si="71"/>
        <v>6.5000000000000006E-3</v>
      </c>
      <c r="Q23" s="1476">
        <f t="shared" si="71"/>
        <v>7.1999999999999998E-3</v>
      </c>
      <c r="R23" s="1477"/>
      <c r="S23" s="1475"/>
      <c r="T23" s="1476"/>
      <c r="U23" s="1476"/>
      <c r="V23" s="1476"/>
      <c r="X23" s="1462">
        <f>ROUND(SUMPRODUCT(PRODUCT(1+N23:N$24)),4)</f>
        <v>1.0325</v>
      </c>
      <c r="Y23" s="1462">
        <f>ROUND(SUMPRODUCT(PRODUCT(1+O23:O$24)),4)</f>
        <v>1.0353000000000001</v>
      </c>
      <c r="Z23" s="1462">
        <f t="shared" ref="Z23:Z24" si="81">Y23</f>
        <v>1.0353000000000001</v>
      </c>
      <c r="AA23" s="1462">
        <f>ROUND(SUMPRODUCT(PRODUCT(1+P23:P$24)),4)</f>
        <v>1.0326</v>
      </c>
      <c r="AB23" s="1462">
        <f>ROUND(SUMPRODUCT(PRODUCT(1+Q23:Q$24)),4)</f>
        <v>1.0225</v>
      </c>
      <c r="AD23" s="1463">
        <f>ROUND(AVERAGE(I23:I$25)/100,4)</f>
        <v>2.07E-2</v>
      </c>
      <c r="AE23" s="1463">
        <f>ROUND(AVERAGE(J23:J$25)/100,4)</f>
        <v>1.95E-2</v>
      </c>
      <c r="AF23" s="1463">
        <f t="shared" si="1"/>
        <v>1.95E-2</v>
      </c>
      <c r="AG23" s="1463">
        <f>ROUND(AVERAGE(K23:K$25)/100,4)</f>
        <v>2.1700000000000001E-2</v>
      </c>
      <c r="AH23" s="1463">
        <f>ROUND(AVERAGE(L23:L$25)/100,4)</f>
        <v>1.2E-2</v>
      </c>
    </row>
    <row r="24" spans="1:34" ht="13.5" thickBot="1">
      <c r="A24" s="1464" t="s">
        <v>145</v>
      </c>
      <c r="B24" s="1480">
        <f t="shared" si="79"/>
        <v>314.72141172386546</v>
      </c>
      <c r="C24" s="1480">
        <f t="shared" si="79"/>
        <v>263.03901319069001</v>
      </c>
      <c r="D24" s="1480">
        <f t="shared" si="74"/>
        <v>263.03901319069001</v>
      </c>
      <c r="E24" s="1480">
        <f t="shared" si="80"/>
        <v>433.65745506782821</v>
      </c>
      <c r="F24" s="1480">
        <f t="shared" si="80"/>
        <v>233.23005080045735</v>
      </c>
      <c r="G24" s="3305"/>
      <c r="H24" s="1485">
        <v>2</v>
      </c>
      <c r="I24" s="1485">
        <v>2.4</v>
      </c>
      <c r="J24" s="1485">
        <v>2.0299999999999998</v>
      </c>
      <c r="K24" s="1485">
        <v>2.59</v>
      </c>
      <c r="L24" s="1486">
        <v>1.52</v>
      </c>
      <c r="N24" s="1475">
        <f t="shared" si="76"/>
        <v>2.4E-2</v>
      </c>
      <c r="O24" s="1476">
        <f t="shared" si="71"/>
        <v>2.0299999999999999E-2</v>
      </c>
      <c r="P24" s="1476">
        <f t="shared" si="71"/>
        <v>2.5899999999999999E-2</v>
      </c>
      <c r="Q24" s="1476">
        <f t="shared" si="71"/>
        <v>1.52E-2</v>
      </c>
      <c r="R24" s="1477"/>
      <c r="S24" s="1475"/>
      <c r="T24" s="1476"/>
      <c r="U24" s="1476"/>
      <c r="V24" s="1476"/>
      <c r="X24" s="1462">
        <f>1+N24</f>
        <v>1.024</v>
      </c>
      <c r="Y24" s="1462">
        <f>1+O24</f>
        <v>1.0203</v>
      </c>
      <c r="Z24" s="1462">
        <f t="shared" si="81"/>
        <v>1.0203</v>
      </c>
      <c r="AA24" s="1462">
        <f>1+P24</f>
        <v>1.0259</v>
      </c>
      <c r="AB24" s="1462">
        <f>1+Q24</f>
        <v>1.0152000000000001</v>
      </c>
      <c r="AD24" s="1463">
        <f>ROUND(AVERAGE(I24:I$25)/100,4)</f>
        <v>2.69E-2</v>
      </c>
      <c r="AE24" s="1463">
        <f>ROUND(AVERAGE(J24:J$25)/100,4)</f>
        <v>2.1899999999999999E-2</v>
      </c>
      <c r="AF24" s="1463">
        <f t="shared" ref="AF24" si="82">AE24</f>
        <v>2.1899999999999999E-2</v>
      </c>
      <c r="AG24" s="1463">
        <f>ROUND(AVERAGE(K24:K$25)/100,4)</f>
        <v>2.9399999999999999E-2</v>
      </c>
      <c r="AH24" s="1463">
        <f>ROUND(AVERAGE(L24:L$25)/100,4)</f>
        <v>1.44E-2</v>
      </c>
    </row>
    <row r="25" spans="1:34" s="1501" customFormat="1" ht="13.5" thickBot="1">
      <c r="A25" s="1497" t="s">
        <v>144</v>
      </c>
      <c r="B25" s="1498">
        <f t="shared" si="79"/>
        <v>307.34512863658733</v>
      </c>
      <c r="C25" s="1498">
        <f t="shared" si="79"/>
        <v>257.80556031626975</v>
      </c>
      <c r="D25" s="1498">
        <f t="shared" si="74"/>
        <v>257.80556031626975</v>
      </c>
      <c r="E25" s="1498">
        <f t="shared" si="80"/>
        <v>422.70928459677179</v>
      </c>
      <c r="F25" s="1498">
        <f t="shared" si="80"/>
        <v>229.73803270336617</v>
      </c>
      <c r="G25" s="3306"/>
      <c r="H25" s="1499">
        <v>1</v>
      </c>
      <c r="I25" s="1499">
        <v>2.97</v>
      </c>
      <c r="J25" s="1499">
        <v>2.34</v>
      </c>
      <c r="K25" s="1499">
        <v>3.28</v>
      </c>
      <c r="L25" s="1500">
        <v>1.36</v>
      </c>
      <c r="N25" s="1502">
        <f t="shared" si="76"/>
        <v>2.9700000000000001E-2</v>
      </c>
      <c r="O25" s="1503">
        <f t="shared" si="71"/>
        <v>2.3399999999999997E-2</v>
      </c>
      <c r="P25" s="1503">
        <f t="shared" si="71"/>
        <v>3.2799999999999996E-2</v>
      </c>
      <c r="Q25" s="1503">
        <f t="shared" si="71"/>
        <v>1.3600000000000001E-2</v>
      </c>
      <c r="R25" s="1504"/>
      <c r="S25" s="1505">
        <f>B25/B26-1</f>
        <v>2.7910129219355539E-2</v>
      </c>
      <c r="T25" s="1506">
        <f>C25/C26-1</f>
        <v>2.3037937762975247E-2</v>
      </c>
      <c r="U25" s="1506">
        <f>E25/E26-1</f>
        <v>3.3519033243940788E-2</v>
      </c>
      <c r="V25" s="1506">
        <f>F25/F26-1</f>
        <v>1.2061818076502862E-2</v>
      </c>
      <c r="W25" s="1507" t="s">
        <v>1158</v>
      </c>
      <c r="X25" s="1508">
        <v>1</v>
      </c>
      <c r="Y25" s="1508">
        <v>1</v>
      </c>
      <c r="Z25" s="1508">
        <v>1</v>
      </c>
      <c r="AA25" s="1508">
        <v>1</v>
      </c>
      <c r="AB25" s="1508">
        <v>1</v>
      </c>
      <c r="AD25" s="1730">
        <f>I25/100</f>
        <v>2.9700000000000001E-2</v>
      </c>
      <c r="AE25" s="1730">
        <f>J25/100</f>
        <v>2.3399999999999997E-2</v>
      </c>
      <c r="AF25" s="1730">
        <f>AE25</f>
        <v>2.3399999999999997E-2</v>
      </c>
      <c r="AG25" s="1730">
        <f>K25/100</f>
        <v>3.2799999999999996E-2</v>
      </c>
      <c r="AH25" s="1730">
        <f>L25/100</f>
        <v>1.3600000000000001E-2</v>
      </c>
    </row>
    <row r="26" spans="1:34" ht="13.5" thickBot="1">
      <c r="A26" s="1464" t="s">
        <v>1159</v>
      </c>
      <c r="B26" s="1472">
        <v>299</v>
      </c>
      <c r="C26" s="1472">
        <v>252</v>
      </c>
      <c r="D26" s="1472">
        <f t="shared" si="74"/>
        <v>252</v>
      </c>
      <c r="E26" s="1472">
        <v>409</v>
      </c>
      <c r="F26" s="1473">
        <v>227</v>
      </c>
      <c r="G26" s="3311">
        <v>2013</v>
      </c>
      <c r="H26" s="1509">
        <v>4</v>
      </c>
      <c r="I26" s="1509">
        <v>1.83</v>
      </c>
      <c r="J26" s="1509">
        <v>1.68</v>
      </c>
      <c r="K26" s="1509">
        <v>1.97</v>
      </c>
      <c r="L26" s="1510">
        <v>0.87</v>
      </c>
      <c r="N26" s="1487">
        <f t="shared" si="76"/>
        <v>1.83E-2</v>
      </c>
      <c r="O26" s="1488">
        <f t="shared" si="71"/>
        <v>1.6799999999999999E-2</v>
      </c>
      <c r="P26" s="1488">
        <f t="shared" si="71"/>
        <v>1.9699999999999999E-2</v>
      </c>
      <c r="Q26" s="1488">
        <f t="shared" si="71"/>
        <v>8.6999999999999994E-3</v>
      </c>
      <c r="R26" s="1477"/>
      <c r="S26" s="1478"/>
      <c r="T26" s="1479"/>
      <c r="U26" s="1479"/>
      <c r="V26" s="1479"/>
      <c r="X26" s="1479"/>
      <c r="Y26" s="1479"/>
      <c r="Z26" s="1479"/>
    </row>
    <row r="27" spans="1:34">
      <c r="A27" s="1464" t="s">
        <v>1160</v>
      </c>
      <c r="B27" s="1480">
        <f t="shared" ref="B27:C29" si="83">B26/(1+N26)</f>
        <v>293.62663262299913</v>
      </c>
      <c r="C27" s="1480">
        <f t="shared" si="83"/>
        <v>247.83634933123525</v>
      </c>
      <c r="D27" s="1480">
        <f t="shared" si="74"/>
        <v>247.83634933123525</v>
      </c>
      <c r="E27" s="1480">
        <f t="shared" ref="E27:F29" si="84">E26/(1+P26)</f>
        <v>401.09836226341076</v>
      </c>
      <c r="F27" s="1480">
        <f t="shared" si="84"/>
        <v>225.04213343908003</v>
      </c>
      <c r="G27" s="3312"/>
      <c r="H27" s="1490">
        <v>3</v>
      </c>
      <c r="I27" s="1490">
        <v>1.86</v>
      </c>
      <c r="J27" s="1490">
        <v>1.72</v>
      </c>
      <c r="K27" s="1490">
        <v>1.98</v>
      </c>
      <c r="L27" s="1491">
        <v>0.88</v>
      </c>
      <c r="N27" s="1475">
        <f t="shared" si="76"/>
        <v>1.8600000000000002E-2</v>
      </c>
      <c r="O27" s="1492">
        <f t="shared" si="71"/>
        <v>1.72E-2</v>
      </c>
      <c r="P27" s="1492">
        <f t="shared" si="71"/>
        <v>1.9799999999999998E-2</v>
      </c>
      <c r="Q27" s="1492">
        <f t="shared" si="71"/>
        <v>8.8000000000000005E-3</v>
      </c>
      <c r="R27" s="1477"/>
      <c r="S27" s="1475"/>
      <c r="T27" s="1476"/>
      <c r="U27" s="1476"/>
      <c r="V27" s="1476"/>
    </row>
    <row r="28" spans="1:34">
      <c r="A28" s="1464" t="s">
        <v>1161</v>
      </c>
      <c r="B28" s="1480">
        <f t="shared" si="83"/>
        <v>288.2649053828776</v>
      </c>
      <c r="C28" s="1480">
        <f t="shared" si="83"/>
        <v>243.64564425013293</v>
      </c>
      <c r="D28" s="1480">
        <f t="shared" si="74"/>
        <v>243.64564425013293</v>
      </c>
      <c r="E28" s="1480">
        <f t="shared" si="84"/>
        <v>393.31080825986544</v>
      </c>
      <c r="F28" s="1480">
        <f t="shared" si="84"/>
        <v>223.07903790551154</v>
      </c>
      <c r="G28" s="3312"/>
      <c r="H28" s="1468">
        <v>2</v>
      </c>
      <c r="I28" s="1468">
        <v>2.04</v>
      </c>
      <c r="J28" s="1468">
        <v>2.33</v>
      </c>
      <c r="K28" s="1468">
        <v>2.0699999999999998</v>
      </c>
      <c r="L28" s="1482">
        <v>0.69</v>
      </c>
      <c r="N28" s="1475">
        <f t="shared" si="76"/>
        <v>2.0400000000000001E-2</v>
      </c>
      <c r="O28" s="1492">
        <f t="shared" si="71"/>
        <v>2.3300000000000001E-2</v>
      </c>
      <c r="P28" s="1492">
        <f t="shared" si="71"/>
        <v>2.07E-2</v>
      </c>
      <c r="Q28" s="1492">
        <f t="shared" si="71"/>
        <v>6.8999999999999999E-3</v>
      </c>
      <c r="R28" s="1477"/>
      <c r="S28" s="1475"/>
      <c r="T28" s="1476"/>
      <c r="U28" s="1476"/>
      <c r="V28" s="1476"/>
      <c r="X28" s="1511"/>
      <c r="Y28" s="1512"/>
    </row>
    <row r="29" spans="1:34">
      <c r="A29" s="1464" t="s">
        <v>1162</v>
      </c>
      <c r="B29" s="1480">
        <f t="shared" si="83"/>
        <v>282.50186729015837</v>
      </c>
      <c r="C29" s="1480">
        <f t="shared" si="83"/>
        <v>238.09796174155468</v>
      </c>
      <c r="D29" s="1480">
        <f t="shared" si="74"/>
        <v>238.09796174155468</v>
      </c>
      <c r="E29" s="1480">
        <f t="shared" si="84"/>
        <v>385.33438646014054</v>
      </c>
      <c r="F29" s="1480">
        <f t="shared" si="84"/>
        <v>221.55034055567739</v>
      </c>
      <c r="G29" s="3313"/>
      <c r="H29" s="1467">
        <v>1</v>
      </c>
      <c r="I29" s="1467">
        <v>1.67</v>
      </c>
      <c r="J29" s="1467">
        <v>1.31</v>
      </c>
      <c r="K29" s="1467">
        <v>1.85</v>
      </c>
      <c r="L29" s="1481">
        <v>0.96</v>
      </c>
      <c r="N29" s="1483">
        <f t="shared" si="76"/>
        <v>1.67E-2</v>
      </c>
      <c r="O29" s="1484">
        <f t="shared" si="76"/>
        <v>1.3100000000000001E-2</v>
      </c>
      <c r="P29" s="1484">
        <f t="shared" si="76"/>
        <v>1.8500000000000003E-2</v>
      </c>
      <c r="Q29" s="1484">
        <f t="shared" si="76"/>
        <v>9.5999999999999992E-3</v>
      </c>
      <c r="R29" s="1477"/>
      <c r="S29" s="1483">
        <f>B29/B30-1</f>
        <v>1.6193767230785472E-2</v>
      </c>
      <c r="T29" s="1484">
        <f>C29/C30-1</f>
        <v>1.7512657015190891E-2</v>
      </c>
      <c r="U29" s="1484">
        <f>E29/E30-1</f>
        <v>1.6713420739157048E-2</v>
      </c>
      <c r="V29" s="1484">
        <f>F29/F30-1</f>
        <v>7.0470025258062563E-3</v>
      </c>
      <c r="X29" s="1513"/>
      <c r="Y29" s="1463"/>
      <c r="Z29" s="1463"/>
    </row>
    <row r="30" spans="1:34" ht="13.5" thickBot="1">
      <c r="A30" s="1464" t="s">
        <v>1163</v>
      </c>
      <c r="B30" s="1514">
        <v>278</v>
      </c>
      <c r="C30" s="1514">
        <v>234</v>
      </c>
      <c r="D30" s="1514">
        <f t="shared" si="74"/>
        <v>234</v>
      </c>
      <c r="E30" s="1514">
        <v>379</v>
      </c>
      <c r="F30" s="1515">
        <v>220</v>
      </c>
      <c r="G30" s="3304">
        <v>2012</v>
      </c>
      <c r="H30" s="1485">
        <v>4</v>
      </c>
      <c r="I30" s="1485">
        <v>0.91</v>
      </c>
      <c r="J30" s="1485">
        <v>0.68</v>
      </c>
      <c r="K30" s="1485">
        <v>0.98</v>
      </c>
      <c r="L30" s="1486">
        <v>0.9</v>
      </c>
      <c r="N30" s="1475">
        <f t="shared" si="76"/>
        <v>9.1000000000000004E-3</v>
      </c>
      <c r="O30" s="1476">
        <f t="shared" si="76"/>
        <v>6.8000000000000005E-3</v>
      </c>
      <c r="P30" s="1476">
        <f t="shared" si="76"/>
        <v>9.7999999999999997E-3</v>
      </c>
      <c r="Q30" s="1476">
        <f t="shared" si="76"/>
        <v>9.0000000000000011E-3</v>
      </c>
      <c r="R30" s="1477"/>
      <c r="S30" s="1478"/>
      <c r="T30" s="1479"/>
      <c r="U30" s="1479"/>
      <c r="V30" s="1479"/>
      <c r="X30" s="1479"/>
      <c r="Y30" s="1479"/>
      <c r="Z30" s="1479"/>
    </row>
    <row r="31" spans="1:34">
      <c r="A31" s="1464" t="s">
        <v>1164</v>
      </c>
      <c r="B31" s="1480">
        <f>B30/(1+N30)</f>
        <v>275.49301357645425</v>
      </c>
      <c r="C31" s="1480">
        <f>C30/(1+O30)</f>
        <v>232.41954707985698</v>
      </c>
      <c r="D31" s="1480">
        <f t="shared" si="74"/>
        <v>232.41954707985698</v>
      </c>
      <c r="E31" s="1480">
        <f t="shared" ref="E31:F33" si="85">E30/(1+P30)</f>
        <v>375.32184591008121</v>
      </c>
      <c r="F31" s="1480">
        <f t="shared" si="85"/>
        <v>218.03766105054513</v>
      </c>
      <c r="G31" s="3305"/>
      <c r="H31" s="1490">
        <v>3</v>
      </c>
      <c r="I31" s="1490">
        <v>0.09</v>
      </c>
      <c r="J31" s="1490">
        <v>0.28999999999999998</v>
      </c>
      <c r="K31" s="1490">
        <v>-0.01</v>
      </c>
      <c r="L31" s="1491">
        <v>0.57999999999999996</v>
      </c>
      <c r="N31" s="1475">
        <f t="shared" si="76"/>
        <v>8.9999999999999998E-4</v>
      </c>
      <c r="O31" s="1476">
        <f t="shared" si="76"/>
        <v>2.8999999999999998E-3</v>
      </c>
      <c r="P31" s="1476">
        <f t="shared" si="76"/>
        <v>-1E-4</v>
      </c>
      <c r="Q31" s="1476">
        <f t="shared" si="76"/>
        <v>5.7999999999999996E-3</v>
      </c>
      <c r="R31" s="1477"/>
      <c r="S31" s="1475"/>
      <c r="T31" s="1476"/>
      <c r="U31" s="1476"/>
      <c r="V31" s="1476"/>
    </row>
    <row r="32" spans="1:34">
      <c r="A32" s="1464" t="s">
        <v>1165</v>
      </c>
      <c r="B32" s="1480">
        <f>B31/(1+N31)</f>
        <v>275.24529281292263</v>
      </c>
      <c r="C32" s="1480">
        <f>C31/(1+O31)</f>
        <v>231.74747938962707</v>
      </c>
      <c r="D32" s="1480">
        <f t="shared" si="74"/>
        <v>231.74747938962707</v>
      </c>
      <c r="E32" s="1480">
        <f t="shared" si="85"/>
        <v>375.35938184826603</v>
      </c>
      <c r="F32" s="1480">
        <f t="shared" si="85"/>
        <v>216.78033510692495</v>
      </c>
      <c r="G32" s="3305"/>
      <c r="H32" s="1468">
        <v>2</v>
      </c>
      <c r="I32" s="1468">
        <v>0.02</v>
      </c>
      <c r="J32" s="1468">
        <v>0.12</v>
      </c>
      <c r="K32" s="1468">
        <v>-0.08</v>
      </c>
      <c r="L32" s="1482">
        <v>1.24</v>
      </c>
      <c r="N32" s="1475">
        <f t="shared" si="76"/>
        <v>2.0000000000000001E-4</v>
      </c>
      <c r="O32" s="1476">
        <f t="shared" si="76"/>
        <v>1.1999999999999999E-3</v>
      </c>
      <c r="P32" s="1476">
        <f t="shared" si="76"/>
        <v>-8.0000000000000004E-4</v>
      </c>
      <c r="Q32" s="1476">
        <f t="shared" si="76"/>
        <v>1.24E-2</v>
      </c>
      <c r="R32" s="1477"/>
      <c r="S32" s="1475"/>
      <c r="T32" s="1476"/>
      <c r="U32" s="1476"/>
      <c r="V32" s="1476"/>
    </row>
    <row r="33" spans="1:26" ht="13.5" thickBot="1">
      <c r="A33" s="1464" t="s">
        <v>1166</v>
      </c>
      <c r="B33" s="1480">
        <f>B32/(1+N32)</f>
        <v>275.19025476197027</v>
      </c>
      <c r="C33" s="1516">
        <v>232</v>
      </c>
      <c r="D33" s="1516">
        <f t="shared" si="74"/>
        <v>232</v>
      </c>
      <c r="E33" s="1480">
        <f t="shared" si="85"/>
        <v>375.65990977608692</v>
      </c>
      <c r="F33" s="1480">
        <f t="shared" si="85"/>
        <v>214.12518283971252</v>
      </c>
      <c r="G33" s="3306"/>
      <c r="H33" s="1467">
        <v>1</v>
      </c>
      <c r="I33" s="1467">
        <v>0.02</v>
      </c>
      <c r="J33" s="1467">
        <v>0.13</v>
      </c>
      <c r="K33" s="1467">
        <v>-0.04</v>
      </c>
      <c r="L33" s="1481">
        <v>0.46</v>
      </c>
      <c r="N33" s="1475">
        <f t="shared" si="76"/>
        <v>2.0000000000000001E-4</v>
      </c>
      <c r="O33" s="1476">
        <f t="shared" si="76"/>
        <v>1.2999999999999999E-3</v>
      </c>
      <c r="P33" s="1476">
        <f t="shared" si="76"/>
        <v>-4.0000000000000002E-4</v>
      </c>
      <c r="Q33" s="1476">
        <f t="shared" si="76"/>
        <v>4.5999999999999999E-3</v>
      </c>
      <c r="R33" s="1477"/>
      <c r="S33" s="1483">
        <f>B33/B34-1</f>
        <v>6.9183549807361189E-4</v>
      </c>
      <c r="T33" s="1484">
        <f>C33/C34-1</f>
        <v>0</v>
      </c>
      <c r="U33" s="1484">
        <f>E33/E34-1</f>
        <v>-9.0449527636460303E-4</v>
      </c>
      <c r="V33" s="1484">
        <f>F33/F34-1</f>
        <v>5.2825485432512753E-3</v>
      </c>
      <c r="X33" s="1463"/>
      <c r="Y33" s="1463"/>
      <c r="Z33" s="1463"/>
    </row>
    <row r="34" spans="1:26" ht="13.5" thickBot="1">
      <c r="A34" s="1464" t="s">
        <v>1167</v>
      </c>
      <c r="B34" s="1472">
        <v>275</v>
      </c>
      <c r="C34" s="1472">
        <v>232</v>
      </c>
      <c r="D34" s="1472">
        <f t="shared" si="74"/>
        <v>232</v>
      </c>
      <c r="E34" s="1472">
        <v>376</v>
      </c>
      <c r="F34" s="1473">
        <v>213</v>
      </c>
      <c r="G34" s="3304">
        <v>2011</v>
      </c>
      <c r="H34" s="1485">
        <v>4</v>
      </c>
      <c r="I34" s="1485">
        <v>-0.2</v>
      </c>
      <c r="J34" s="1485">
        <v>0.04</v>
      </c>
      <c r="K34" s="1485">
        <v>-0.34</v>
      </c>
      <c r="L34" s="1486">
        <v>0.46</v>
      </c>
      <c r="N34" s="1487">
        <f t="shared" si="76"/>
        <v>-2E-3</v>
      </c>
      <c r="O34" s="1488">
        <f t="shared" si="76"/>
        <v>4.0000000000000002E-4</v>
      </c>
      <c r="P34" s="1488">
        <f t="shared" si="76"/>
        <v>-3.4000000000000002E-3</v>
      </c>
      <c r="Q34" s="1488">
        <f t="shared" si="76"/>
        <v>4.5999999999999999E-3</v>
      </c>
      <c r="R34" s="1477"/>
      <c r="S34" s="1478"/>
      <c r="T34" s="1479"/>
      <c r="U34" s="1479"/>
      <c r="V34" s="1479"/>
      <c r="X34" s="1479"/>
      <c r="Y34" s="1479"/>
      <c r="Z34" s="1479"/>
    </row>
    <row r="35" spans="1:26">
      <c r="A35" s="1464" t="s">
        <v>1168</v>
      </c>
      <c r="B35" s="1480">
        <f t="shared" ref="B35:C37" si="86">B34/(1+N34)</f>
        <v>275.55110220440883</v>
      </c>
      <c r="C35" s="1480">
        <f t="shared" si="86"/>
        <v>231.90723710515795</v>
      </c>
      <c r="D35" s="1480">
        <f t="shared" si="74"/>
        <v>231.90723710515795</v>
      </c>
      <c r="E35" s="1480">
        <f t="shared" ref="E35:F37" si="87">E34/(1+P34)</f>
        <v>377.28276138872161</v>
      </c>
      <c r="F35" s="1480">
        <f t="shared" si="87"/>
        <v>212.02468644236512</v>
      </c>
      <c r="G35" s="3305">
        <v>2011</v>
      </c>
      <c r="H35" s="1490">
        <v>3</v>
      </c>
      <c r="I35" s="1490">
        <v>0.13</v>
      </c>
      <c r="J35" s="1490">
        <v>0.75</v>
      </c>
      <c r="K35" s="1490">
        <v>-0.08</v>
      </c>
      <c r="L35" s="1491">
        <v>0.53</v>
      </c>
      <c r="N35" s="1475">
        <f t="shared" si="76"/>
        <v>1.2999999999999999E-3</v>
      </c>
      <c r="O35" s="1492">
        <f t="shared" si="76"/>
        <v>7.4999999999999997E-3</v>
      </c>
      <c r="P35" s="1492">
        <f t="shared" si="76"/>
        <v>-8.0000000000000004E-4</v>
      </c>
      <c r="Q35" s="1492">
        <f t="shared" si="76"/>
        <v>5.3E-3</v>
      </c>
      <c r="R35" s="1477"/>
      <c r="S35" s="1475"/>
      <c r="T35" s="1476"/>
      <c r="U35" s="1476"/>
      <c r="V35" s="1476"/>
    </row>
    <row r="36" spans="1:26">
      <c r="A36" s="1464" t="s">
        <v>1169</v>
      </c>
      <c r="B36" s="1480">
        <f t="shared" si="86"/>
        <v>275.19335084830601</v>
      </c>
      <c r="C36" s="1480">
        <f t="shared" si="86"/>
        <v>230.18088050139744</v>
      </c>
      <c r="D36" s="1480">
        <f t="shared" si="74"/>
        <v>230.18088050139744</v>
      </c>
      <c r="E36" s="1480">
        <f t="shared" si="87"/>
        <v>377.58482925212331</v>
      </c>
      <c r="F36" s="1480">
        <f t="shared" si="87"/>
        <v>210.90687997847917</v>
      </c>
      <c r="G36" s="3305">
        <v>2011</v>
      </c>
      <c r="H36" s="1468">
        <v>2</v>
      </c>
      <c r="I36" s="1468">
        <v>-0.4</v>
      </c>
      <c r="J36" s="1468">
        <v>0.17</v>
      </c>
      <c r="K36" s="1468">
        <v>-0.57999999999999996</v>
      </c>
      <c r="L36" s="1482">
        <v>-0.2</v>
      </c>
      <c r="N36" s="1475">
        <f t="shared" si="76"/>
        <v>-4.0000000000000001E-3</v>
      </c>
      <c r="O36" s="1492">
        <f t="shared" si="76"/>
        <v>1.7000000000000001E-3</v>
      </c>
      <c r="P36" s="1492">
        <f t="shared" si="76"/>
        <v>-5.7999999999999996E-3</v>
      </c>
      <c r="Q36" s="1492">
        <f t="shared" si="76"/>
        <v>-2E-3</v>
      </c>
      <c r="R36" s="1477"/>
      <c r="S36" s="1475"/>
      <c r="T36" s="1476"/>
      <c r="U36" s="1476"/>
      <c r="V36" s="1476"/>
    </row>
    <row r="37" spans="1:26" ht="13.5" thickBot="1">
      <c r="A37" s="1464" t="s">
        <v>1170</v>
      </c>
      <c r="B37" s="1480">
        <f t="shared" si="86"/>
        <v>276.29854502841971</v>
      </c>
      <c r="C37" s="1480">
        <f t="shared" si="86"/>
        <v>229.79023709833027</v>
      </c>
      <c r="D37" s="1480">
        <f t="shared" si="74"/>
        <v>229.79023709833027</v>
      </c>
      <c r="E37" s="1480">
        <f t="shared" si="87"/>
        <v>379.78759731655936</v>
      </c>
      <c r="F37" s="1480">
        <f t="shared" si="87"/>
        <v>211.32953905659235</v>
      </c>
      <c r="G37" s="3306">
        <v>2011</v>
      </c>
      <c r="H37" s="1467">
        <v>1</v>
      </c>
      <c r="I37" s="1467">
        <v>2.65</v>
      </c>
      <c r="J37" s="1467">
        <v>3.76</v>
      </c>
      <c r="K37" s="1467">
        <v>1.89</v>
      </c>
      <c r="L37" s="1481">
        <v>7.95</v>
      </c>
      <c r="N37" s="1483">
        <f t="shared" si="76"/>
        <v>2.6499999999999999E-2</v>
      </c>
      <c r="O37" s="1484">
        <f t="shared" si="76"/>
        <v>3.7599999999999995E-2</v>
      </c>
      <c r="P37" s="1484">
        <f t="shared" si="76"/>
        <v>1.89E-2</v>
      </c>
      <c r="Q37" s="1484">
        <f t="shared" si="76"/>
        <v>7.9500000000000001E-2</v>
      </c>
      <c r="R37" s="1477"/>
      <c r="S37" s="1483">
        <f>B37/B38-1</f>
        <v>2.713213765211786E-2</v>
      </c>
      <c r="T37" s="1484">
        <f>C37/C38-1</f>
        <v>3.9774828499231862E-2</v>
      </c>
      <c r="U37" s="1484">
        <f>E37/E38-1</f>
        <v>1.8197311840641772E-2</v>
      </c>
      <c r="V37" s="1484">
        <f>F37/F38-1</f>
        <v>7.8211933962205826E-2</v>
      </c>
      <c r="X37" s="1463"/>
      <c r="Y37" s="1463"/>
      <c r="Z37" s="1463"/>
    </row>
    <row r="38" spans="1:26" ht="13.5" thickBot="1">
      <c r="A38" s="1464" t="s">
        <v>1171</v>
      </c>
      <c r="B38" s="1472">
        <v>269</v>
      </c>
      <c r="C38" s="1472">
        <v>221</v>
      </c>
      <c r="D38" s="1472">
        <f t="shared" si="74"/>
        <v>221</v>
      </c>
      <c r="E38" s="1472">
        <v>373</v>
      </c>
      <c r="F38" s="1473">
        <v>196</v>
      </c>
      <c r="G38" s="3304">
        <v>2010</v>
      </c>
      <c r="H38" s="1485">
        <v>4</v>
      </c>
      <c r="I38" s="1485">
        <v>5.72</v>
      </c>
      <c r="J38" s="1485">
        <v>6.57</v>
      </c>
      <c r="K38" s="1485">
        <v>5.72</v>
      </c>
      <c r="L38" s="1486">
        <v>2.72</v>
      </c>
      <c r="N38" s="1475">
        <f t="shared" si="76"/>
        <v>5.7200000000000001E-2</v>
      </c>
      <c r="O38" s="1476">
        <f t="shared" si="76"/>
        <v>6.5700000000000008E-2</v>
      </c>
      <c r="P38" s="1476">
        <f t="shared" si="76"/>
        <v>5.7200000000000001E-2</v>
      </c>
      <c r="Q38" s="1476">
        <f t="shared" si="76"/>
        <v>2.7200000000000002E-2</v>
      </c>
      <c r="R38" s="1477"/>
      <c r="S38" s="1478"/>
      <c r="T38" s="1479"/>
      <c r="U38" s="1479"/>
      <c r="V38" s="1479"/>
      <c r="X38" s="1479"/>
      <c r="Y38" s="1479"/>
      <c r="Z38" s="1479"/>
    </row>
    <row r="39" spans="1:26">
      <c r="A39" s="1464" t="s">
        <v>1172</v>
      </c>
      <c r="B39" s="1480">
        <f t="shared" ref="B39:C41" si="88">B38/(1+N38)</f>
        <v>254.44570563753314</v>
      </c>
      <c r="C39" s="1480">
        <f t="shared" si="88"/>
        <v>207.37543398705074</v>
      </c>
      <c r="D39" s="1480">
        <f t="shared" si="74"/>
        <v>207.37543398705074</v>
      </c>
      <c r="E39" s="1480">
        <f t="shared" ref="E39:F41" si="89">E38/(1+P38)</f>
        <v>352.81876655315932</v>
      </c>
      <c r="F39" s="1480">
        <f t="shared" si="89"/>
        <v>190.809968847352</v>
      </c>
      <c r="G39" s="3305">
        <v>2010</v>
      </c>
      <c r="H39" s="1490">
        <v>3</v>
      </c>
      <c r="I39" s="1490">
        <v>4.7300000000000004</v>
      </c>
      <c r="J39" s="1490">
        <v>3.9</v>
      </c>
      <c r="K39" s="1490">
        <v>5.03</v>
      </c>
      <c r="L39" s="1491">
        <v>4.21</v>
      </c>
      <c r="N39" s="1475">
        <f t="shared" si="76"/>
        <v>4.7300000000000002E-2</v>
      </c>
      <c r="O39" s="1476">
        <f t="shared" si="76"/>
        <v>3.9E-2</v>
      </c>
      <c r="P39" s="1476">
        <f t="shared" si="76"/>
        <v>5.0300000000000004E-2</v>
      </c>
      <c r="Q39" s="1476">
        <f t="shared" si="76"/>
        <v>4.2099999999999999E-2</v>
      </c>
      <c r="R39" s="1477"/>
      <c r="S39" s="1475"/>
      <c r="T39" s="1476"/>
      <c r="U39" s="1476"/>
      <c r="V39" s="1476"/>
    </row>
    <row r="40" spans="1:26">
      <c r="A40" s="1464" t="s">
        <v>1173</v>
      </c>
      <c r="B40" s="1480">
        <f t="shared" si="88"/>
        <v>242.95398227588385</v>
      </c>
      <c r="C40" s="1480">
        <f t="shared" si="88"/>
        <v>199.59137053614126</v>
      </c>
      <c r="D40" s="1480">
        <f t="shared" si="74"/>
        <v>199.59137053614126</v>
      </c>
      <c r="E40" s="1480">
        <f t="shared" si="89"/>
        <v>335.92189522342125</v>
      </c>
      <c r="F40" s="1480">
        <f t="shared" si="89"/>
        <v>183.10139991109489</v>
      </c>
      <c r="G40" s="3305">
        <v>2010</v>
      </c>
      <c r="H40" s="1468">
        <v>2</v>
      </c>
      <c r="I40" s="1468">
        <v>4.6900000000000004</v>
      </c>
      <c r="J40" s="1468">
        <v>3.55</v>
      </c>
      <c r="K40" s="1468">
        <v>5.07</v>
      </c>
      <c r="L40" s="1482">
        <v>4.2300000000000004</v>
      </c>
      <c r="N40" s="1475">
        <f t="shared" si="76"/>
        <v>4.6900000000000004E-2</v>
      </c>
      <c r="O40" s="1476">
        <f t="shared" si="76"/>
        <v>3.5499999999999997E-2</v>
      </c>
      <c r="P40" s="1476">
        <f t="shared" si="76"/>
        <v>5.0700000000000002E-2</v>
      </c>
      <c r="Q40" s="1476">
        <f t="shared" si="76"/>
        <v>4.2300000000000004E-2</v>
      </c>
      <c r="R40" s="1477"/>
      <c r="S40" s="1475"/>
      <c r="T40" s="1476"/>
      <c r="U40" s="1476"/>
      <c r="V40" s="1476"/>
    </row>
    <row r="41" spans="1:26" ht="13.5" thickBot="1">
      <c r="A41" s="1464" t="s">
        <v>1174</v>
      </c>
      <c r="B41" s="1480">
        <f t="shared" si="88"/>
        <v>232.06990378821649</v>
      </c>
      <c r="C41" s="1480">
        <f t="shared" si="88"/>
        <v>192.74878854286936</v>
      </c>
      <c r="D41" s="1480">
        <f t="shared" si="74"/>
        <v>192.74878854286936</v>
      </c>
      <c r="E41" s="1480">
        <f t="shared" si="89"/>
        <v>319.71247284992984</v>
      </c>
      <c r="F41" s="1480">
        <f t="shared" si="89"/>
        <v>175.67053622862409</v>
      </c>
      <c r="G41" s="3306">
        <v>2010</v>
      </c>
      <c r="H41" s="1467">
        <v>1</v>
      </c>
      <c r="I41" s="1467">
        <v>5.4</v>
      </c>
      <c r="J41" s="1467">
        <v>3.2</v>
      </c>
      <c r="K41" s="1467">
        <v>6.16</v>
      </c>
      <c r="L41" s="1481">
        <v>4.51</v>
      </c>
      <c r="N41" s="1475">
        <f t="shared" si="76"/>
        <v>5.4000000000000006E-2</v>
      </c>
      <c r="O41" s="1476">
        <f t="shared" si="76"/>
        <v>3.2000000000000001E-2</v>
      </c>
      <c r="P41" s="1476">
        <f t="shared" si="76"/>
        <v>6.1600000000000002E-2</v>
      </c>
      <c r="Q41" s="1476">
        <f t="shared" si="76"/>
        <v>4.5100000000000001E-2</v>
      </c>
      <c r="R41" s="1477"/>
      <c r="S41" s="1483">
        <f>B41/B42-1</f>
        <v>5.4863199037347599E-2</v>
      </c>
      <c r="T41" s="1484">
        <f>C41/C42-1</f>
        <v>3.0742184721226584E-2</v>
      </c>
      <c r="U41" s="1484">
        <f>E41/E42-1</f>
        <v>6.2167683886810154E-2</v>
      </c>
      <c r="V41" s="1484">
        <f>F41/F42-1</f>
        <v>4.5657953741810031E-2</v>
      </c>
      <c r="X41" s="1463"/>
      <c r="Y41" s="1463"/>
      <c r="Z41" s="1463"/>
    </row>
    <row r="42" spans="1:26" ht="13.5" thickBot="1">
      <c r="A42" s="1464" t="s">
        <v>1175</v>
      </c>
      <c r="B42" s="1472">
        <v>220</v>
      </c>
      <c r="C42" s="1472">
        <v>187</v>
      </c>
      <c r="D42" s="1472">
        <f t="shared" si="74"/>
        <v>187</v>
      </c>
      <c r="E42" s="1472">
        <v>301</v>
      </c>
      <c r="F42" s="1473">
        <v>168</v>
      </c>
      <c r="G42" s="3304">
        <v>2009</v>
      </c>
      <c r="H42" s="1485">
        <v>4</v>
      </c>
      <c r="I42" s="1485">
        <v>2.2999999999999998</v>
      </c>
      <c r="J42" s="1485">
        <v>1.04</v>
      </c>
      <c r="K42" s="1485">
        <v>2.84</v>
      </c>
      <c r="L42" s="1486">
        <v>0.67</v>
      </c>
      <c r="N42" s="1487">
        <f t="shared" si="76"/>
        <v>2.3E-2</v>
      </c>
      <c r="O42" s="1488">
        <f t="shared" si="76"/>
        <v>1.04E-2</v>
      </c>
      <c r="P42" s="1488">
        <f t="shared" si="76"/>
        <v>2.8399999999999998E-2</v>
      </c>
      <c r="Q42" s="1488">
        <f t="shared" si="76"/>
        <v>6.7000000000000002E-3</v>
      </c>
      <c r="R42" s="1477"/>
      <c r="S42" s="1478"/>
      <c r="T42" s="1479"/>
      <c r="U42" s="1479"/>
      <c r="V42" s="1479"/>
      <c r="X42" s="1479"/>
      <c r="Y42" s="1479"/>
      <c r="Z42" s="1479"/>
    </row>
    <row r="43" spans="1:26">
      <c r="A43" s="1464" t="s">
        <v>1176</v>
      </c>
      <c r="B43" s="1480">
        <f t="shared" ref="B43:C45" si="90">B42/(1+N42)</f>
        <v>215.05376344086022</v>
      </c>
      <c r="C43" s="1480">
        <f t="shared" si="90"/>
        <v>185.0752177355503</v>
      </c>
      <c r="D43" s="1480">
        <f t="shared" si="74"/>
        <v>185.0752177355503</v>
      </c>
      <c r="E43" s="1480">
        <f t="shared" ref="E43:F45" si="91">E42/(1+P42)</f>
        <v>292.68767016725008</v>
      </c>
      <c r="F43" s="1480">
        <f t="shared" si="91"/>
        <v>166.88189132810174</v>
      </c>
      <c r="G43" s="3305">
        <v>2009</v>
      </c>
      <c r="H43" s="1490">
        <v>3</v>
      </c>
      <c r="I43" s="1490">
        <v>2.1</v>
      </c>
      <c r="J43" s="1490">
        <v>1.86</v>
      </c>
      <c r="K43" s="1490">
        <v>2.29</v>
      </c>
      <c r="L43" s="1491">
        <v>0.85</v>
      </c>
      <c r="N43" s="1475">
        <f t="shared" si="76"/>
        <v>2.1000000000000001E-2</v>
      </c>
      <c r="O43" s="1492">
        <f t="shared" si="76"/>
        <v>1.8600000000000002E-2</v>
      </c>
      <c r="P43" s="1492">
        <f t="shared" si="76"/>
        <v>2.29E-2</v>
      </c>
      <c r="Q43" s="1492">
        <f t="shared" si="76"/>
        <v>8.5000000000000006E-3</v>
      </c>
      <c r="R43" s="1477"/>
      <c r="S43" s="1475"/>
      <c r="T43" s="1476"/>
      <c r="U43" s="1476"/>
      <c r="V43" s="1476"/>
    </row>
    <row r="44" spans="1:26">
      <c r="A44" s="1464" t="s">
        <v>1177</v>
      </c>
      <c r="B44" s="1480">
        <f t="shared" si="90"/>
        <v>210.630522469011</v>
      </c>
      <c r="C44" s="1480">
        <f t="shared" si="90"/>
        <v>181.69567812247232</v>
      </c>
      <c r="D44" s="1480">
        <f t="shared" si="74"/>
        <v>181.69567812247232</v>
      </c>
      <c r="E44" s="1480">
        <f t="shared" si="91"/>
        <v>286.13517466736738</v>
      </c>
      <c r="F44" s="1480">
        <f t="shared" si="91"/>
        <v>165.47535084591149</v>
      </c>
      <c r="G44" s="3305">
        <v>2009</v>
      </c>
      <c r="H44" s="1468">
        <v>2</v>
      </c>
      <c r="I44" s="1468">
        <v>0.86</v>
      </c>
      <c r="J44" s="1468">
        <v>-1.1299999999999999</v>
      </c>
      <c r="K44" s="1468">
        <v>1.79</v>
      </c>
      <c r="L44" s="1482">
        <v>-2.0699999999999998</v>
      </c>
      <c r="N44" s="1475">
        <f t="shared" si="76"/>
        <v>8.6E-3</v>
      </c>
      <c r="O44" s="1492">
        <f t="shared" si="76"/>
        <v>-1.1299999999999999E-2</v>
      </c>
      <c r="P44" s="1492">
        <f t="shared" si="76"/>
        <v>1.7899999999999999E-2</v>
      </c>
      <c r="Q44" s="1492">
        <f t="shared" si="76"/>
        <v>-2.07E-2</v>
      </c>
      <c r="R44" s="1477"/>
      <c r="S44" s="1475"/>
      <c r="T44" s="1476"/>
      <c r="U44" s="1476"/>
      <c r="V44" s="1476"/>
    </row>
    <row r="45" spans="1:26">
      <c r="A45" s="1464" t="s">
        <v>1178</v>
      </c>
      <c r="B45" s="1480">
        <f t="shared" si="90"/>
        <v>208.83454537875372</v>
      </c>
      <c r="C45" s="1480">
        <f t="shared" si="90"/>
        <v>183.77230517090351</v>
      </c>
      <c r="D45" s="1480">
        <f t="shared" si="74"/>
        <v>183.77230517090351</v>
      </c>
      <c r="E45" s="1480">
        <f t="shared" si="91"/>
        <v>281.10342338870947</v>
      </c>
      <c r="F45" s="1480">
        <f t="shared" si="91"/>
        <v>168.97309388942256</v>
      </c>
      <c r="G45" s="3306">
        <v>2009</v>
      </c>
      <c r="H45" s="1467">
        <v>1</v>
      </c>
      <c r="I45" s="1467">
        <v>-2.64</v>
      </c>
      <c r="J45" s="1467">
        <v>-2.5299999999999998</v>
      </c>
      <c r="K45" s="1467">
        <v>-3.02</v>
      </c>
      <c r="L45" s="1481">
        <v>1.52</v>
      </c>
      <c r="N45" s="1483">
        <f t="shared" si="76"/>
        <v>-2.64E-2</v>
      </c>
      <c r="O45" s="1484">
        <f t="shared" si="76"/>
        <v>-2.53E-2</v>
      </c>
      <c r="P45" s="1484">
        <f t="shared" si="76"/>
        <v>-3.0200000000000001E-2</v>
      </c>
      <c r="Q45" s="1484">
        <f t="shared" si="76"/>
        <v>1.52E-2</v>
      </c>
      <c r="R45" s="1477"/>
      <c r="S45" s="1483">
        <f>B45/B46-1</f>
        <v>-2.4137638417038754E-2</v>
      </c>
      <c r="T45" s="1484">
        <f>C45/C46-1</f>
        <v>-2.248773845264096E-2</v>
      </c>
      <c r="U45" s="1484">
        <f>E45/E46-1</f>
        <v>-2.7323794502735366E-2</v>
      </c>
      <c r="V45" s="1484">
        <f>F45/F46-1</f>
        <v>1.7910204153148035E-2</v>
      </c>
      <c r="X45" s="1463"/>
      <c r="Y45" s="1463"/>
      <c r="Z45" s="1463"/>
    </row>
    <row r="46" spans="1:26" ht="13.5" thickBot="1">
      <c r="A46" s="1464" t="s">
        <v>1179</v>
      </c>
      <c r="B46" s="1514">
        <v>214</v>
      </c>
      <c r="C46" s="1514">
        <v>188</v>
      </c>
      <c r="D46" s="1514">
        <f t="shared" si="74"/>
        <v>188</v>
      </c>
      <c r="E46" s="1514">
        <v>289</v>
      </c>
      <c r="F46" s="1515">
        <v>166</v>
      </c>
      <c r="G46" s="3304">
        <v>2008</v>
      </c>
      <c r="H46" s="1485">
        <v>4</v>
      </c>
      <c r="I46" s="1485">
        <v>1.73</v>
      </c>
      <c r="J46" s="1485">
        <v>0.03</v>
      </c>
      <c r="K46" s="1485">
        <v>2.59</v>
      </c>
      <c r="L46" s="1486">
        <v>-1.66</v>
      </c>
      <c r="N46" s="1475">
        <f t="shared" si="76"/>
        <v>1.7299999999999999E-2</v>
      </c>
      <c r="O46" s="1476">
        <f t="shared" si="76"/>
        <v>2.9999999999999997E-4</v>
      </c>
      <c r="P46" s="1476">
        <f t="shared" si="76"/>
        <v>2.5899999999999999E-2</v>
      </c>
      <c r="Q46" s="1476">
        <f t="shared" si="76"/>
        <v>-1.66E-2</v>
      </c>
      <c r="R46" s="1477"/>
      <c r="S46" s="1478"/>
      <c r="T46" s="1479"/>
      <c r="U46" s="1479"/>
      <c r="V46" s="1479"/>
      <c r="X46" s="1479"/>
      <c r="Y46" s="1479"/>
      <c r="Z46" s="1479"/>
    </row>
    <row r="47" spans="1:26">
      <c r="A47" s="1464" t="s">
        <v>1180</v>
      </c>
      <c r="B47" s="1480">
        <f t="shared" ref="B47:C49" si="92">B46/(1+N46)</f>
        <v>210.36075887152265</v>
      </c>
      <c r="C47" s="1480">
        <f t="shared" si="92"/>
        <v>187.94361691492554</v>
      </c>
      <c r="D47" s="1480">
        <f t="shared" si="74"/>
        <v>187.94361691492554</v>
      </c>
      <c r="E47" s="1480">
        <f t="shared" ref="E47:F49" si="93">E46/(1+P46)</f>
        <v>281.70386977288234</v>
      </c>
      <c r="F47" s="1480">
        <f t="shared" si="93"/>
        <v>168.80211511083994</v>
      </c>
      <c r="G47" s="3305">
        <v>2008</v>
      </c>
      <c r="H47" s="1490">
        <v>3</v>
      </c>
      <c r="I47" s="1490">
        <v>1.96</v>
      </c>
      <c r="J47" s="1490">
        <v>2.36</v>
      </c>
      <c r="K47" s="1490">
        <v>1.82</v>
      </c>
      <c r="L47" s="1491">
        <v>2.2200000000000002</v>
      </c>
      <c r="N47" s="1475">
        <f t="shared" si="76"/>
        <v>1.9599999999999999E-2</v>
      </c>
      <c r="O47" s="1476">
        <f t="shared" si="76"/>
        <v>2.3599999999999999E-2</v>
      </c>
      <c r="P47" s="1476">
        <f t="shared" si="76"/>
        <v>1.8200000000000001E-2</v>
      </c>
      <c r="Q47" s="1476">
        <f t="shared" si="76"/>
        <v>2.2200000000000001E-2</v>
      </c>
      <c r="R47" s="1477"/>
      <c r="S47" s="1475"/>
      <c r="T47" s="1476"/>
      <c r="U47" s="1476"/>
      <c r="V47" s="1476"/>
    </row>
    <row r="48" spans="1:26">
      <c r="A48" s="1464" t="s">
        <v>1181</v>
      </c>
      <c r="B48" s="1480">
        <f t="shared" si="92"/>
        <v>206.31694671589116</v>
      </c>
      <c r="C48" s="1480">
        <f t="shared" si="92"/>
        <v>183.61041121036101</v>
      </c>
      <c r="D48" s="1480">
        <f t="shared" si="74"/>
        <v>183.61041121036101</v>
      </c>
      <c r="E48" s="1480">
        <f t="shared" si="93"/>
        <v>276.66850301795557</v>
      </c>
      <c r="F48" s="1480">
        <f t="shared" si="93"/>
        <v>165.1360938278614</v>
      </c>
      <c r="G48" s="3305">
        <v>2008</v>
      </c>
      <c r="H48" s="1468">
        <v>2</v>
      </c>
      <c r="I48" s="1468">
        <v>4.93</v>
      </c>
      <c r="J48" s="1468">
        <v>7.38</v>
      </c>
      <c r="K48" s="1468">
        <v>3.98</v>
      </c>
      <c r="L48" s="1482">
        <v>6.86</v>
      </c>
      <c r="N48" s="1475">
        <f t="shared" si="76"/>
        <v>4.9299999999999997E-2</v>
      </c>
      <c r="O48" s="1476">
        <f t="shared" si="76"/>
        <v>7.3800000000000004E-2</v>
      </c>
      <c r="P48" s="1476">
        <f t="shared" si="76"/>
        <v>3.9800000000000002E-2</v>
      </c>
      <c r="Q48" s="1476">
        <f t="shared" si="76"/>
        <v>6.8600000000000008E-2</v>
      </c>
      <c r="R48" s="1477"/>
      <c r="S48" s="1475"/>
      <c r="T48" s="1476"/>
      <c r="U48" s="1476"/>
      <c r="V48" s="1476"/>
    </row>
    <row r="49" spans="1:26" s="1520" customFormat="1" ht="13.5" thickBot="1">
      <c r="A49" s="1464" t="s">
        <v>1182</v>
      </c>
      <c r="B49" s="1517">
        <f t="shared" si="92"/>
        <v>196.62341248059772</v>
      </c>
      <c r="C49" s="1517">
        <f t="shared" si="92"/>
        <v>170.99125648199012</v>
      </c>
      <c r="D49" s="1517">
        <f t="shared" si="74"/>
        <v>170.99125648199012</v>
      </c>
      <c r="E49" s="1517">
        <f t="shared" si="93"/>
        <v>266.07857570490052</v>
      </c>
      <c r="F49" s="1517">
        <f t="shared" si="93"/>
        <v>154.53499328828505</v>
      </c>
      <c r="G49" s="3306">
        <v>2008</v>
      </c>
      <c r="H49" s="1518">
        <v>1</v>
      </c>
      <c r="I49" s="1518">
        <v>4.1399999999999997</v>
      </c>
      <c r="J49" s="1518">
        <v>3.45</v>
      </c>
      <c r="K49" s="1518">
        <v>4.95</v>
      </c>
      <c r="L49" s="1519">
        <v>4.82</v>
      </c>
      <c r="N49" s="1521">
        <f t="shared" si="76"/>
        <v>4.1399999999999999E-2</v>
      </c>
      <c r="O49" s="1522">
        <f t="shared" si="76"/>
        <v>3.4500000000000003E-2</v>
      </c>
      <c r="P49" s="1522">
        <f t="shared" si="76"/>
        <v>4.9500000000000002E-2</v>
      </c>
      <c r="Q49" s="1522">
        <f t="shared" si="76"/>
        <v>4.82E-2</v>
      </c>
      <c r="R49" s="1523"/>
      <c r="S49" s="1521">
        <f>B49/B50-1</f>
        <v>4.5869215322328349E-2</v>
      </c>
      <c r="T49" s="1522">
        <f>C49/C50-1</f>
        <v>3.6310645345394743E-2</v>
      </c>
      <c r="U49" s="1522">
        <f>E49/E50-1</f>
        <v>4.7553447657088688E-2</v>
      </c>
      <c r="V49" s="1522">
        <f>F49/F50-1</f>
        <v>4.4155360055980086E-2</v>
      </c>
      <c r="X49" s="1524"/>
      <c r="Y49" s="1524"/>
      <c r="Z49" s="1524"/>
    </row>
    <row r="50" spans="1:26" ht="13.5" thickBot="1">
      <c r="A50" s="1464" t="s">
        <v>1183</v>
      </c>
      <c r="B50" s="1472">
        <v>188</v>
      </c>
      <c r="C50" s="1472">
        <v>165</v>
      </c>
      <c r="D50" s="1472">
        <f t="shared" si="74"/>
        <v>165</v>
      </c>
      <c r="E50" s="1472">
        <v>254</v>
      </c>
      <c r="F50" s="1473">
        <v>148</v>
      </c>
      <c r="G50" s="3304">
        <v>2007</v>
      </c>
      <c r="H50" s="1525">
        <v>4</v>
      </c>
      <c r="I50" s="1525">
        <v>5.51</v>
      </c>
      <c r="J50" s="1525">
        <v>4.8899999999999997</v>
      </c>
      <c r="K50" s="1525">
        <v>6.43</v>
      </c>
      <c r="L50" s="1526">
        <v>5.36</v>
      </c>
      <c r="N50" s="1527">
        <f t="shared" ref="N50:O53" si="94">B50/B51-1</f>
        <v>4.1339718365245526E-2</v>
      </c>
      <c r="O50" s="1528">
        <f t="shared" si="94"/>
        <v>4.0324492593776018E-2</v>
      </c>
      <c r="P50" s="1528">
        <f t="shared" ref="P50:Q53" si="95">E50/E51-1</f>
        <v>6.1625555347990968E-2</v>
      </c>
      <c r="Q50" s="1528">
        <f t="shared" si="95"/>
        <v>4.6757569250590603E-2</v>
      </c>
      <c r="R50" s="1477"/>
      <c r="S50" s="1478"/>
      <c r="T50" s="1479"/>
      <c r="U50" s="1479"/>
      <c r="V50" s="1479"/>
      <c r="X50" s="1479"/>
      <c r="Y50" s="1479"/>
      <c r="Z50" s="1479"/>
    </row>
    <row r="51" spans="1:26">
      <c r="A51" s="1464" t="s">
        <v>1184</v>
      </c>
      <c r="B51" s="1480">
        <f t="shared" ref="B51:C53" si="96">B52+(B$50-B$54)*I51/SUM(I$50:I$53)</f>
        <v>180.5366651097618</v>
      </c>
      <c r="C51" s="1480">
        <f t="shared" si="96"/>
        <v>158.60435967302453</v>
      </c>
      <c r="D51" s="1480">
        <f t="shared" si="74"/>
        <v>158.60435967302453</v>
      </c>
      <c r="E51" s="1480">
        <f t="shared" ref="E51:F53" si="97">E52+(E$50-E$54)*K51/SUM(K$50:K$53)</f>
        <v>239.25573260785075</v>
      </c>
      <c r="F51" s="1480">
        <f t="shared" si="97"/>
        <v>141.38899430740037</v>
      </c>
      <c r="G51" s="3305">
        <v>2007</v>
      </c>
      <c r="H51" s="1490">
        <v>3</v>
      </c>
      <c r="I51" s="1490">
        <v>8.65</v>
      </c>
      <c r="J51" s="1490">
        <v>8.06</v>
      </c>
      <c r="K51" s="1490">
        <v>9.94</v>
      </c>
      <c r="L51" s="1491">
        <v>5.8</v>
      </c>
      <c r="N51" s="1527">
        <f t="shared" si="94"/>
        <v>6.940217571740015E-2</v>
      </c>
      <c r="O51" s="1528">
        <f t="shared" si="94"/>
        <v>7.1197482471153428E-2</v>
      </c>
      <c r="P51" s="1528">
        <f t="shared" si="95"/>
        <v>0.10529679922579582</v>
      </c>
      <c r="Q51" s="1528">
        <f t="shared" si="95"/>
        <v>5.3292245059512133E-2</v>
      </c>
      <c r="R51" s="1477"/>
      <c r="S51" s="1475"/>
      <c r="T51" s="1476"/>
      <c r="U51" s="1476"/>
      <c r="V51" s="1476"/>
      <c r="X51" s="1529"/>
      <c r="Y51" s="1529"/>
      <c r="Z51" s="1529"/>
    </row>
    <row r="52" spans="1:26">
      <c r="A52" s="1464" t="s">
        <v>1185</v>
      </c>
      <c r="B52" s="1480">
        <f t="shared" si="96"/>
        <v>168.82017748715555</v>
      </c>
      <c r="C52" s="1480">
        <f t="shared" si="96"/>
        <v>148.06267029972753</v>
      </c>
      <c r="D52" s="1480">
        <f t="shared" si="74"/>
        <v>148.06267029972753</v>
      </c>
      <c r="E52" s="1480">
        <f t="shared" si="97"/>
        <v>216.46288379323747</v>
      </c>
      <c r="F52" s="1480">
        <f t="shared" si="97"/>
        <v>134.23529411764704</v>
      </c>
      <c r="G52" s="3305">
        <v>2007</v>
      </c>
      <c r="H52" s="1468">
        <v>2</v>
      </c>
      <c r="I52" s="1468">
        <v>3.67</v>
      </c>
      <c r="J52" s="1468">
        <v>2.3199999999999998</v>
      </c>
      <c r="K52" s="1468">
        <v>5.0199999999999996</v>
      </c>
      <c r="L52" s="1482">
        <v>6.71</v>
      </c>
      <c r="N52" s="1527">
        <f t="shared" si="94"/>
        <v>3.0339138143848032E-2</v>
      </c>
      <c r="O52" s="1528">
        <f t="shared" si="94"/>
        <v>2.0922341588790472E-2</v>
      </c>
      <c r="P52" s="1528">
        <f t="shared" si="95"/>
        <v>5.6164796592717003E-2</v>
      </c>
      <c r="Q52" s="1528">
        <f t="shared" si="95"/>
        <v>6.5704536723887319E-2</v>
      </c>
      <c r="R52" s="1477"/>
      <c r="S52" s="1475"/>
      <c r="T52" s="1476"/>
      <c r="U52" s="1476"/>
      <c r="V52" s="1476"/>
      <c r="X52" s="1529"/>
      <c r="Y52" s="1529"/>
      <c r="Z52" s="1529"/>
    </row>
    <row r="53" spans="1:26">
      <c r="A53" s="1464" t="s">
        <v>1186</v>
      </c>
      <c r="B53" s="1480">
        <f t="shared" si="96"/>
        <v>163.84913591779542</v>
      </c>
      <c r="C53" s="1480">
        <f t="shared" si="96"/>
        <v>145.0283378746594</v>
      </c>
      <c r="D53" s="1480">
        <f t="shared" si="74"/>
        <v>145.0283378746594</v>
      </c>
      <c r="E53" s="1480">
        <f t="shared" si="97"/>
        <v>204.95180722891567</v>
      </c>
      <c r="F53" s="1480">
        <f t="shared" si="97"/>
        <v>125.95920303605313</v>
      </c>
      <c r="G53" s="3306">
        <v>2007</v>
      </c>
      <c r="H53" s="1467">
        <v>1</v>
      </c>
      <c r="I53" s="1467">
        <v>3.58</v>
      </c>
      <c r="J53" s="1467">
        <v>3.08</v>
      </c>
      <c r="K53" s="1467">
        <v>4.34</v>
      </c>
      <c r="L53" s="1481">
        <v>3.21</v>
      </c>
      <c r="N53" s="1530">
        <f t="shared" si="94"/>
        <v>3.0497710174814063E-2</v>
      </c>
      <c r="O53" s="1531">
        <f t="shared" si="94"/>
        <v>2.8569772160704998E-2</v>
      </c>
      <c r="P53" s="1531">
        <f t="shared" si="95"/>
        <v>5.1034908866234296E-2</v>
      </c>
      <c r="Q53" s="1531">
        <f t="shared" si="95"/>
        <v>3.245248390207478E-2</v>
      </c>
      <c r="R53" s="1477"/>
      <c r="S53" s="1483">
        <f>B53/B54-1</f>
        <v>3.0497710174814063E-2</v>
      </c>
      <c r="T53" s="1484">
        <f>C53/C54-1</f>
        <v>2.8569772160704998E-2</v>
      </c>
      <c r="U53" s="1484">
        <f>E53/E54-1</f>
        <v>5.1034908866234296E-2</v>
      </c>
      <c r="V53" s="1484">
        <f>F53/F54-1</f>
        <v>3.245248390207478E-2</v>
      </c>
      <c r="X53" s="1529"/>
      <c r="Y53" s="1529"/>
      <c r="Z53" s="1529"/>
    </row>
    <row r="54" spans="1:26" ht="13.5" thickBot="1">
      <c r="A54" s="1464" t="s">
        <v>1187</v>
      </c>
      <c r="B54" s="1493">
        <v>159</v>
      </c>
      <c r="C54" s="1493">
        <v>141</v>
      </c>
      <c r="D54" s="1493">
        <f t="shared" si="74"/>
        <v>141</v>
      </c>
      <c r="E54" s="1493">
        <v>195</v>
      </c>
      <c r="F54" s="1494">
        <v>122</v>
      </c>
      <c r="G54" s="3304">
        <v>2006</v>
      </c>
      <c r="H54" s="1485">
        <v>4</v>
      </c>
      <c r="I54" s="1485">
        <v>3.79</v>
      </c>
      <c r="J54" s="1485">
        <v>2.21</v>
      </c>
      <c r="K54" s="1485">
        <v>5.65</v>
      </c>
      <c r="L54" s="1486">
        <v>5.41</v>
      </c>
      <c r="N54" s="1527">
        <f t="shared" ref="N54:O57" si="98">I54/SUM(I$54:I$57)*(B$54/B$58-1)</f>
        <v>7.245466462748526E-2</v>
      </c>
      <c r="O54" s="1528">
        <f t="shared" si="98"/>
        <v>2.3237230038062766E-2</v>
      </c>
      <c r="P54" s="1528">
        <f t="shared" ref="P54:Q57" si="99">K54/SUM(K$54:K$57)*(E$54/E$58-1)</f>
        <v>0.16146893866323722</v>
      </c>
      <c r="Q54" s="1528">
        <f t="shared" si="99"/>
        <v>5.0755230321793784E-2</v>
      </c>
      <c r="R54" s="1477"/>
      <c r="S54" s="1478"/>
      <c r="T54" s="1479"/>
      <c r="U54" s="1479"/>
      <c r="V54" s="1479"/>
      <c r="X54" s="1529"/>
      <c r="Y54" s="1529"/>
      <c r="Z54" s="1529"/>
    </row>
    <row r="55" spans="1:26">
      <c r="A55" s="1464" t="s">
        <v>1188</v>
      </c>
      <c r="B55" s="1480">
        <f t="shared" ref="B55:C57" si="100">B56+(B$54-B$58)*I55/SUM(I$54:I$57)</f>
        <v>149.00125628140702</v>
      </c>
      <c r="C55" s="1480">
        <f t="shared" si="100"/>
        <v>137.95592286501378</v>
      </c>
      <c r="D55" s="1480">
        <f t="shared" si="74"/>
        <v>137.95592286501378</v>
      </c>
      <c r="E55" s="1480">
        <f t="shared" ref="E55:F57" si="101">E56+(E$54-E$58)*K55/SUM(K$54:K$57)</f>
        <v>169.97231450719823</v>
      </c>
      <c r="F55" s="1480">
        <f t="shared" si="101"/>
        <v>116.21390374331551</v>
      </c>
      <c r="G55" s="3305">
        <v>2006</v>
      </c>
      <c r="H55" s="1490">
        <v>3</v>
      </c>
      <c r="I55" s="1490">
        <v>0.92</v>
      </c>
      <c r="J55" s="1490">
        <v>1.08</v>
      </c>
      <c r="K55" s="1490">
        <v>0.73</v>
      </c>
      <c r="L55" s="1491">
        <v>1.08</v>
      </c>
      <c r="N55" s="1527">
        <f t="shared" si="98"/>
        <v>1.7587939698492462E-2</v>
      </c>
      <c r="O55" s="1528">
        <f t="shared" si="98"/>
        <v>1.1355750425840628E-2</v>
      </c>
      <c r="P55" s="1528">
        <f t="shared" si="99"/>
        <v>2.0862358446754544E-2</v>
      </c>
      <c r="Q55" s="1528">
        <f t="shared" si="99"/>
        <v>1.0132282578103011E-2</v>
      </c>
      <c r="R55" s="1477"/>
      <c r="S55" s="1475"/>
      <c r="T55" s="1476"/>
      <c r="U55" s="1476"/>
      <c r="V55" s="1476"/>
      <c r="X55" s="1529"/>
      <c r="Y55" s="1529"/>
      <c r="Z55" s="1529"/>
    </row>
    <row r="56" spans="1:26">
      <c r="A56" s="1464" t="s">
        <v>1189</v>
      </c>
      <c r="B56" s="1480">
        <f t="shared" si="100"/>
        <v>146.57412060301507</v>
      </c>
      <c r="C56" s="1480">
        <f t="shared" si="100"/>
        <v>136.46831955922866</v>
      </c>
      <c r="D56" s="1480">
        <f t="shared" si="74"/>
        <v>136.46831955922866</v>
      </c>
      <c r="E56" s="1480">
        <f t="shared" si="101"/>
        <v>166.73864894795128</v>
      </c>
      <c r="F56" s="1480">
        <f t="shared" si="101"/>
        <v>115.05882352941177</v>
      </c>
      <c r="G56" s="3305">
        <v>2006</v>
      </c>
      <c r="H56" s="1468">
        <v>2</v>
      </c>
      <c r="I56" s="1468">
        <v>0.96</v>
      </c>
      <c r="J56" s="1468">
        <v>0.25</v>
      </c>
      <c r="K56" s="1468">
        <v>1.9</v>
      </c>
      <c r="L56" s="1482">
        <v>0.95</v>
      </c>
      <c r="N56" s="1527">
        <f t="shared" si="98"/>
        <v>1.8352632728861701E-2</v>
      </c>
      <c r="O56" s="1528">
        <f t="shared" si="98"/>
        <v>2.6286459319075526E-3</v>
      </c>
      <c r="P56" s="1528">
        <f t="shared" si="99"/>
        <v>5.4299289107991269E-2</v>
      </c>
      <c r="Q56" s="1528">
        <f t="shared" si="99"/>
        <v>8.9126559714794995E-3</v>
      </c>
      <c r="R56" s="1477"/>
      <c r="S56" s="1475"/>
      <c r="T56" s="1476"/>
      <c r="U56" s="1476"/>
      <c r="V56" s="1476"/>
      <c r="X56" s="1529"/>
      <c r="Y56" s="1529"/>
      <c r="Z56" s="1529"/>
    </row>
    <row r="57" spans="1:26">
      <c r="A57" s="1464" t="s">
        <v>1190</v>
      </c>
      <c r="B57" s="1480">
        <f t="shared" si="100"/>
        <v>144.04145728643215</v>
      </c>
      <c r="C57" s="1480">
        <f t="shared" si="100"/>
        <v>136.12396694214877</v>
      </c>
      <c r="D57" s="1480">
        <f t="shared" si="74"/>
        <v>136.12396694214877</v>
      </c>
      <c r="E57" s="1480">
        <f t="shared" si="101"/>
        <v>158.32225913621264</v>
      </c>
      <c r="F57" s="1480">
        <f t="shared" si="101"/>
        <v>114.04278074866311</v>
      </c>
      <c r="G57" s="3306">
        <v>2006</v>
      </c>
      <c r="H57" s="1467">
        <v>1</v>
      </c>
      <c r="I57" s="1467">
        <v>2.29</v>
      </c>
      <c r="J57" s="1467">
        <v>3.72</v>
      </c>
      <c r="K57" s="1467">
        <v>0.75</v>
      </c>
      <c r="L57" s="1481">
        <v>0.04</v>
      </c>
      <c r="N57" s="1530">
        <f t="shared" si="98"/>
        <v>4.3778675988638847E-2</v>
      </c>
      <c r="O57" s="1531">
        <f t="shared" si="98"/>
        <v>3.9114251466784385E-2</v>
      </c>
      <c r="P57" s="1531">
        <f t="shared" si="99"/>
        <v>2.1433929911049188E-2</v>
      </c>
      <c r="Q57" s="1531">
        <f t="shared" si="99"/>
        <v>3.7526972511492629E-4</v>
      </c>
      <c r="R57" s="1477"/>
      <c r="S57" s="1483">
        <f>B57/B58-1</f>
        <v>4.3778675988638716E-2</v>
      </c>
      <c r="T57" s="1484">
        <f>C57/C58-1</f>
        <v>3.91142514667846E-2</v>
      </c>
      <c r="U57" s="1484">
        <f>E57/E58-1</f>
        <v>2.143392991104931E-2</v>
      </c>
      <c r="V57" s="1484">
        <f>F57/F58-1</f>
        <v>3.7526972511492396E-4</v>
      </c>
      <c r="X57" s="1529"/>
      <c r="Y57" s="1529"/>
      <c r="Z57" s="1529"/>
    </row>
    <row r="58" spans="1:26" ht="13.5" thickBot="1">
      <c r="A58" s="1464" t="s">
        <v>1191</v>
      </c>
      <c r="B58" s="1493">
        <v>138</v>
      </c>
      <c r="C58" s="1493">
        <v>131</v>
      </c>
      <c r="D58" s="1493">
        <f t="shared" si="74"/>
        <v>131</v>
      </c>
      <c r="E58" s="1493">
        <v>155</v>
      </c>
      <c r="F58" s="1494">
        <v>114</v>
      </c>
      <c r="G58" s="3304">
        <v>2005</v>
      </c>
      <c r="H58" s="1485">
        <v>4</v>
      </c>
      <c r="I58" s="1485">
        <v>3.29</v>
      </c>
      <c r="J58" s="1485">
        <v>1.44</v>
      </c>
      <c r="K58" s="1485">
        <v>0.66</v>
      </c>
      <c r="L58" s="1486">
        <v>7.78</v>
      </c>
      <c r="N58" s="1527">
        <f t="shared" ref="N58:O61" si="102">I58/SUM(I$58:I$61)*(B$58/B$62-1)</f>
        <v>9.9404603216919935E-2</v>
      </c>
      <c r="O58" s="1528">
        <f t="shared" si="102"/>
        <v>4.7636550760861554E-2</v>
      </c>
      <c r="P58" s="1528">
        <f t="shared" ref="P58:Q61" si="103">K58/SUM(K$58:K$61)*(E$58/E$62-1)</f>
        <v>8.3756345177664976E-2</v>
      </c>
      <c r="Q58" s="1528">
        <f t="shared" si="103"/>
        <v>5.2148766661559584E-2</v>
      </c>
      <c r="R58" s="1477"/>
      <c r="S58" s="1478"/>
      <c r="T58" s="1479"/>
      <c r="U58" s="1479"/>
      <c r="V58" s="1479"/>
      <c r="X58" s="1529"/>
      <c r="Y58" s="1529"/>
      <c r="Z58" s="1529"/>
    </row>
    <row r="59" spans="1:26">
      <c r="A59" s="1464" t="s">
        <v>1192</v>
      </c>
      <c r="B59" s="1480">
        <f t="shared" ref="B59:C61" si="104">B60+(B$58-B$62)*I59/SUM(I$58:I$61)</f>
        <v>125.9720430107527</v>
      </c>
      <c r="C59" s="1480">
        <f t="shared" si="104"/>
        <v>125.1883408071749</v>
      </c>
      <c r="D59" s="1480">
        <f t="shared" si="74"/>
        <v>125.1883408071749</v>
      </c>
      <c r="E59" s="1480">
        <f t="shared" ref="E59:F61" si="105">E60+(E$58-E$62)*K59/SUM(K$58:K$61)</f>
        <v>144.61421319796952</v>
      </c>
      <c r="F59" s="1480">
        <f t="shared" si="105"/>
        <v>108.42008196721311</v>
      </c>
      <c r="G59" s="3305">
        <v>2005</v>
      </c>
      <c r="H59" s="1490">
        <v>3</v>
      </c>
      <c r="I59" s="1490">
        <v>0.46</v>
      </c>
      <c r="J59" s="1490">
        <v>0.32</v>
      </c>
      <c r="K59" s="1490">
        <v>0.42</v>
      </c>
      <c r="L59" s="1491">
        <v>0.64</v>
      </c>
      <c r="N59" s="1527">
        <f t="shared" si="102"/>
        <v>1.3898515951301874E-2</v>
      </c>
      <c r="O59" s="1528">
        <f t="shared" si="102"/>
        <v>1.0585900169080346E-2</v>
      </c>
      <c r="P59" s="1528">
        <f t="shared" si="103"/>
        <v>5.3299492385786795E-2</v>
      </c>
      <c r="Q59" s="1528">
        <f t="shared" si="103"/>
        <v>4.2898728359123568E-3</v>
      </c>
      <c r="R59" s="1477"/>
      <c r="S59" s="1475"/>
      <c r="T59" s="1476"/>
      <c r="U59" s="1476"/>
      <c r="V59" s="1476"/>
      <c r="X59" s="1529"/>
      <c r="Y59" s="1529"/>
      <c r="Z59" s="1529"/>
    </row>
    <row r="60" spans="1:26">
      <c r="A60" s="1464" t="s">
        <v>1193</v>
      </c>
      <c r="B60" s="1480">
        <f t="shared" si="104"/>
        <v>124.29032258064517</v>
      </c>
      <c r="C60" s="1480">
        <f t="shared" si="104"/>
        <v>123.8968609865471</v>
      </c>
      <c r="D60" s="1480">
        <f t="shared" si="74"/>
        <v>123.8968609865471</v>
      </c>
      <c r="E60" s="1480">
        <f t="shared" si="105"/>
        <v>138.00507614213197</v>
      </c>
      <c r="F60" s="1480">
        <f t="shared" si="105"/>
        <v>107.96106557377048</v>
      </c>
      <c r="G60" s="3305">
        <v>2005</v>
      </c>
      <c r="H60" s="1468">
        <v>2</v>
      </c>
      <c r="I60" s="1468">
        <v>0.47</v>
      </c>
      <c r="J60" s="1468">
        <v>0.1</v>
      </c>
      <c r="K60" s="1468">
        <v>0.52</v>
      </c>
      <c r="L60" s="1482">
        <v>0.79</v>
      </c>
      <c r="N60" s="1527">
        <f t="shared" si="102"/>
        <v>1.420065760241713E-2</v>
      </c>
      <c r="O60" s="1528">
        <f t="shared" si="102"/>
        <v>3.3080938028376083E-3</v>
      </c>
      <c r="P60" s="1528">
        <f t="shared" si="103"/>
        <v>6.598984771573603E-2</v>
      </c>
      <c r="Q60" s="1528">
        <f t="shared" si="103"/>
        <v>5.2953117818293153E-3</v>
      </c>
      <c r="R60" s="1477"/>
      <c r="S60" s="1475"/>
      <c r="T60" s="1476"/>
      <c r="U60" s="1476"/>
      <c r="V60" s="1476"/>
      <c r="X60" s="1529"/>
      <c r="Y60" s="1529"/>
      <c r="Z60" s="1529"/>
    </row>
    <row r="61" spans="1:26">
      <c r="A61" s="1464" t="s">
        <v>1194</v>
      </c>
      <c r="B61" s="1480">
        <f t="shared" si="104"/>
        <v>122.57204301075269</v>
      </c>
      <c r="C61" s="1480">
        <f t="shared" si="104"/>
        <v>123.4932735426009</v>
      </c>
      <c r="D61" s="1480">
        <f t="shared" si="74"/>
        <v>123.4932735426009</v>
      </c>
      <c r="E61" s="1480">
        <f t="shared" si="105"/>
        <v>129.82233502538071</v>
      </c>
      <c r="F61" s="1480">
        <f t="shared" si="105"/>
        <v>107.39446721311475</v>
      </c>
      <c r="G61" s="3306">
        <v>2005</v>
      </c>
      <c r="H61" s="1467">
        <v>1</v>
      </c>
      <c r="I61" s="1467">
        <v>0.43</v>
      </c>
      <c r="J61" s="1467">
        <v>0.37</v>
      </c>
      <c r="K61" s="1467">
        <v>0.37</v>
      </c>
      <c r="L61" s="1481">
        <v>0.55000000000000004</v>
      </c>
      <c r="N61" s="1530">
        <f t="shared" si="102"/>
        <v>1.2992090997956099E-2</v>
      </c>
      <c r="O61" s="1531">
        <f t="shared" si="102"/>
        <v>1.2239947070499151E-2</v>
      </c>
      <c r="P61" s="1531">
        <f t="shared" si="103"/>
        <v>4.6954314720812178E-2</v>
      </c>
      <c r="Q61" s="1531">
        <f t="shared" si="103"/>
        <v>3.6866094683621815E-3</v>
      </c>
      <c r="R61" s="1477"/>
      <c r="S61" s="1483">
        <f>B61/B62-1</f>
        <v>1.2992090997956174E-2</v>
      </c>
      <c r="T61" s="1484">
        <f>C61/C62-1</f>
        <v>1.2239947070499246E-2</v>
      </c>
      <c r="U61" s="1484">
        <f>E61/E62-1</f>
        <v>4.695431472081224E-2</v>
      </c>
      <c r="V61" s="1484">
        <f>F61/F62-1</f>
        <v>3.6866094683620787E-3</v>
      </c>
      <c r="X61" s="1529"/>
      <c r="Y61" s="1529"/>
      <c r="Z61" s="1529"/>
    </row>
    <row r="62" spans="1:26" ht="13.5" thickBot="1">
      <c r="A62" s="1464" t="s">
        <v>1195</v>
      </c>
      <c r="B62" s="1514">
        <v>121</v>
      </c>
      <c r="C62" s="1514">
        <v>122</v>
      </c>
      <c r="D62" s="1514">
        <f t="shared" si="74"/>
        <v>122</v>
      </c>
      <c r="E62" s="1514">
        <v>124</v>
      </c>
      <c r="F62" s="1515">
        <v>107</v>
      </c>
      <c r="G62" s="3304">
        <v>2004</v>
      </c>
      <c r="H62" s="1485">
        <v>4</v>
      </c>
      <c r="I62" s="1485">
        <v>0.33</v>
      </c>
      <c r="J62" s="1485">
        <v>0.5</v>
      </c>
      <c r="K62" s="1485">
        <v>0.5</v>
      </c>
      <c r="L62" s="1486">
        <v>0</v>
      </c>
      <c r="N62" s="1527">
        <f t="shared" ref="N62:O65" si="106">I62/SUM(I$62:I$65)*(B$62/B$66-1)</f>
        <v>1.3391770148526898E-2</v>
      </c>
      <c r="O62" s="1528">
        <f t="shared" si="106"/>
        <v>1.063264221158958E-2</v>
      </c>
      <c r="P62" s="1528">
        <f t="shared" ref="P62:Q65" si="107">K62/SUM(K$62:K$65)*(E$62/E$66-1)</f>
        <v>2.2244466688911134E-2</v>
      </c>
      <c r="Q62" s="1528">
        <f t="shared" si="107"/>
        <v>0</v>
      </c>
      <c r="R62" s="1477"/>
      <c r="S62" s="1478"/>
      <c r="T62" s="1479"/>
      <c r="U62" s="1479"/>
      <c r="V62" s="1479"/>
      <c r="X62" s="1529"/>
      <c r="Y62" s="1529"/>
      <c r="Z62" s="1529"/>
    </row>
    <row r="63" spans="1:26">
      <c r="A63" s="1464" t="s">
        <v>1196</v>
      </c>
      <c r="B63" s="1480">
        <f t="shared" ref="B63:C65" si="108">B64+(B$62-B$66)*I63/SUM(I$62:I$65)</f>
        <v>119.51351351351352</v>
      </c>
      <c r="C63" s="1480">
        <f t="shared" si="108"/>
        <v>120.7878787878788</v>
      </c>
      <c r="D63" s="1480">
        <f t="shared" si="74"/>
        <v>120.7878787878788</v>
      </c>
      <c r="E63" s="1480">
        <f t="shared" ref="E63:F65" si="109">E64+(E$62-E$66)*K63/SUM(K$62:K$65)</f>
        <v>121.5975975975976</v>
      </c>
      <c r="F63" s="1480">
        <f t="shared" si="109"/>
        <v>107</v>
      </c>
      <c r="G63" s="3305">
        <v>2004</v>
      </c>
      <c r="H63" s="1490">
        <v>3</v>
      </c>
      <c r="I63" s="1490">
        <v>0.56000000000000005</v>
      </c>
      <c r="J63" s="1490">
        <v>0.8</v>
      </c>
      <c r="K63" s="1490">
        <v>0.83</v>
      </c>
      <c r="L63" s="1491">
        <v>0.06</v>
      </c>
      <c r="N63" s="1527">
        <f t="shared" si="106"/>
        <v>2.2725428130833527E-2</v>
      </c>
      <c r="O63" s="1528">
        <f t="shared" si="106"/>
        <v>1.7012227538543329E-2</v>
      </c>
      <c r="P63" s="1528">
        <f t="shared" si="107"/>
        <v>3.6925814703592477E-2</v>
      </c>
      <c r="Q63" s="1528">
        <f t="shared" si="107"/>
        <v>2.8846153846153744E-2</v>
      </c>
      <c r="R63" s="1477"/>
      <c r="S63" s="1475"/>
      <c r="T63" s="1476"/>
      <c r="U63" s="1476"/>
      <c r="V63" s="1476"/>
      <c r="X63" s="1529"/>
      <c r="Y63" s="1529"/>
      <c r="Z63" s="1529"/>
    </row>
    <row r="64" spans="1:26">
      <c r="A64" s="1464" t="s">
        <v>1197</v>
      </c>
      <c r="B64" s="1480">
        <f t="shared" si="108"/>
        <v>116.99099099099099</v>
      </c>
      <c r="C64" s="1480">
        <f t="shared" si="108"/>
        <v>118.84848484848486</v>
      </c>
      <c r="D64" s="1480">
        <f t="shared" si="74"/>
        <v>118.84848484848486</v>
      </c>
      <c r="E64" s="1480">
        <f t="shared" si="109"/>
        <v>117.60960960960961</v>
      </c>
      <c r="F64" s="1480">
        <f t="shared" si="109"/>
        <v>104</v>
      </c>
      <c r="G64" s="3305">
        <v>2004</v>
      </c>
      <c r="H64" s="1468">
        <v>2</v>
      </c>
      <c r="I64" s="1468">
        <v>1</v>
      </c>
      <c r="J64" s="1468">
        <v>1.5</v>
      </c>
      <c r="K64" s="1468">
        <v>1.5</v>
      </c>
      <c r="L64" s="1482">
        <v>0</v>
      </c>
      <c r="N64" s="1527">
        <f t="shared" si="106"/>
        <v>4.0581121662202721E-2</v>
      </c>
      <c r="O64" s="1528">
        <f t="shared" si="106"/>
        <v>3.1897926634768738E-2</v>
      </c>
      <c r="P64" s="1528">
        <f t="shared" si="107"/>
        <v>6.6733400066733395E-2</v>
      </c>
      <c r="Q64" s="1528">
        <f t="shared" si="107"/>
        <v>0</v>
      </c>
      <c r="R64" s="1477"/>
      <c r="S64" s="1475"/>
      <c r="T64" s="1476"/>
      <c r="U64" s="1476"/>
      <c r="V64" s="1476"/>
      <c r="X64" s="1529"/>
      <c r="Y64" s="1529"/>
      <c r="Z64" s="1529"/>
    </row>
    <row r="65" spans="1:26" s="1520" customFormat="1" ht="13.5" thickBot="1">
      <c r="A65" s="1464" t="s">
        <v>1198</v>
      </c>
      <c r="B65" s="1517">
        <f t="shared" si="108"/>
        <v>112.48648648648648</v>
      </c>
      <c r="C65" s="1517">
        <f t="shared" si="108"/>
        <v>115.21212121212122</v>
      </c>
      <c r="D65" s="1517">
        <f t="shared" si="74"/>
        <v>115.21212121212122</v>
      </c>
      <c r="E65" s="1517">
        <f t="shared" si="109"/>
        <v>110.4024024024024</v>
      </c>
      <c r="F65" s="1517">
        <f t="shared" si="109"/>
        <v>104</v>
      </c>
      <c r="G65" s="3306">
        <v>2004</v>
      </c>
      <c r="H65" s="1518">
        <v>1</v>
      </c>
      <c r="I65" s="1518">
        <v>0.33</v>
      </c>
      <c r="J65" s="1518">
        <v>0.5</v>
      </c>
      <c r="K65" s="1518">
        <v>0.5</v>
      </c>
      <c r="L65" s="1519">
        <v>0</v>
      </c>
      <c r="N65" s="1532">
        <f t="shared" si="106"/>
        <v>1.3391770148526898E-2</v>
      </c>
      <c r="O65" s="1533">
        <f t="shared" si="106"/>
        <v>1.063264221158958E-2</v>
      </c>
      <c r="P65" s="1533">
        <f t="shared" si="107"/>
        <v>2.2244466688911134E-2</v>
      </c>
      <c r="Q65" s="1533">
        <f t="shared" si="107"/>
        <v>0</v>
      </c>
      <c r="R65" s="1523"/>
      <c r="S65" s="1521">
        <f>B65/B66-1</f>
        <v>1.3391770148526883E-2</v>
      </c>
      <c r="T65" s="1522">
        <f>C65/C66-1</f>
        <v>1.063264221158966E-2</v>
      </c>
      <c r="U65" s="1522">
        <f>E65/E66-1</f>
        <v>2.2244466688911224E-2</v>
      </c>
      <c r="V65" s="1522">
        <f>F65/F66-1</f>
        <v>0</v>
      </c>
      <c r="X65" s="1534"/>
      <c r="Y65" s="1534"/>
      <c r="Z65" s="1534"/>
    </row>
    <row r="66" spans="1:26" ht="13.5" thickBot="1">
      <c r="A66" s="1464" t="s">
        <v>1199</v>
      </c>
      <c r="B66" s="1535">
        <v>111</v>
      </c>
      <c r="C66" s="1535">
        <v>114</v>
      </c>
      <c r="D66" s="1535">
        <f t="shared" si="74"/>
        <v>114</v>
      </c>
      <c r="E66" s="1535">
        <v>108</v>
      </c>
      <c r="F66" s="1536">
        <v>104</v>
      </c>
      <c r="G66" s="3304">
        <v>2003</v>
      </c>
      <c r="H66" s="1525">
        <v>4</v>
      </c>
      <c r="I66" s="1537"/>
      <c r="J66" s="1537"/>
      <c r="K66" s="1537"/>
      <c r="L66" s="1537"/>
      <c r="N66" s="1538"/>
      <c r="O66" s="1537"/>
      <c r="P66" s="1537"/>
      <c r="Q66" s="1537"/>
      <c r="S66" s="1538"/>
      <c r="T66" s="1537"/>
      <c r="U66" s="1537"/>
      <c r="V66" s="1537"/>
      <c r="X66" s="1529"/>
      <c r="Y66" s="1529"/>
      <c r="Z66" s="1529"/>
    </row>
    <row r="67" spans="1:26">
      <c r="A67" s="1464" t="s">
        <v>1200</v>
      </c>
      <c r="B67" s="1539">
        <f t="shared" ref="B67:C69" si="110">B68+(B$66-B$70)/4</f>
        <v>109.75</v>
      </c>
      <c r="C67" s="1539">
        <f t="shared" si="110"/>
        <v>112.25</v>
      </c>
      <c r="D67" s="1539">
        <f t="shared" si="74"/>
        <v>112.25</v>
      </c>
      <c r="E67" s="1539">
        <f t="shared" ref="E67:F69" si="111">E68+(E$66-E$70)/4</f>
        <v>107.25</v>
      </c>
      <c r="F67" s="1539">
        <f t="shared" si="111"/>
        <v>103.5</v>
      </c>
      <c r="G67" s="3305">
        <v>2003</v>
      </c>
      <c r="H67" s="1490">
        <v>3</v>
      </c>
      <c r="I67" s="1537"/>
      <c r="J67" s="1537"/>
      <c r="K67" s="1537"/>
      <c r="L67" s="1537"/>
      <c r="X67" s="1529"/>
      <c r="Y67" s="1529"/>
      <c r="Z67" s="1529"/>
    </row>
    <row r="68" spans="1:26">
      <c r="A68" s="1464" t="s">
        <v>1201</v>
      </c>
      <c r="B68" s="1539">
        <f t="shared" si="110"/>
        <v>108.5</v>
      </c>
      <c r="C68" s="1539">
        <f t="shared" si="110"/>
        <v>110.5</v>
      </c>
      <c r="D68" s="1539">
        <f t="shared" si="74"/>
        <v>110.5</v>
      </c>
      <c r="E68" s="1539">
        <f t="shared" si="111"/>
        <v>106.5</v>
      </c>
      <c r="F68" s="1539">
        <f t="shared" si="111"/>
        <v>103</v>
      </c>
      <c r="G68" s="3305">
        <v>2003</v>
      </c>
      <c r="H68" s="1468">
        <v>2</v>
      </c>
      <c r="I68" s="1537"/>
      <c r="J68" s="1537"/>
      <c r="K68" s="1537"/>
      <c r="L68" s="1537"/>
      <c r="X68" s="1529"/>
      <c r="Y68" s="1529"/>
      <c r="Z68" s="1529"/>
    </row>
    <row r="69" spans="1:26" ht="13.5" thickBot="1">
      <c r="A69" s="1464" t="s">
        <v>1202</v>
      </c>
      <c r="B69" s="1539">
        <f t="shared" si="110"/>
        <v>107.25</v>
      </c>
      <c r="C69" s="1539">
        <f t="shared" si="110"/>
        <v>108.75</v>
      </c>
      <c r="D69" s="1539">
        <f t="shared" si="74"/>
        <v>108.75</v>
      </c>
      <c r="E69" s="1539">
        <f t="shared" si="111"/>
        <v>105.75</v>
      </c>
      <c r="F69" s="1539">
        <f t="shared" si="111"/>
        <v>102.5</v>
      </c>
      <c r="G69" s="3306">
        <v>2003</v>
      </c>
      <c r="H69" s="1540">
        <v>1</v>
      </c>
      <c r="I69" s="1537"/>
      <c r="J69" s="1537"/>
      <c r="K69" s="1537"/>
      <c r="L69" s="1537"/>
      <c r="S69" s="1475"/>
      <c r="T69" s="1476"/>
      <c r="U69" s="1476"/>
      <c r="X69" s="1529"/>
      <c r="Y69" s="1529"/>
      <c r="Z69" s="1529"/>
    </row>
    <row r="70" spans="1:26" ht="13.5" thickBot="1">
      <c r="A70" s="1464" t="s">
        <v>1203</v>
      </c>
      <c r="B70" s="1541">
        <v>106</v>
      </c>
      <c r="C70" s="1541">
        <v>107</v>
      </c>
      <c r="D70" s="1541">
        <f t="shared" si="74"/>
        <v>107</v>
      </c>
      <c r="E70" s="1541">
        <v>105</v>
      </c>
      <c r="F70" s="1542">
        <v>102</v>
      </c>
      <c r="G70" s="3304">
        <v>2002</v>
      </c>
      <c r="H70" s="1485">
        <v>4</v>
      </c>
      <c r="I70" s="1537"/>
      <c r="J70" s="1537"/>
      <c r="K70" s="1537"/>
      <c r="L70" s="1537"/>
      <c r="N70" s="1538"/>
      <c r="O70" s="1537"/>
      <c r="P70" s="1537"/>
      <c r="Q70" s="1537"/>
      <c r="S70" s="1538"/>
      <c r="T70" s="1537"/>
      <c r="U70" s="1537"/>
      <c r="V70" s="1537"/>
      <c r="X70" s="1529"/>
      <c r="Y70" s="1529"/>
      <c r="Z70" s="1529"/>
    </row>
    <row r="71" spans="1:26">
      <c r="A71" s="1464" t="s">
        <v>1204</v>
      </c>
      <c r="B71" s="1539">
        <f t="shared" ref="B71:C73" si="112">B72+(B$70-B$74)/4</f>
        <v>105</v>
      </c>
      <c r="C71" s="1539">
        <f t="shared" si="112"/>
        <v>106</v>
      </c>
      <c r="D71" s="1539">
        <f t="shared" si="74"/>
        <v>106</v>
      </c>
      <c r="E71" s="1539">
        <f t="shared" ref="E71:F73" si="113">E72+(E$70-E$74)/4</f>
        <v>104.5</v>
      </c>
      <c r="F71" s="1539">
        <f t="shared" si="113"/>
        <v>101.5</v>
      </c>
      <c r="G71" s="3305">
        <v>2002</v>
      </c>
      <c r="H71" s="1490">
        <v>3</v>
      </c>
      <c r="I71" s="1537"/>
      <c r="J71" s="1537"/>
      <c r="K71" s="1537"/>
      <c r="L71" s="1537"/>
      <c r="X71" s="1529"/>
      <c r="Y71" s="1529"/>
      <c r="Z71" s="1529"/>
    </row>
    <row r="72" spans="1:26">
      <c r="A72" s="1464" t="s">
        <v>1205</v>
      </c>
      <c r="B72" s="1539">
        <f t="shared" si="112"/>
        <v>104</v>
      </c>
      <c r="C72" s="1539">
        <f t="shared" si="112"/>
        <v>105</v>
      </c>
      <c r="D72" s="1539">
        <f t="shared" si="74"/>
        <v>105</v>
      </c>
      <c r="E72" s="1539">
        <f t="shared" si="113"/>
        <v>104</v>
      </c>
      <c r="F72" s="1539">
        <f t="shared" si="113"/>
        <v>101</v>
      </c>
      <c r="G72" s="3305">
        <v>2002</v>
      </c>
      <c r="H72" s="1468">
        <v>2</v>
      </c>
      <c r="I72" s="1537"/>
      <c r="J72" s="1537"/>
      <c r="K72" s="1537"/>
      <c r="L72" s="1537"/>
      <c r="X72" s="1529"/>
      <c r="Y72" s="1529"/>
      <c r="Z72" s="1529"/>
    </row>
    <row r="73" spans="1:26" s="1501" customFormat="1" ht="13.5" thickBot="1">
      <c r="A73" s="1497" t="s">
        <v>1206</v>
      </c>
      <c r="B73" s="1543">
        <f t="shared" si="112"/>
        <v>103</v>
      </c>
      <c r="C73" s="1543">
        <f t="shared" si="112"/>
        <v>104</v>
      </c>
      <c r="D73" s="1543">
        <f t="shared" si="74"/>
        <v>104</v>
      </c>
      <c r="E73" s="1543">
        <f t="shared" si="113"/>
        <v>103.5</v>
      </c>
      <c r="F73" s="1543">
        <f t="shared" si="113"/>
        <v>100.5</v>
      </c>
      <c r="G73" s="3306">
        <v>2002</v>
      </c>
      <c r="H73" s="1544">
        <v>1</v>
      </c>
      <c r="I73" s="1545"/>
      <c r="J73" s="1545"/>
      <c r="K73" s="1545"/>
      <c r="L73" s="1545"/>
      <c r="N73" s="1546"/>
      <c r="S73" s="1546"/>
      <c r="X73" s="1547"/>
      <c r="Y73" s="1547"/>
      <c r="Z73" s="1547"/>
    </row>
    <row r="74" spans="1:26" ht="13.5" thickBot="1">
      <c r="B74" s="1548">
        <v>102</v>
      </c>
      <c r="C74" s="1549">
        <v>103</v>
      </c>
      <c r="D74" s="1549">
        <f t="shared" si="74"/>
        <v>103</v>
      </c>
      <c r="E74" s="1549">
        <v>103</v>
      </c>
      <c r="F74" s="1550">
        <v>100</v>
      </c>
      <c r="I74" s="1537"/>
      <c r="J74" s="1537"/>
      <c r="K74" s="1537"/>
      <c r="L74" s="1537"/>
      <c r="N74" s="1538"/>
      <c r="O74" s="1537"/>
      <c r="P74" s="1537"/>
      <c r="Q74" s="1537"/>
      <c r="S74" s="1538"/>
      <c r="T74" s="1537"/>
      <c r="U74" s="1537"/>
      <c r="V74" s="1537"/>
      <c r="X74" s="1479"/>
      <c r="Y74" s="1479"/>
      <c r="Z74" s="1479"/>
    </row>
    <row r="76" spans="1:26" s="1552" customFormat="1">
      <c r="A76" s="1551" t="s">
        <v>1207</v>
      </c>
      <c r="G76" s="1553"/>
      <c r="N76" s="1553"/>
      <c r="S76" s="1553"/>
    </row>
    <row r="77" spans="1:26" s="1552" customFormat="1">
      <c r="A77" s="1552" t="s">
        <v>1208</v>
      </c>
      <c r="G77" s="1553"/>
      <c r="N77" s="1553"/>
      <c r="S77" s="1553"/>
    </row>
    <row r="78" spans="1:26" s="1552" customFormat="1">
      <c r="A78" s="1552" t="s">
        <v>1209</v>
      </c>
      <c r="G78" s="1553"/>
      <c r="I78" s="1554"/>
      <c r="J78" s="1554"/>
      <c r="K78" s="1554"/>
      <c r="L78" s="1554"/>
      <c r="N78" s="1555"/>
      <c r="O78" s="1554"/>
      <c r="P78" s="1554"/>
      <c r="Q78" s="1554"/>
      <c r="S78" s="1555"/>
      <c r="T78" s="1554"/>
      <c r="U78" s="1554"/>
      <c r="V78" s="1554"/>
    </row>
    <row r="79" spans="1:26" s="1552" customFormat="1">
      <c r="A79" s="1552" t="s">
        <v>1210</v>
      </c>
      <c r="G79" s="1553"/>
      <c r="N79" s="1553"/>
      <c r="S79" s="1553"/>
    </row>
    <row r="86" spans="7:22" ht="13.5" thickBot="1"/>
    <row r="87" spans="7:22">
      <c r="G87" s="1474"/>
      <c r="S87" s="1556" t="s">
        <v>1211</v>
      </c>
      <c r="T87" s="1557" t="s">
        <v>1212</v>
      </c>
      <c r="U87" s="1557" t="s">
        <v>1213</v>
      </c>
      <c r="V87" s="1557" t="s">
        <v>1214</v>
      </c>
    </row>
    <row r="88" spans="7:22">
      <c r="G88" s="1474"/>
      <c r="N88" s="1478"/>
      <c r="O88" s="1479"/>
      <c r="P88" s="1479"/>
      <c r="Q88" s="1479"/>
      <c r="S88" s="1558">
        <v>2006</v>
      </c>
      <c r="T88" s="1559">
        <v>15.1</v>
      </c>
      <c r="U88" s="1559">
        <v>7.43</v>
      </c>
      <c r="V88" s="1559">
        <v>26.26</v>
      </c>
    </row>
    <row r="89" spans="7:22">
      <c r="G89" s="1474"/>
      <c r="N89" s="1478"/>
      <c r="O89" s="1479"/>
      <c r="P89" s="1479"/>
      <c r="Q89" s="1479"/>
      <c r="S89" s="1560">
        <v>2005</v>
      </c>
      <c r="T89" s="1561">
        <v>13.9</v>
      </c>
      <c r="U89" s="1561">
        <v>7.49</v>
      </c>
      <c r="V89" s="1561">
        <v>24.92</v>
      </c>
    </row>
    <row r="90" spans="7:22">
      <c r="G90" s="1474"/>
      <c r="N90" s="1478"/>
      <c r="O90" s="1479"/>
      <c r="P90" s="1479"/>
      <c r="Q90" s="1479"/>
      <c r="S90" s="1558">
        <v>2004</v>
      </c>
      <c r="T90" s="1559">
        <v>9.48</v>
      </c>
      <c r="U90" s="1559">
        <v>7.2</v>
      </c>
      <c r="V90" s="1559">
        <v>14.68</v>
      </c>
    </row>
    <row r="91" spans="7:22">
      <c r="G91" s="1474"/>
      <c r="N91" s="1478"/>
      <c r="O91" s="1479"/>
      <c r="P91" s="1479"/>
      <c r="Q91" s="1479"/>
      <c r="S91" s="1560">
        <v>2003</v>
      </c>
      <c r="T91" s="1561">
        <v>4.5</v>
      </c>
      <c r="U91" s="1561">
        <v>6.12</v>
      </c>
      <c r="V91" s="1561">
        <v>2.34</v>
      </c>
    </row>
    <row r="92" spans="7:22" ht="13.5" thickBot="1">
      <c r="G92" s="1474"/>
      <c r="N92" s="1478"/>
      <c r="O92" s="1479"/>
      <c r="P92" s="1479"/>
      <c r="Q92" s="1479"/>
      <c r="S92" s="1562">
        <v>2002</v>
      </c>
      <c r="T92" s="1563">
        <v>3.59</v>
      </c>
      <c r="U92" s="1563">
        <v>4.54</v>
      </c>
      <c r="V92" s="1563">
        <v>2.5499999999999998</v>
      </c>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row>
    <row r="102" spans="7:19">
      <c r="G102" s="1474"/>
      <c r="N102" s="1478"/>
      <c r="O102" s="1479"/>
      <c r="P102" s="1479"/>
      <c r="Q102" s="1479"/>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row r="107" spans="7:19">
      <c r="G107" s="1474"/>
      <c r="N107" s="1478"/>
      <c r="O107" s="1479"/>
      <c r="P107" s="1479"/>
      <c r="Q107" s="1479"/>
      <c r="S107" s="1474"/>
    </row>
    <row r="108" spans="7:19">
      <c r="G108" s="1474"/>
      <c r="N108" s="1478"/>
      <c r="O108" s="1479"/>
      <c r="P108" s="1479"/>
      <c r="Q108" s="1479"/>
      <c r="S108" s="1474"/>
    </row>
  </sheetData>
  <sheetProtection password="C66D"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1617</v>
      </c>
      <c r="B1" s="1962"/>
      <c r="C1" s="1962"/>
      <c r="D1" s="1962"/>
      <c r="E1" s="1962"/>
    </row>
    <row r="2" spans="1:5" ht="78" customHeight="1">
      <c r="A2" s="299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8"/>
      <c r="C2" s="2998"/>
      <c r="D2" s="2998"/>
      <c r="E2" s="2998"/>
    </row>
    <row r="3" spans="1:5" ht="18">
      <c r="A3" s="2999" t="str">
        <f>IF(项目基本情况!B9="房地产市场价值","估价结果一览表（市场价值不需“结果表-1”）","估价结果一览表")</f>
        <v>估价结果一览表</v>
      </c>
      <c r="B3" s="2999"/>
      <c r="C3" s="2999"/>
      <c r="D3" s="2999"/>
      <c r="E3" s="2999"/>
    </row>
    <row r="4" spans="1:5" ht="19.5" thickBot="1">
      <c r="A4" s="1964"/>
      <c r="B4" s="2997" t="s">
        <v>1626</v>
      </c>
      <c r="C4" s="2997"/>
      <c r="D4" s="2997"/>
      <c r="E4" s="1964"/>
    </row>
    <row r="5" spans="1:5" ht="16.5" thickTop="1">
      <c r="A5" s="1962"/>
      <c r="B5" s="2995" t="s">
        <v>1618</v>
      </c>
      <c r="C5" s="1965" t="s">
        <v>1619</v>
      </c>
      <c r="D5" s="1043">
        <f ca="1">结果表!H101</f>
        <v>125754</v>
      </c>
      <c r="E5" s="1962"/>
    </row>
    <row r="6" spans="1:5" ht="15.75">
      <c r="A6" s="1962"/>
      <c r="B6" s="2995"/>
      <c r="C6" s="1965" t="s">
        <v>1620</v>
      </c>
      <c r="D6" s="1043" t="str">
        <f ca="1">NUMBERSTRING(INT(D5*10000),2)&amp;"元整"</f>
        <v>壹拾贰亿伍仟柒佰伍拾肆万元整</v>
      </c>
      <c r="E6" s="1962"/>
    </row>
    <row r="7" spans="1:5" ht="15.75">
      <c r="A7" s="1962"/>
      <c r="B7" s="3000"/>
      <c r="C7" s="1966" t="s">
        <v>1621</v>
      </c>
      <c r="D7" s="1044">
        <f ca="1">结果表!H102</f>
        <v>9350</v>
      </c>
      <c r="E7" s="1962"/>
    </row>
    <row r="8" spans="1:5" ht="15.75">
      <c r="A8" s="1962"/>
      <c r="B8" s="3001" t="str">
        <f>结果表!E103</f>
        <v>2.估价师知悉的法定优先受偿款</v>
      </c>
      <c r="C8" s="1967" t="s">
        <v>1622</v>
      </c>
      <c r="D8" s="1044">
        <f>结果表!H103</f>
        <v>0</v>
      </c>
      <c r="E8" s="1962"/>
    </row>
    <row r="9" spans="1:5" ht="15.75">
      <c r="A9" s="1962"/>
      <c r="B9" s="3003"/>
      <c r="C9" s="1965" t="s">
        <v>1620</v>
      </c>
      <c r="D9" s="1043" t="str">
        <f>NUMBERSTRING(INT(D8*10000),2)&amp;"元整"</f>
        <v>零元整</v>
      </c>
      <c r="E9" s="1962"/>
    </row>
    <row r="10" spans="1:5" ht="15">
      <c r="A10" s="1962"/>
      <c r="B10" s="1968" t="s">
        <v>1625</v>
      </c>
      <c r="C10" s="1969" t="s">
        <v>1623</v>
      </c>
      <c r="D10" s="1045">
        <f>结果表!H104</f>
        <v>0</v>
      </c>
      <c r="E10" s="1962"/>
    </row>
    <row r="11" spans="1:5" ht="15">
      <c r="A11" s="1962"/>
      <c r="B11" s="1968" t="s">
        <v>1627</v>
      </c>
      <c r="C11" s="1969" t="s">
        <v>1628</v>
      </c>
      <c r="D11" s="1045">
        <f>结果表!H105</f>
        <v>0</v>
      </c>
      <c r="E11" s="1962"/>
    </row>
    <row r="12" spans="1:5" ht="15">
      <c r="A12" s="1962"/>
      <c r="B12" s="1968" t="s">
        <v>1629</v>
      </c>
      <c r="C12" s="1969" t="s">
        <v>1628</v>
      </c>
      <c r="D12" s="1045">
        <f>结果表!H106</f>
        <v>0</v>
      </c>
      <c r="E12" s="1962"/>
    </row>
    <row r="13" spans="1:5" ht="15.75">
      <c r="A13" s="1962"/>
      <c r="B13" s="2994" t="str">
        <f>结果表!E107</f>
        <v>3.房地产抵押价值</v>
      </c>
      <c r="C13" s="1970" t="s">
        <v>1619</v>
      </c>
      <c r="D13" s="1046">
        <f ca="1">结果表!H107</f>
        <v>125754</v>
      </c>
      <c r="E13" s="1962"/>
    </row>
    <row r="14" spans="1:5" ht="15.75">
      <c r="A14" s="1962"/>
      <c r="B14" s="2995"/>
      <c r="C14" s="1965" t="s">
        <v>1620</v>
      </c>
      <c r="D14" s="1043" t="str">
        <f ca="1">NUMBERSTRING(INT(D13*10000),2)&amp;"元整"</f>
        <v>壹拾贰亿伍仟柒佰伍拾肆万元整</v>
      </c>
      <c r="E14" s="1962"/>
    </row>
    <row r="15" spans="1:5" ht="15">
      <c r="A15" s="1962"/>
      <c r="B15" s="3000"/>
      <c r="C15" s="1966" t="s">
        <v>1630</v>
      </c>
      <c r="D15" s="1055">
        <f ca="1">结果表!H108</f>
        <v>9350</v>
      </c>
      <c r="E15" s="1962"/>
    </row>
    <row r="16" spans="1:5" ht="15">
      <c r="A16" s="1962"/>
      <c r="B16" s="3001" t="str">
        <f>结果表!E109</f>
        <v>——</v>
      </c>
      <c r="C16" s="1970" t="s">
        <v>1631</v>
      </c>
      <c r="D16" s="1971" t="str">
        <f>结果表!H109</f>
        <v>——</v>
      </c>
      <c r="E16" s="1962"/>
    </row>
    <row r="17" spans="1:5" ht="15.75">
      <c r="A17" s="1962"/>
      <c r="B17" s="3002"/>
      <c r="C17" s="1965" t="s">
        <v>1632</v>
      </c>
      <c r="D17" s="1043" t="e">
        <f>NUMBERSTRING(INT(D16*10000),2)&amp;"元整"</f>
        <v>#VALUE!</v>
      </c>
      <c r="E17" s="1962"/>
    </row>
    <row r="18" spans="1:5" ht="15">
      <c r="A18" s="1962"/>
      <c r="B18" s="3003"/>
      <c r="C18" s="1966" t="s">
        <v>1621</v>
      </c>
      <c r="D18" s="1055" t="str">
        <f>结果表!H110</f>
        <v>——</v>
      </c>
      <c r="E18" s="1962"/>
    </row>
    <row r="19" spans="1:5" ht="15.75">
      <c r="A19" s="1962"/>
      <c r="B19" s="2994" t="str">
        <f>结果表!E111</f>
        <v>——</v>
      </c>
      <c r="C19" s="1970" t="s">
        <v>1619</v>
      </c>
      <c r="D19" s="1044" t="str">
        <f>结果表!H111</f>
        <v>——</v>
      </c>
      <c r="E19" s="1962"/>
    </row>
    <row r="20" spans="1:5" ht="15.75">
      <c r="A20" s="1962"/>
      <c r="B20" s="2995"/>
      <c r="C20" s="1965" t="s">
        <v>1632</v>
      </c>
      <c r="D20" s="1043" t="e">
        <f>NUMBERSTRING(INT(D19*10000),2)&amp;"元整"</f>
        <v>#VALUE!</v>
      </c>
      <c r="E20" s="1962"/>
    </row>
    <row r="21" spans="1:5" ht="15.75" thickBot="1">
      <c r="A21" s="1962"/>
      <c r="B21" s="2996"/>
      <c r="C21" s="1972" t="s">
        <v>1630</v>
      </c>
      <c r="D21" s="1056" t="str">
        <f>结果表!H112</f>
        <v>——</v>
      </c>
      <c r="E21" s="1962"/>
    </row>
    <row r="22" spans="1:5" ht="15" thickTop="1">
      <c r="A22" s="1962"/>
      <c r="B22" s="1973" t="s">
        <v>1633</v>
      </c>
      <c r="C22" s="1962"/>
      <c r="D22" s="1962"/>
      <c r="E22" s="1962"/>
    </row>
    <row r="23" spans="1:5">
      <c r="A23" s="1962"/>
      <c r="B23" s="1962"/>
      <c r="C23" s="1962"/>
      <c r="D23" s="1962"/>
      <c r="E23" s="1962"/>
    </row>
    <row r="24" spans="1:5" ht="18.75">
      <c r="A24" s="1974"/>
      <c r="B24" s="1975" t="s">
        <v>1624</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AN6" sqref="AN6"/>
      <selection pane="bottomLeft" activeCell="AN6" sqref="AN6"/>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2996</v>
      </c>
      <c r="C1" s="3316" t="s">
        <v>2997</v>
      </c>
      <c r="D1" s="3317"/>
      <c r="E1" s="3317"/>
      <c r="F1" s="3317"/>
      <c r="G1" s="3317"/>
      <c r="H1" s="3317"/>
      <c r="I1" s="3317"/>
      <c r="J1" s="3317"/>
      <c r="K1" s="3317"/>
      <c r="L1" s="3317"/>
      <c r="M1" s="3317"/>
      <c r="N1" s="3317"/>
      <c r="O1" s="3317"/>
      <c r="P1" s="3317"/>
      <c r="Q1" s="3317"/>
      <c r="R1" s="3317"/>
      <c r="S1" s="3318"/>
      <c r="T1" s="1207" t="s">
        <v>2998</v>
      </c>
    </row>
    <row r="2" spans="1:45" s="707" customFormat="1">
      <c r="A2" s="1208"/>
      <c r="B2" s="703" t="s">
        <v>2999</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3000</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3001</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3002</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3003</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3004</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3005</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8" t="s">
        <v>3006</v>
      </c>
      <c r="B17" s="2919" t="s">
        <v>3007</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0" t="s">
        <v>3008</v>
      </c>
      <c r="E19" s="1795"/>
      <c r="F19" s="1795"/>
      <c r="G19" s="1795"/>
      <c r="H19" s="1283"/>
      <c r="I19" s="168"/>
      <c r="J19" s="168"/>
      <c r="K19" s="168"/>
      <c r="L19" s="168"/>
      <c r="M19" s="168"/>
      <c r="N19" s="168"/>
      <c r="O19" s="168"/>
      <c r="P19" s="168"/>
      <c r="Q19" s="168"/>
      <c r="R19" s="788"/>
      <c r="S19" s="138"/>
    </row>
    <row r="20" spans="1:45" ht="16.5" thickBot="1">
      <c r="A20" s="715" t="s">
        <v>3009</v>
      </c>
      <c r="B20" s="338" t="e">
        <f ca="1">IF(D20="——",S22,S22-F20)</f>
        <v>#REF!</v>
      </c>
      <c r="C20" s="168"/>
      <c r="D20" s="2921" t="s">
        <v>3010</v>
      </c>
      <c r="E20" s="1796"/>
      <c r="F20" s="1207" t="e">
        <f ca="1">SUMIF(INDIRECT("'"&amp;H20&amp;"'"&amp;"!A:A"),"承租人权益价值",INDIRECT("'"&amp;H20&amp;"'"&amp;"!c:c"))</f>
        <v>#REF!</v>
      </c>
      <c r="G20" s="1207" t="s">
        <v>3011</v>
      </c>
      <c r="H20" s="2922"/>
      <c r="I20" s="168"/>
      <c r="J20" s="168"/>
      <c r="K20" s="168"/>
      <c r="L20" s="168"/>
      <c r="M20" s="168"/>
      <c r="N20" s="168"/>
      <c r="O20" s="168"/>
      <c r="P20" s="168"/>
      <c r="Q20" s="168"/>
      <c r="R20" s="788"/>
      <c r="S20" s="138"/>
    </row>
    <row r="21" spans="1:45" ht="15.75">
      <c r="A21" s="715" t="s">
        <v>3012</v>
      </c>
      <c r="B21" s="338">
        <f>R22</f>
        <v>10000</v>
      </c>
      <c r="C21" s="168"/>
      <c r="D21" s="168"/>
      <c r="E21" s="168"/>
      <c r="F21" s="168"/>
      <c r="G21" s="168"/>
      <c r="H21" s="168"/>
      <c r="I21" s="168"/>
      <c r="J21" s="168"/>
      <c r="K21" s="168"/>
      <c r="L21" s="168"/>
      <c r="M21" s="168"/>
      <c r="N21" s="168"/>
      <c r="O21" s="168"/>
      <c r="P21" s="168"/>
      <c r="Q21" s="168"/>
      <c r="R21" s="788"/>
      <c r="S21" s="138"/>
    </row>
    <row r="22" spans="1:45">
      <c r="A22" s="361" t="s">
        <v>3013</v>
      </c>
      <c r="B22" s="24">
        <f>SUM(B24:B10000)</f>
        <v>100</v>
      </c>
      <c r="C22" s="3174" t="s">
        <v>33</v>
      </c>
      <c r="D22" s="3175"/>
      <c r="E22" s="3175"/>
      <c r="F22" s="3175"/>
      <c r="G22" s="3175"/>
      <c r="H22" s="3175"/>
      <c r="I22" s="3175"/>
      <c r="J22" s="3175"/>
      <c r="K22" s="3175"/>
      <c r="L22" s="3175"/>
      <c r="M22" s="3175"/>
      <c r="N22" s="3175"/>
      <c r="O22" s="3175"/>
      <c r="P22" s="3175"/>
      <c r="Q22" s="3315"/>
      <c r="R22" s="716">
        <f>ROUND(S22*10000/B22,0)</f>
        <v>10000</v>
      </c>
      <c r="S22" s="24">
        <f>SUM(S24:S10000)</f>
        <v>100</v>
      </c>
    </row>
    <row r="23" spans="1:45" s="12" customFormat="1" ht="24">
      <c r="A23" s="11" t="s">
        <v>3014</v>
      </c>
      <c r="B23" s="11" t="s">
        <v>3015</v>
      </c>
      <c r="C23" s="11" t="s">
        <v>3016</v>
      </c>
      <c r="D23" s="11" t="str">
        <f>B5</f>
        <v>修正项2</v>
      </c>
      <c r="E23" s="11" t="s">
        <v>3016</v>
      </c>
      <c r="F23" s="11" t="str">
        <f>B7</f>
        <v>修正项3</v>
      </c>
      <c r="G23" s="11" t="s">
        <v>3016</v>
      </c>
      <c r="H23" s="11" t="str">
        <f>B9</f>
        <v>修正项4</v>
      </c>
      <c r="I23" s="11" t="s">
        <v>3016</v>
      </c>
      <c r="J23" s="11" t="str">
        <f>B11</f>
        <v>修正项5</v>
      </c>
      <c r="K23" s="11" t="s">
        <v>3016</v>
      </c>
      <c r="L23" s="11" t="str">
        <f>B13</f>
        <v>修正项6</v>
      </c>
      <c r="M23" s="11" t="s">
        <v>3016</v>
      </c>
      <c r="N23" s="11" t="str">
        <f>B15</f>
        <v>修正项7</v>
      </c>
      <c r="O23" s="11" t="s">
        <v>3016</v>
      </c>
      <c r="P23" s="11" t="str">
        <f>B17</f>
        <v>楼层</v>
      </c>
      <c r="Q23" s="11" t="s">
        <v>3016</v>
      </c>
      <c r="R23" s="717" t="s">
        <v>3017</v>
      </c>
      <c r="S23" s="11" t="s">
        <v>3018</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3019</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117374</v>
      </c>
      <c r="C2" s="2" t="s">
        <v>133</v>
      </c>
      <c r="D2" s="243"/>
      <c r="E2" s="243"/>
      <c r="F2" s="243"/>
      <c r="G2" s="243"/>
    </row>
    <row r="3" spans="1:7" s="244" customFormat="1" ht="18" customHeight="1" thickBot="1">
      <c r="A3" s="247" t="s">
        <v>85</v>
      </c>
      <c r="B3" s="248">
        <f ca="1">ROUND(B2*10000/'数据-汇总表'!E3,0)</f>
        <v>8727</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1145</v>
      </c>
    </row>
    <row r="9" spans="1:7" s="258" customFormat="1" ht="13.5" customHeight="1">
      <c r="A9" s="953" t="s">
        <v>800</v>
      </c>
      <c r="B9" s="268" t="s">
        <v>93</v>
      </c>
      <c r="C9" s="269">
        <f>ROUND(D9*E9/10000,0)</f>
        <v>0</v>
      </c>
      <c r="D9" s="1035">
        <f>'数据-汇总表'!E5</f>
        <v>0</v>
      </c>
      <c r="E9" s="269">
        <f>'数据-取费表'!B27</f>
        <v>0</v>
      </c>
      <c r="F9" s="265"/>
      <c r="G9" s="270"/>
    </row>
    <row r="10" spans="1:7" s="258" customFormat="1" ht="13.5" customHeight="1">
      <c r="A10" s="953" t="s">
        <v>801</v>
      </c>
      <c r="B10" s="268" t="s">
        <v>94</v>
      </c>
      <c r="C10" s="269">
        <f>ROUND(D10*E10/10000,0)</f>
        <v>2690</v>
      </c>
      <c r="D10" s="1035">
        <f>'数据-汇总表'!E6</f>
        <v>134490.28</v>
      </c>
      <c r="E10" s="269">
        <f>'数据-取费表'!B28</f>
        <v>200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1052</v>
      </c>
      <c r="B19" s="254" t="s">
        <v>111</v>
      </c>
      <c r="C19" s="255">
        <f>IF(G19="已包含在土地取得成本中","0",ROUND(D19*E19/10000,0))</f>
        <v>2690</v>
      </c>
      <c r="D19" s="1039">
        <f>'数据-汇总表'!E3</f>
        <v>134490.28</v>
      </c>
      <c r="E19" s="255">
        <f>'数据-取费表'!B31</f>
        <v>200</v>
      </c>
      <c r="F19" s="275"/>
      <c r="G19" s="1" t="s">
        <v>1071</v>
      </c>
    </row>
    <row r="20" spans="1:7" s="258" customFormat="1" ht="13.5" customHeight="1">
      <c r="A20" s="951" t="s">
        <v>1054</v>
      </c>
      <c r="B20" s="254" t="s">
        <v>104</v>
      </c>
      <c r="C20" s="276">
        <f>ROUND((C5+C19)*F20,0)</f>
        <v>466</v>
      </c>
      <c r="D20" s="276"/>
      <c r="E20" s="276"/>
      <c r="F20" s="277">
        <f>'数据-取费表'!B37</f>
        <v>0.02</v>
      </c>
      <c r="G20" s="1292" t="s">
        <v>1065</v>
      </c>
    </row>
    <row r="21" spans="1:7" s="258" customFormat="1" ht="13.5" customHeight="1">
      <c r="A21" s="951" t="s">
        <v>1056</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2288</v>
      </c>
      <c r="D22" s="279">
        <f ca="1">C26</f>
        <v>1E-3</v>
      </c>
      <c r="E22" s="280" t="s">
        <v>126</v>
      </c>
      <c r="F22" s="281">
        <f ca="1">'数据-取费表'!B40</f>
        <v>4.7500000000000001E-2</v>
      </c>
      <c r="G22" s="1292" t="str">
        <f>IF('数据-取费表'!B22&lt;=1,"单利计息","复利计息")</f>
        <v>复利计息</v>
      </c>
    </row>
    <row r="23" spans="1:7" s="258" customFormat="1" ht="13.5" customHeight="1">
      <c r="A23" s="954" t="s">
        <v>794</v>
      </c>
      <c r="B23" s="259" t="s">
        <v>1058</v>
      </c>
      <c r="C23" s="1358">
        <f ca="1">ROUND(IF('数据-取费表'!B22&lt;=1,C5*F22*'数据-取费表'!B23,C5*(POWER((1+F22),'数据-取费表'!B23)-1)),0)</f>
        <v>2004</v>
      </c>
      <c r="D23" s="282"/>
      <c r="E23" s="282"/>
      <c r="F23" s="283"/>
      <c r="G23" s="284" t="s">
        <v>108</v>
      </c>
    </row>
    <row r="24" spans="1:7" s="258" customFormat="1" ht="13.5" customHeight="1">
      <c r="A24" s="954" t="s">
        <v>792</v>
      </c>
      <c r="B24" s="259" t="s">
        <v>1053</v>
      </c>
      <c r="C24" s="1358">
        <f ca="1">ROUND(IF('数据-取费表'!B22&lt;=1,C19*F22*('数据-取费表'!B19/2+'数据-取费表'!B21),C19*(POWER((1+F22),('数据-取费表'!B19/2+'数据-取费表'!B21))-1)),0)</f>
        <v>262</v>
      </c>
      <c r="D24" s="282"/>
      <c r="E24" s="282"/>
      <c r="F24" s="283"/>
      <c r="G24" s="284" t="s">
        <v>109</v>
      </c>
    </row>
    <row r="25" spans="1:7" s="258" customFormat="1" ht="24">
      <c r="A25" s="954" t="s">
        <v>793</v>
      </c>
      <c r="B25" s="259" t="s">
        <v>1055</v>
      </c>
      <c r="C25" s="1358">
        <f ca="1">ROUND(IF('数据-取费表'!B22&lt;=1,C20*F22*'数据-取费表'!B23/2,C20*(POWER((1+F22),'数据-取费表'!B23/2)-1)),0)</f>
        <v>22</v>
      </c>
      <c r="D25" s="282"/>
      <c r="E25" s="285"/>
      <c r="F25" s="283"/>
      <c r="G25" s="286" t="s">
        <v>110</v>
      </c>
    </row>
    <row r="26" spans="1:7" s="258" customFormat="1">
      <c r="A26" s="954" t="s">
        <v>795</v>
      </c>
      <c r="B26" s="259" t="s">
        <v>1057</v>
      </c>
      <c r="C26" s="282">
        <f ca="1">ROUND(IF('数据-取费表'!B22&lt;=1,F21*F22*'数据-取费表'!B23/2,F21*(POWER((1+F22),'数据-取费表'!B23/2)-1)),4)</f>
        <v>1E-3</v>
      </c>
      <c r="D26" s="282"/>
      <c r="E26" s="285"/>
      <c r="F26" s="283"/>
      <c r="G26" s="287"/>
    </row>
    <row r="27" spans="1:7" s="258" customFormat="1" ht="24.75">
      <c r="A27" s="951" t="s">
        <v>787</v>
      </c>
      <c r="B27" s="288" t="s">
        <v>112</v>
      </c>
      <c r="C27" s="289">
        <f>C28</f>
        <v>4278</v>
      </c>
      <c r="D27" s="279">
        <f>C29</f>
        <v>3.5999999999999999E-3</v>
      </c>
      <c r="E27" s="280" t="s">
        <v>126</v>
      </c>
      <c r="F27" s="290">
        <f>'数据-取费表'!Q16</f>
        <v>0.18</v>
      </c>
      <c r="G27" s="291" t="s">
        <v>1066</v>
      </c>
    </row>
    <row r="28" spans="1:7" s="258" customFormat="1" ht="13.5" customHeight="1">
      <c r="A28" s="954" t="s">
        <v>794</v>
      </c>
      <c r="B28" s="292" t="s">
        <v>1059</v>
      </c>
      <c r="C28" s="293">
        <f>ROUND((C5+C19+C20)*F27*'数据-取费表'!B21/'数据-取费表'!B20,0)</f>
        <v>4278</v>
      </c>
      <c r="D28" s="279"/>
      <c r="E28" s="280"/>
      <c r="F28" s="290"/>
      <c r="G28" s="291"/>
    </row>
    <row r="29" spans="1:7" s="258" customFormat="1" ht="13.5" customHeight="1">
      <c r="A29" s="954" t="s">
        <v>792</v>
      </c>
      <c r="B29" s="292" t="s">
        <v>1060</v>
      </c>
      <c r="C29" s="282">
        <f>ROUND(C21*F27*'数据-取费表'!B21/'数据-取费表'!B20,4)</f>
        <v>3.5999999999999999E-3</v>
      </c>
      <c r="D29" s="279"/>
      <c r="E29" s="280"/>
      <c r="F29" s="290"/>
      <c r="G29" s="291"/>
    </row>
    <row r="30" spans="1:7" s="258" customFormat="1" ht="13.5" customHeight="1">
      <c r="A30" s="951"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32862</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73125</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66763</v>
      </c>
      <c r="D34" s="261"/>
      <c r="E34" s="264"/>
      <c r="F34" s="301">
        <f>IF('数据-取费表'!B24=0,1,'数据-取费表'!N16)</f>
        <v>1</v>
      </c>
      <c r="G34" s="263" t="s">
        <v>116</v>
      </c>
    </row>
    <row r="35" spans="1:7" ht="13.5" customHeight="1">
      <c r="A35" s="954" t="s">
        <v>796</v>
      </c>
      <c r="B35" s="259" t="s">
        <v>60</v>
      </c>
      <c r="C35" s="264">
        <f>ROUND(C34*F35,0)</f>
        <v>2671</v>
      </c>
      <c r="D35" s="264"/>
      <c r="E35" s="264"/>
      <c r="F35" s="303">
        <f>'数据-取费表'!B33</f>
        <v>0.04</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2690</v>
      </c>
      <c r="D37" s="261">
        <f>'数据-汇总表'!E3</f>
        <v>134490.28</v>
      </c>
      <c r="E37" s="293">
        <f>'数据-取费表'!B35</f>
        <v>200</v>
      </c>
      <c r="F37" s="303"/>
      <c r="G37" s="305" t="s">
        <v>119</v>
      </c>
    </row>
    <row r="38" spans="1:7" ht="13.5" customHeight="1">
      <c r="A38" s="954" t="s">
        <v>799</v>
      </c>
      <c r="B38" s="259" t="s">
        <v>63</v>
      </c>
      <c r="C38" s="264">
        <f>ROUND(C34*F38,0)</f>
        <v>1001</v>
      </c>
      <c r="D38" s="264"/>
      <c r="E38" s="264"/>
      <c r="F38" s="303">
        <f>'数据-取费表'!B36</f>
        <v>1.4999999999999999E-2</v>
      </c>
      <c r="G38" s="263" t="s">
        <v>117</v>
      </c>
    </row>
    <row r="39" spans="1:7" s="258" customFormat="1" ht="13.5" customHeight="1">
      <c r="A39" s="951" t="s">
        <v>783</v>
      </c>
      <c r="B39" s="254" t="s">
        <v>104</v>
      </c>
      <c r="C39" s="276">
        <f>ROUND(C33*F20,0)</f>
        <v>1463</v>
      </c>
      <c r="D39" s="276"/>
      <c r="E39" s="276"/>
      <c r="F39" s="277"/>
      <c r="G39" s="1292" t="s">
        <v>1068</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3542</v>
      </c>
      <c r="D41" s="279">
        <f ca="1">C44</f>
        <v>1E-3</v>
      </c>
      <c r="E41" s="280" t="s">
        <v>129</v>
      </c>
      <c r="F41" s="281"/>
      <c r="G41" s="1292" t="str">
        <f>IF('数据-取费表'!B22&lt;=1,"单利计息","复利计息")</f>
        <v>复利计息</v>
      </c>
    </row>
    <row r="42" spans="1:7" ht="13.5" customHeight="1">
      <c r="A42" s="954" t="s">
        <v>794</v>
      </c>
      <c r="B42" s="259" t="s">
        <v>1058</v>
      </c>
      <c r="C42" s="282">
        <f ca="1">ROUND(IF('数据-取费表'!B22&lt;=1,C33*F22*'数据-取费表'!B21/2,C33*(POWER((1+F22),'数据-取费表'!B21/2)-1)),0)</f>
        <v>3473</v>
      </c>
      <c r="D42" s="282"/>
      <c r="E42" s="282"/>
      <c r="F42" s="283"/>
      <c r="G42" s="3179" t="s">
        <v>121</v>
      </c>
    </row>
    <row r="43" spans="1:7" ht="13.5" customHeight="1">
      <c r="A43" s="954" t="s">
        <v>792</v>
      </c>
      <c r="B43" s="259" t="s">
        <v>1061</v>
      </c>
      <c r="C43" s="282">
        <f ca="1">ROUND(IF('数据-取费表'!B22&lt;=1,C39*F22*'数据-取费表'!B21/2,C39*(POWER((1+F22),'数据-取费表'!B21/2)-1)),0)</f>
        <v>69</v>
      </c>
      <c r="D43" s="282"/>
      <c r="E43" s="282"/>
      <c r="F43" s="283"/>
      <c r="G43" s="3180"/>
    </row>
    <row r="44" spans="1:7" ht="13.5" customHeight="1">
      <c r="A44" s="954" t="s">
        <v>793</v>
      </c>
      <c r="B44" s="259" t="s">
        <v>1063</v>
      </c>
      <c r="C44" s="282">
        <f ca="1">ROUND(IF('数据-取费表'!B22&lt;=1,C40*F22*'数据-取费表'!B21/2,C40*(POWER((1+F22),'数据-取费表'!B21/2)-1)),4)</f>
        <v>1E-3</v>
      </c>
      <c r="D44" s="282"/>
      <c r="E44" s="282"/>
      <c r="F44" s="283"/>
      <c r="G44" s="3181"/>
    </row>
    <row r="45" spans="1:7" s="258" customFormat="1" ht="13.5" customHeight="1">
      <c r="A45" s="951" t="s">
        <v>786</v>
      </c>
      <c r="B45" s="288" t="s">
        <v>112</v>
      </c>
      <c r="C45" s="289">
        <f>C46</f>
        <v>13426</v>
      </c>
      <c r="D45" s="279">
        <f>C47</f>
        <v>3.5999999999999999E-3</v>
      </c>
      <c r="E45" s="280" t="s">
        <v>129</v>
      </c>
      <c r="F45" s="290"/>
      <c r="G45" s="291" t="s">
        <v>1069</v>
      </c>
    </row>
    <row r="46" spans="1:7" s="258" customFormat="1" ht="13.5" customHeight="1">
      <c r="A46" s="954" t="s">
        <v>794</v>
      </c>
      <c r="B46" s="292" t="s">
        <v>1062</v>
      </c>
      <c r="C46" s="293">
        <f>ROUND((C33+C39)*F27,0)</f>
        <v>13426</v>
      </c>
      <c r="D46" s="307"/>
      <c r="E46" s="280"/>
      <c r="F46" s="290"/>
      <c r="G46" s="291"/>
    </row>
    <row r="47" spans="1:7" s="258" customFormat="1" ht="13.5" customHeight="1">
      <c r="A47" s="954" t="s">
        <v>792</v>
      </c>
      <c r="B47" s="292" t="s">
        <v>1064</v>
      </c>
      <c r="C47" s="282">
        <f>ROUND(C40*F27,4)</f>
        <v>3.5999999999999999E-3</v>
      </c>
      <c r="D47" s="307"/>
      <c r="E47" s="280"/>
      <c r="F47" s="290"/>
      <c r="G47" s="291"/>
    </row>
    <row r="48" spans="1:7" s="258" customFormat="1" ht="13.5" customHeight="1">
      <c r="A48" s="951" t="s">
        <v>787</v>
      </c>
      <c r="B48" s="254" t="s">
        <v>122</v>
      </c>
      <c r="C48" s="306">
        <f>F30</f>
        <v>5.5000000000000007E-2</v>
      </c>
      <c r="D48" s="280" t="s">
        <v>130</v>
      </c>
      <c r="E48" s="276"/>
      <c r="F48" s="281"/>
      <c r="G48" s="278" t="s">
        <v>123</v>
      </c>
    </row>
    <row r="49" spans="1:7" ht="16.5" customHeight="1">
      <c r="A49" s="951" t="s">
        <v>788</v>
      </c>
      <c r="B49" s="254" t="s">
        <v>131</v>
      </c>
      <c r="C49" s="276">
        <f ca="1">ROUND((C33+C39+C41+C45)/(1-C40-D41-D45-C48/(1+'数据-取费表'!B42)),0)</f>
        <v>99192</v>
      </c>
      <c r="D49" s="276"/>
      <c r="E49" s="276"/>
      <c r="F49" s="308"/>
      <c r="G49" s="278" t="s">
        <v>1070</v>
      </c>
    </row>
    <row r="50" spans="1:7" s="302" customFormat="1" ht="24">
      <c r="A50" s="951" t="s">
        <v>789</v>
      </c>
      <c r="B50" s="254" t="s">
        <v>124</v>
      </c>
      <c r="C50" s="276"/>
      <c r="D50" s="276"/>
      <c r="E50" s="276"/>
      <c r="F50" s="308">
        <f>IF('数据-取费表'!B24=0,'数据-取费表'!N16,1)</f>
        <v>0.85199999999999998</v>
      </c>
      <c r="G50" s="291" t="s">
        <v>125</v>
      </c>
    </row>
    <row r="51" spans="1:7" ht="16.5" customHeight="1">
      <c r="A51" s="951" t="s">
        <v>790</v>
      </c>
      <c r="B51" s="254" t="s">
        <v>132</v>
      </c>
      <c r="C51" s="276">
        <f ca="1">ROUND(C49*F50,0)</f>
        <v>84512</v>
      </c>
      <c r="D51" s="276"/>
      <c r="E51" s="276"/>
      <c r="F51" s="308"/>
      <c r="G51" s="278" t="s">
        <v>64</v>
      </c>
    </row>
    <row r="52" spans="1:7" s="252" customFormat="1" ht="16.5" thickBot="1">
      <c r="A52" s="309" t="s">
        <v>65</v>
      </c>
      <c r="B52" s="310"/>
      <c r="C52" s="311">
        <f ca="1">C31+C51</f>
        <v>117374</v>
      </c>
      <c r="D52" s="310"/>
      <c r="E52" s="310"/>
      <c r="F52" s="310"/>
      <c r="G52" s="312"/>
    </row>
    <row r="55" spans="1:7" ht="15">
      <c r="B55" s="314" t="s">
        <v>66</v>
      </c>
      <c r="C55" s="315"/>
    </row>
    <row r="56" spans="1:7">
      <c r="B56" s="317" t="s">
        <v>67</v>
      </c>
      <c r="C56" s="318">
        <f ca="1">ROUND(C51/C52,3)</f>
        <v>0.72</v>
      </c>
    </row>
    <row r="57" spans="1:7">
      <c r="B57" s="317" t="s">
        <v>68</v>
      </c>
      <c r="C57" s="319">
        <f ca="1">1-C56</f>
        <v>0.28000000000000003</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319" t="s">
        <v>156</v>
      </c>
      <c r="B1" s="3319"/>
      <c r="C1" s="3319"/>
      <c r="D1" s="3319"/>
      <c r="E1" s="3319"/>
      <c r="F1" s="3319"/>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20" t="s">
        <v>169</v>
      </c>
      <c r="B2" s="3320"/>
      <c r="C2" s="3320"/>
      <c r="D2" s="3320"/>
      <c r="E2" s="3320"/>
      <c r="F2" s="3320"/>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21"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22"/>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19" t="s">
        <v>868</v>
      </c>
      <c r="B1" s="3319"/>
    </row>
    <row r="2" spans="1:6" ht="14.25" thickBot="1">
      <c r="A2" s="1060"/>
      <c r="B2" s="1060"/>
    </row>
    <row r="3" spans="1:6" ht="14.25" thickBot="1">
      <c r="A3" s="1060"/>
      <c r="B3" s="1060"/>
      <c r="C3" s="1064" t="s">
        <v>871</v>
      </c>
      <c r="D3" s="1064" t="s">
        <v>872</v>
      </c>
      <c r="E3" s="1064" t="s">
        <v>873</v>
      </c>
      <c r="F3" s="1064" t="s">
        <v>874</v>
      </c>
    </row>
    <row r="4" spans="1:6" ht="14.25" thickBot="1">
      <c r="A4" s="1062" t="s">
        <v>869</v>
      </c>
      <c r="B4" s="1063" t="s">
        <v>870</v>
      </c>
      <c r="C4" s="1064"/>
      <c r="D4" s="1064"/>
      <c r="E4" s="1064"/>
      <c r="F4" s="1064"/>
    </row>
    <row r="5" spans="1:6" ht="14.25" thickBot="1">
      <c r="A5" s="840" t="s">
        <v>875</v>
      </c>
      <c r="B5" s="841" t="s">
        <v>876</v>
      </c>
      <c r="C5" s="1065">
        <v>8.8999999999999996E-2</v>
      </c>
      <c r="D5" s="1065">
        <v>7.3999999999999996E-2</v>
      </c>
      <c r="E5" s="1065">
        <v>7.4999999999999997E-2</v>
      </c>
      <c r="F5" s="1066">
        <v>0.1</v>
      </c>
    </row>
    <row r="6" spans="1:6" ht="14.25" thickBot="1">
      <c r="A6" s="840" t="s">
        <v>212</v>
      </c>
      <c r="B6" s="834" t="s">
        <v>877</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878</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879</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880</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881</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882</v>
      </c>
      <c r="C72" s="1080"/>
      <c r="D72" s="1080"/>
      <c r="E72" s="1080"/>
      <c r="F72" s="1068">
        <v>0.05</v>
      </c>
    </row>
    <row r="73" spans="1:6" ht="14.25" thickBot="1">
      <c r="A73" s="840" t="s">
        <v>137</v>
      </c>
      <c r="B73" s="834" t="s">
        <v>883</v>
      </c>
      <c r="C73" s="1080"/>
      <c r="D73" s="1080"/>
      <c r="E73" s="1080"/>
      <c r="F73" s="1068">
        <v>0.05</v>
      </c>
    </row>
    <row r="74" spans="1:6" ht="14.25" thickBot="1">
      <c r="A74" s="840" t="s">
        <v>137</v>
      </c>
      <c r="B74" s="834" t="s">
        <v>884</v>
      </c>
      <c r="C74" s="1080"/>
      <c r="D74" s="1080"/>
      <c r="E74" s="1080"/>
      <c r="F74" s="1068">
        <v>0.05</v>
      </c>
    </row>
    <row r="75" spans="1:6" ht="14.25" thickBot="1">
      <c r="A75" s="850" t="s">
        <v>137</v>
      </c>
      <c r="B75" s="846" t="s">
        <v>885</v>
      </c>
      <c r="C75" s="1077"/>
      <c r="D75" s="1077"/>
      <c r="E75" s="1077"/>
      <c r="F75" s="1070">
        <v>0.05</v>
      </c>
    </row>
    <row r="76" spans="1:6" ht="14.25" thickBot="1">
      <c r="A76" s="840" t="s">
        <v>523</v>
      </c>
      <c r="B76" s="841" t="s">
        <v>886</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887</v>
      </c>
      <c r="C102" s="1080"/>
      <c r="D102" s="1080"/>
      <c r="E102" s="1080"/>
      <c r="F102" s="1068">
        <v>0.05</v>
      </c>
    </row>
    <row r="103" spans="1:6" ht="24.75" thickBot="1">
      <c r="A103" s="840" t="s">
        <v>523</v>
      </c>
      <c r="B103" s="834" t="s">
        <v>888</v>
      </c>
      <c r="C103" s="1080"/>
      <c r="D103" s="1080"/>
      <c r="E103" s="1080"/>
      <c r="F103" s="1068">
        <v>0.05</v>
      </c>
    </row>
    <row r="104" spans="1:6" ht="14.25" thickBot="1">
      <c r="A104" s="840" t="s">
        <v>523</v>
      </c>
      <c r="B104" s="834" t="s">
        <v>889</v>
      </c>
      <c r="C104" s="1080"/>
      <c r="D104" s="1080"/>
      <c r="E104" s="1080"/>
      <c r="F104" s="1068">
        <v>0.05</v>
      </c>
    </row>
    <row r="105" spans="1:6" ht="14.25" thickBot="1">
      <c r="A105" s="840" t="s">
        <v>523</v>
      </c>
      <c r="B105" s="834" t="s">
        <v>890</v>
      </c>
      <c r="C105" s="1080"/>
      <c r="D105" s="1080"/>
      <c r="E105" s="1080"/>
      <c r="F105" s="1068">
        <v>0.05</v>
      </c>
    </row>
    <row r="106" spans="1:6" ht="14.25" thickBot="1">
      <c r="A106" s="840" t="s">
        <v>523</v>
      </c>
      <c r="B106" s="834" t="s">
        <v>891</v>
      </c>
      <c r="C106" s="1080"/>
      <c r="D106" s="1080"/>
      <c r="E106" s="1080"/>
      <c r="F106" s="1068">
        <v>0.05</v>
      </c>
    </row>
    <row r="107" spans="1:6" ht="24.75" thickBot="1">
      <c r="A107" s="840" t="s">
        <v>523</v>
      </c>
      <c r="B107" s="834" t="s">
        <v>892</v>
      </c>
      <c r="C107" s="1080"/>
      <c r="D107" s="1080"/>
      <c r="E107" s="1080"/>
      <c r="F107" s="1068">
        <v>0.05</v>
      </c>
    </row>
    <row r="108" spans="1:6" ht="24.75" thickBot="1">
      <c r="A108" s="840" t="s">
        <v>523</v>
      </c>
      <c r="B108" s="834" t="s">
        <v>893</v>
      </c>
      <c r="C108" s="1080"/>
      <c r="D108" s="1080"/>
      <c r="E108" s="1080"/>
      <c r="F108" s="1068">
        <v>0.05</v>
      </c>
    </row>
    <row r="109" spans="1:6" ht="24.75" thickBot="1">
      <c r="A109" s="850" t="s">
        <v>523</v>
      </c>
      <c r="B109" s="846" t="s">
        <v>894</v>
      </c>
      <c r="C109" s="1077"/>
      <c r="D109" s="1077"/>
      <c r="E109" s="1077"/>
      <c r="F109" s="1070">
        <v>0.05</v>
      </c>
    </row>
    <row r="110" spans="1:6" ht="14.25" thickBot="1">
      <c r="A110" s="840" t="s">
        <v>56</v>
      </c>
      <c r="B110" s="841" t="s">
        <v>895</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896</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897</v>
      </c>
      <c r="C138" s="1067">
        <v>0.105</v>
      </c>
      <c r="D138" s="1067">
        <v>0.125</v>
      </c>
      <c r="E138" s="1067">
        <v>0.112</v>
      </c>
      <c r="F138" s="1079"/>
    </row>
    <row r="139" spans="1:6" ht="14.25" thickBot="1">
      <c r="A139" s="840" t="s">
        <v>56</v>
      </c>
      <c r="B139" s="834" t="s">
        <v>898</v>
      </c>
      <c r="C139" s="1067">
        <v>0.127</v>
      </c>
      <c r="D139" s="1067">
        <v>0.127</v>
      </c>
      <c r="E139" s="1067">
        <v>0.122</v>
      </c>
      <c r="F139" s="1068">
        <v>0.13</v>
      </c>
    </row>
    <row r="140" spans="1:6" ht="14.25" thickBot="1">
      <c r="A140" s="840" t="s">
        <v>56</v>
      </c>
      <c r="B140" s="834" t="s">
        <v>899</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900</v>
      </c>
      <c r="C144" s="1072">
        <v>0.126</v>
      </c>
      <c r="D144" s="1072">
        <v>0.126</v>
      </c>
      <c r="E144" s="1072">
        <v>0.121</v>
      </c>
      <c r="F144" s="1079"/>
    </row>
    <row r="145" spans="1:6" ht="14.25" thickBot="1">
      <c r="A145" s="850" t="s">
        <v>56</v>
      </c>
      <c r="B145" s="1073" t="s">
        <v>901</v>
      </c>
      <c r="C145" s="1081"/>
      <c r="D145" s="1081"/>
      <c r="E145" s="1081"/>
      <c r="F145" s="1074">
        <v>0.05</v>
      </c>
    </row>
    <row r="146" spans="1:6" ht="24.75" thickBot="1">
      <c r="A146" s="1075" t="s">
        <v>56</v>
      </c>
      <c r="B146" s="844" t="s">
        <v>902</v>
      </c>
      <c r="C146" s="1080"/>
      <c r="D146" s="1080"/>
      <c r="E146" s="1080"/>
      <c r="F146" s="1076">
        <v>0.05</v>
      </c>
    </row>
    <row r="147" spans="1:6" ht="24.75" thickBot="1">
      <c r="A147" s="840" t="s">
        <v>56</v>
      </c>
      <c r="B147" s="834" t="s">
        <v>903</v>
      </c>
      <c r="C147" s="1080"/>
      <c r="D147" s="1080"/>
      <c r="E147" s="1080"/>
      <c r="F147" s="1068">
        <v>0.05</v>
      </c>
    </row>
    <row r="148" spans="1:6" ht="24.75" thickBot="1">
      <c r="A148" s="840" t="s">
        <v>56</v>
      </c>
      <c r="B148" s="834" t="s">
        <v>904</v>
      </c>
      <c r="C148" s="1080"/>
      <c r="D148" s="1080"/>
      <c r="E148" s="1080"/>
      <c r="F148" s="1068">
        <v>0.05</v>
      </c>
    </row>
    <row r="149" spans="1:6" ht="24.75" thickBot="1">
      <c r="A149" s="840" t="s">
        <v>56</v>
      </c>
      <c r="B149" s="834" t="s">
        <v>905</v>
      </c>
      <c r="C149" s="1080"/>
      <c r="D149" s="1080"/>
      <c r="E149" s="1080"/>
      <c r="F149" s="1068">
        <v>0.05</v>
      </c>
    </row>
    <row r="150" spans="1:6" ht="24.75" thickBot="1">
      <c r="A150" s="840" t="s">
        <v>56</v>
      </c>
      <c r="B150" s="834" t="s">
        <v>906</v>
      </c>
      <c r="C150" s="1080"/>
      <c r="D150" s="1080"/>
      <c r="E150" s="1080"/>
      <c r="F150" s="1068">
        <v>0.05</v>
      </c>
    </row>
    <row r="151" spans="1:6" ht="24.75" thickBot="1">
      <c r="A151" s="840" t="s">
        <v>56</v>
      </c>
      <c r="B151" s="834" t="s">
        <v>907</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908</v>
      </c>
      <c r="C153" s="1080"/>
      <c r="D153" s="1080"/>
      <c r="E153" s="1080"/>
      <c r="F153" s="1068">
        <v>0.05</v>
      </c>
    </row>
    <row r="154" spans="1:6" ht="14.25" thickBot="1">
      <c r="A154" s="840" t="s">
        <v>56</v>
      </c>
      <c r="B154" s="834" t="s">
        <v>909</v>
      </c>
      <c r="C154" s="1080"/>
      <c r="D154" s="1080"/>
      <c r="E154" s="1080"/>
      <c r="F154" s="1068">
        <v>0.05</v>
      </c>
    </row>
    <row r="155" spans="1:6" ht="24.75" thickBot="1">
      <c r="A155" s="840" t="s">
        <v>56</v>
      </c>
      <c r="B155" s="834" t="s">
        <v>910</v>
      </c>
      <c r="C155" s="1080"/>
      <c r="D155" s="1080"/>
      <c r="E155" s="1080"/>
      <c r="F155" s="1068">
        <v>0.05</v>
      </c>
    </row>
    <row r="156" spans="1:6" ht="24.75" thickBot="1">
      <c r="A156" s="840" t="s">
        <v>56</v>
      </c>
      <c r="B156" s="834" t="s">
        <v>911</v>
      </c>
      <c r="C156" s="1080"/>
      <c r="D156" s="1080"/>
      <c r="E156" s="1080"/>
      <c r="F156" s="1068">
        <v>0.05</v>
      </c>
    </row>
    <row r="157" spans="1:6" ht="14.25" thickBot="1">
      <c r="A157" s="850" t="s">
        <v>56</v>
      </c>
      <c r="B157" s="846" t="s">
        <v>912</v>
      </c>
      <c r="C157" s="1077"/>
      <c r="D157" s="1077"/>
      <c r="E157" s="1077"/>
      <c r="F157" s="1070">
        <v>0.05</v>
      </c>
    </row>
    <row r="158" spans="1:6" ht="14.25" thickBot="1">
      <c r="A158" s="840" t="s">
        <v>526</v>
      </c>
      <c r="B158" s="841" t="s">
        <v>913</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914</v>
      </c>
      <c r="C171" s="1067">
        <v>0.127</v>
      </c>
      <c r="D171" s="1067">
        <v>0.126</v>
      </c>
      <c r="E171" s="1067">
        <v>0.126</v>
      </c>
      <c r="F171" s="1068">
        <v>0.11799999999999999</v>
      </c>
    </row>
    <row r="172" spans="1:6" ht="14.25" thickBot="1">
      <c r="A172" s="840" t="s">
        <v>526</v>
      </c>
      <c r="B172" s="834" t="s">
        <v>915</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916</v>
      </c>
      <c r="C174" s="1067">
        <v>0.13</v>
      </c>
      <c r="D174" s="1067">
        <v>0.13</v>
      </c>
      <c r="E174" s="1067">
        <v>0.13</v>
      </c>
      <c r="F174" s="1068">
        <v>0.13</v>
      </c>
    </row>
    <row r="175" spans="1:6" ht="14.25" thickBot="1">
      <c r="A175" s="840" t="s">
        <v>526</v>
      </c>
      <c r="B175" s="834" t="s">
        <v>917</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918</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919</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920</v>
      </c>
      <c r="C185" s="1067">
        <v>0.127</v>
      </c>
      <c r="D185" s="1067">
        <v>0.127</v>
      </c>
      <c r="E185" s="1067">
        <v>0.128</v>
      </c>
      <c r="F185" s="1068">
        <v>0.13</v>
      </c>
    </row>
    <row r="186" spans="1:6" ht="24.75" thickBot="1">
      <c r="A186" s="840" t="s">
        <v>526</v>
      </c>
      <c r="B186" s="834" t="s">
        <v>921</v>
      </c>
      <c r="C186" s="1080"/>
      <c r="D186" s="1080"/>
      <c r="E186" s="1080"/>
      <c r="F186" s="1068">
        <v>0.05</v>
      </c>
    </row>
    <row r="187" spans="1:6" ht="14.25" thickBot="1">
      <c r="A187" s="840" t="s">
        <v>526</v>
      </c>
      <c r="B187" s="834" t="s">
        <v>922</v>
      </c>
      <c r="C187" s="1080"/>
      <c r="D187" s="1080"/>
      <c r="E187" s="1080"/>
      <c r="F187" s="1068">
        <v>0.05</v>
      </c>
    </row>
    <row r="188" spans="1:6" ht="14.25" thickBot="1">
      <c r="A188" s="840" t="s">
        <v>526</v>
      </c>
      <c r="B188" s="834" t="s">
        <v>923</v>
      </c>
      <c r="C188" s="1080"/>
      <c r="D188" s="1080"/>
      <c r="E188" s="1080"/>
      <c r="F188" s="1068">
        <v>0.05</v>
      </c>
    </row>
    <row r="189" spans="1:6" ht="24.75" thickBot="1">
      <c r="A189" s="840" t="s">
        <v>526</v>
      </c>
      <c r="B189" s="834" t="s">
        <v>924</v>
      </c>
      <c r="C189" s="1080"/>
      <c r="D189" s="1080"/>
      <c r="E189" s="1080"/>
      <c r="F189" s="1068">
        <v>0.05</v>
      </c>
    </row>
    <row r="190" spans="1:6" ht="24.75" thickBot="1">
      <c r="A190" s="840" t="s">
        <v>526</v>
      </c>
      <c r="B190" s="834" t="s">
        <v>925</v>
      </c>
      <c r="C190" s="1080"/>
      <c r="D190" s="1080"/>
      <c r="E190" s="1080"/>
      <c r="F190" s="1068">
        <v>0.05</v>
      </c>
    </row>
    <row r="191" spans="1:6" ht="24.75" thickBot="1">
      <c r="A191" s="840" t="s">
        <v>526</v>
      </c>
      <c r="B191" s="834" t="s">
        <v>926</v>
      </c>
      <c r="C191" s="1080"/>
      <c r="D191" s="1080"/>
      <c r="E191" s="1080"/>
      <c r="F191" s="1068">
        <v>0.05</v>
      </c>
    </row>
    <row r="192" spans="1:6" ht="24.75" thickBot="1">
      <c r="A192" s="840" t="s">
        <v>526</v>
      </c>
      <c r="B192" s="834" t="s">
        <v>927</v>
      </c>
      <c r="C192" s="1080"/>
      <c r="D192" s="1080"/>
      <c r="E192" s="1080"/>
      <c r="F192" s="1068">
        <v>0.05</v>
      </c>
    </row>
    <row r="193" spans="1:6" ht="24.75" thickBot="1">
      <c r="A193" s="840" t="s">
        <v>526</v>
      </c>
      <c r="B193" s="834" t="s">
        <v>928</v>
      </c>
      <c r="C193" s="1080"/>
      <c r="D193" s="1080"/>
      <c r="E193" s="1080"/>
      <c r="F193" s="1068">
        <v>0.05</v>
      </c>
    </row>
    <row r="194" spans="1:6" ht="24.75" thickBot="1">
      <c r="A194" s="840" t="s">
        <v>526</v>
      </c>
      <c r="B194" s="834" t="s">
        <v>929</v>
      </c>
      <c r="C194" s="1080"/>
      <c r="D194" s="1080"/>
      <c r="E194" s="1080"/>
      <c r="F194" s="1068">
        <v>0.05</v>
      </c>
    </row>
    <row r="195" spans="1:6" ht="14.25" thickBot="1">
      <c r="A195" s="840" t="s">
        <v>526</v>
      </c>
      <c r="B195" s="834" t="s">
        <v>930</v>
      </c>
      <c r="C195" s="1080"/>
      <c r="D195" s="1080"/>
      <c r="E195" s="1080"/>
      <c r="F195" s="1068">
        <v>0.05</v>
      </c>
    </row>
    <row r="196" spans="1:6" ht="24.75" thickBot="1">
      <c r="A196" s="840" t="s">
        <v>526</v>
      </c>
      <c r="B196" s="834" t="s">
        <v>931</v>
      </c>
      <c r="C196" s="1080"/>
      <c r="D196" s="1080"/>
      <c r="E196" s="1080"/>
      <c r="F196" s="1068">
        <v>0.05</v>
      </c>
    </row>
    <row r="197" spans="1:6" ht="24.75" thickBot="1">
      <c r="A197" s="840" t="s">
        <v>526</v>
      </c>
      <c r="B197" s="834" t="s">
        <v>932</v>
      </c>
      <c r="C197" s="1080"/>
      <c r="D197" s="1080"/>
      <c r="E197" s="1080"/>
      <c r="F197" s="1068">
        <v>0.05</v>
      </c>
    </row>
    <row r="198" spans="1:6" ht="24.75" thickBot="1">
      <c r="A198" s="840" t="s">
        <v>526</v>
      </c>
      <c r="B198" s="834" t="s">
        <v>933</v>
      </c>
      <c r="C198" s="1080"/>
      <c r="D198" s="1080"/>
      <c r="E198" s="1080"/>
      <c r="F198" s="1068">
        <v>0.05</v>
      </c>
    </row>
    <row r="199" spans="1:6" ht="24.75" thickBot="1">
      <c r="A199" s="840" t="s">
        <v>526</v>
      </c>
      <c r="B199" s="834" t="s">
        <v>934</v>
      </c>
      <c r="C199" s="1080"/>
      <c r="D199" s="1080"/>
      <c r="E199" s="1080"/>
      <c r="F199" s="1068">
        <v>0.05</v>
      </c>
    </row>
    <row r="200" spans="1:6" ht="24.75" thickBot="1">
      <c r="A200" s="840" t="s">
        <v>526</v>
      </c>
      <c r="B200" s="834" t="s">
        <v>935</v>
      </c>
      <c r="C200" s="1080"/>
      <c r="D200" s="1080"/>
      <c r="E200" s="1080"/>
      <c r="F200" s="1068">
        <v>0.05</v>
      </c>
    </row>
    <row r="201" spans="1:6" ht="24.75" thickBot="1">
      <c r="A201" s="840" t="s">
        <v>526</v>
      </c>
      <c r="B201" s="834" t="s">
        <v>936</v>
      </c>
      <c r="C201" s="1080"/>
      <c r="D201" s="1080"/>
      <c r="E201" s="1080"/>
      <c r="F201" s="1068">
        <v>0.05</v>
      </c>
    </row>
    <row r="202" spans="1:6" ht="24.75" thickBot="1">
      <c r="A202" s="840" t="s">
        <v>526</v>
      </c>
      <c r="B202" s="834" t="s">
        <v>937</v>
      </c>
      <c r="C202" s="1080"/>
      <c r="D202" s="1080"/>
      <c r="E202" s="1080"/>
      <c r="F202" s="1068">
        <v>0.05</v>
      </c>
    </row>
    <row r="203" spans="1:6" ht="24.75" thickBot="1">
      <c r="A203" s="840" t="s">
        <v>526</v>
      </c>
      <c r="B203" s="834" t="s">
        <v>938</v>
      </c>
      <c r="C203" s="1080"/>
      <c r="D203" s="1080"/>
      <c r="E203" s="1080"/>
      <c r="F203" s="1068">
        <v>0.05</v>
      </c>
    </row>
    <row r="204" spans="1:6" ht="14.25" thickBot="1">
      <c r="A204" s="840" t="s">
        <v>526</v>
      </c>
      <c r="B204" s="834" t="s">
        <v>939</v>
      </c>
      <c r="C204" s="1080"/>
      <c r="D204" s="1080"/>
      <c r="E204" s="1080"/>
      <c r="F204" s="1068">
        <v>0.05</v>
      </c>
    </row>
    <row r="205" spans="1:6" ht="14.25" thickBot="1">
      <c r="A205" s="850" t="s">
        <v>526</v>
      </c>
      <c r="B205" s="846" t="s">
        <v>940</v>
      </c>
      <c r="C205" s="1077"/>
      <c r="D205" s="1077"/>
      <c r="E205" s="1077"/>
      <c r="F205" s="1070">
        <v>0.05</v>
      </c>
    </row>
    <row r="206" spans="1:6" ht="14.25" thickBot="1">
      <c r="A206" s="840" t="s">
        <v>528</v>
      </c>
      <c r="B206" s="841" t="s">
        <v>941</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942</v>
      </c>
      <c r="C210" s="1067">
        <v>0.15</v>
      </c>
      <c r="D210" s="1067">
        <v>0.15</v>
      </c>
      <c r="E210" s="1067">
        <v>0.15</v>
      </c>
      <c r="F210" s="1068">
        <v>0.13800000000000001</v>
      </c>
    </row>
    <row r="211" spans="1:6" ht="14.25" thickBot="1">
      <c r="A211" s="840" t="s">
        <v>528</v>
      </c>
      <c r="B211" s="834" t="s">
        <v>943</v>
      </c>
      <c r="C211" s="1067">
        <v>0.13700000000000001</v>
      </c>
      <c r="D211" s="1067">
        <v>0.13500000000000001</v>
      </c>
      <c r="E211" s="1067">
        <v>0.13600000000000001</v>
      </c>
      <c r="F211" s="1068">
        <v>0.1</v>
      </c>
    </row>
    <row r="212" spans="1:6" ht="14.25" thickBot="1">
      <c r="A212" s="840" t="s">
        <v>528</v>
      </c>
      <c r="B212" s="834" t="s">
        <v>944</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945</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946</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947</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948</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949</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950</v>
      </c>
      <c r="C231" s="1067">
        <v>0.128</v>
      </c>
      <c r="D231" s="1067">
        <v>0.125</v>
      </c>
      <c r="E231" s="1067">
        <v>0.13200000000000001</v>
      </c>
      <c r="F231" s="1079"/>
    </row>
    <row r="232" spans="1:6" ht="14.25" thickBot="1">
      <c r="A232" s="840" t="s">
        <v>528</v>
      </c>
      <c r="B232" s="834" t="s">
        <v>951</v>
      </c>
      <c r="C232" s="1067">
        <v>0.14499999999999999</v>
      </c>
      <c r="D232" s="1067">
        <v>0.14399999999999999</v>
      </c>
      <c r="E232" s="1067">
        <v>0.14599999999999999</v>
      </c>
      <c r="F232" s="1068">
        <v>0.13800000000000001</v>
      </c>
    </row>
    <row r="233" spans="1:6" ht="14.25" thickBot="1">
      <c r="A233" s="840" t="s">
        <v>528</v>
      </c>
      <c r="B233" s="834" t="s">
        <v>952</v>
      </c>
      <c r="C233" s="1067">
        <v>0.14499999999999999</v>
      </c>
      <c r="D233" s="1067">
        <v>0.14299999999999999</v>
      </c>
      <c r="E233" s="1067">
        <v>0.14199999999999999</v>
      </c>
      <c r="F233" s="1079"/>
    </row>
    <row r="234" spans="1:6" ht="14.25" thickBot="1">
      <c r="A234" s="840" t="s">
        <v>528</v>
      </c>
      <c r="B234" s="834" t="s">
        <v>953</v>
      </c>
      <c r="C234" s="1067">
        <v>0.14000000000000001</v>
      </c>
      <c r="D234" s="1067">
        <v>0.14000000000000001</v>
      </c>
      <c r="E234" s="1067">
        <v>0.14399999999999999</v>
      </c>
      <c r="F234" s="1079"/>
    </row>
    <row r="235" spans="1:6" ht="14.25" thickBot="1">
      <c r="A235" s="840" t="s">
        <v>528</v>
      </c>
      <c r="B235" s="834" t="s">
        <v>954</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955</v>
      </c>
      <c r="C237" s="1080"/>
      <c r="D237" s="1080"/>
      <c r="E237" s="1080"/>
      <c r="F237" s="1068">
        <v>0.05</v>
      </c>
    </row>
    <row r="238" spans="1:6" ht="24.75" thickBot="1">
      <c r="A238" s="840" t="s">
        <v>528</v>
      </c>
      <c r="B238" s="834" t="s">
        <v>956</v>
      </c>
      <c r="C238" s="1080"/>
      <c r="D238" s="1080"/>
      <c r="E238" s="1080"/>
      <c r="F238" s="1068">
        <v>0.05</v>
      </c>
    </row>
    <row r="239" spans="1:6" ht="24.75" thickBot="1">
      <c r="A239" s="840" t="s">
        <v>528</v>
      </c>
      <c r="B239" s="834" t="s">
        <v>957</v>
      </c>
      <c r="C239" s="1080"/>
      <c r="D239" s="1080"/>
      <c r="E239" s="1080"/>
      <c r="F239" s="1068">
        <v>0.05</v>
      </c>
    </row>
    <row r="240" spans="1:6" ht="24.75" thickBot="1">
      <c r="A240" s="840" t="s">
        <v>528</v>
      </c>
      <c r="B240" s="834" t="s">
        <v>958</v>
      </c>
      <c r="C240" s="1080"/>
      <c r="D240" s="1080"/>
      <c r="E240" s="1080"/>
      <c r="F240" s="1068">
        <v>0.05</v>
      </c>
    </row>
    <row r="241" spans="1:6" ht="24.75" thickBot="1">
      <c r="A241" s="840" t="s">
        <v>528</v>
      </c>
      <c r="B241" s="834" t="s">
        <v>959</v>
      </c>
      <c r="C241" s="1080"/>
      <c r="D241" s="1080"/>
      <c r="E241" s="1080"/>
      <c r="F241" s="1068">
        <v>0.05</v>
      </c>
    </row>
    <row r="242" spans="1:6" ht="24.75" thickBot="1">
      <c r="A242" s="840" t="s">
        <v>528</v>
      </c>
      <c r="B242" s="834" t="s">
        <v>960</v>
      </c>
      <c r="C242" s="1080"/>
      <c r="D242" s="1080"/>
      <c r="E242" s="1080"/>
      <c r="F242" s="1068">
        <v>0.05</v>
      </c>
    </row>
    <row r="243" spans="1:6" ht="24.75" thickBot="1">
      <c r="A243" s="840" t="s">
        <v>528</v>
      </c>
      <c r="B243" s="834" t="s">
        <v>961</v>
      </c>
      <c r="C243" s="1080"/>
      <c r="D243" s="1080"/>
      <c r="E243" s="1080"/>
      <c r="F243" s="1068">
        <v>0.05</v>
      </c>
    </row>
    <row r="244" spans="1:6" ht="24.75" thickBot="1">
      <c r="A244" s="850" t="s">
        <v>528</v>
      </c>
      <c r="B244" s="846" t="s">
        <v>962</v>
      </c>
      <c r="C244" s="1077"/>
      <c r="D244" s="1077"/>
      <c r="E244" s="1077"/>
      <c r="F244" s="1070">
        <v>0.05</v>
      </c>
    </row>
    <row r="245" spans="1:6" ht="14.25" thickBot="1">
      <c r="A245" s="840" t="s">
        <v>530</v>
      </c>
      <c r="B245" s="841" t="s">
        <v>963</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964</v>
      </c>
      <c r="C247" s="1067">
        <v>0.15</v>
      </c>
      <c r="D247" s="1067">
        <v>0.15</v>
      </c>
      <c r="E247" s="1067">
        <v>0.15</v>
      </c>
      <c r="F247" s="1068">
        <v>0.15</v>
      </c>
    </row>
    <row r="248" spans="1:6" ht="14.25" thickBot="1">
      <c r="A248" s="840" t="s">
        <v>530</v>
      </c>
      <c r="B248" s="834" t="s">
        <v>965</v>
      </c>
      <c r="C248" s="1067">
        <v>0.15</v>
      </c>
      <c r="D248" s="1067">
        <v>0.15</v>
      </c>
      <c r="E248" s="1067">
        <v>0.15</v>
      </c>
      <c r="F248" s="1068">
        <v>0.14000000000000001</v>
      </c>
    </row>
    <row r="249" spans="1:6" ht="14.25" thickBot="1">
      <c r="A249" s="840" t="s">
        <v>530</v>
      </c>
      <c r="B249" s="834" t="s">
        <v>966</v>
      </c>
      <c r="C249" s="1067">
        <v>0.15</v>
      </c>
      <c r="D249" s="1067">
        <v>0.14899999999999999</v>
      </c>
      <c r="E249" s="1067">
        <v>0.15</v>
      </c>
      <c r="F249" s="1068">
        <v>0.1</v>
      </c>
    </row>
    <row r="250" spans="1:6" ht="14.25" thickBot="1">
      <c r="A250" s="840" t="s">
        <v>530</v>
      </c>
      <c r="B250" s="834" t="s">
        <v>967</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968</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969</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970</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971</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972</v>
      </c>
      <c r="C273" s="1067">
        <v>0.14199999999999999</v>
      </c>
      <c r="D273" s="1067">
        <v>0.14299999999999999</v>
      </c>
      <c r="E273" s="1067">
        <v>0.15</v>
      </c>
      <c r="F273" s="1068">
        <v>0.1</v>
      </c>
    </row>
    <row r="274" spans="1:6" ht="14.25" thickBot="1">
      <c r="A274" s="840" t="s">
        <v>530</v>
      </c>
      <c r="B274" s="834" t="s">
        <v>973</v>
      </c>
      <c r="C274" s="1067">
        <v>0.14799999999999999</v>
      </c>
      <c r="D274" s="1067">
        <v>0.14799999999999999</v>
      </c>
      <c r="E274" s="1067">
        <v>0.15</v>
      </c>
      <c r="F274" s="1068">
        <v>6.7000000000000004E-2</v>
      </c>
    </row>
    <row r="275" spans="1:6" ht="14.25" thickBot="1">
      <c r="A275" s="840" t="s">
        <v>530</v>
      </c>
      <c r="B275" s="834" t="s">
        <v>974</v>
      </c>
      <c r="C275" s="1067">
        <v>0.15</v>
      </c>
      <c r="D275" s="1067">
        <v>0.15</v>
      </c>
      <c r="E275" s="1067">
        <v>0.15</v>
      </c>
      <c r="F275" s="1068">
        <v>0.15</v>
      </c>
    </row>
    <row r="276" spans="1:6" ht="14.25" thickBot="1">
      <c r="A276" s="840" t="s">
        <v>530</v>
      </c>
      <c r="B276" s="834" t="s">
        <v>975</v>
      </c>
      <c r="C276" s="1067">
        <v>0.14499999999999999</v>
      </c>
      <c r="D276" s="1067">
        <v>0.14299999999999999</v>
      </c>
      <c r="E276" s="1067">
        <v>0.15</v>
      </c>
      <c r="F276" s="1068">
        <v>5.8999999999999997E-2</v>
      </c>
    </row>
    <row r="277" spans="1:6" ht="14.25" thickBot="1">
      <c r="A277" s="840" t="s">
        <v>530</v>
      </c>
      <c r="B277" s="834" t="s">
        <v>976</v>
      </c>
      <c r="C277" s="1067">
        <v>0.15</v>
      </c>
      <c r="D277" s="1067">
        <v>0.15</v>
      </c>
      <c r="E277" s="1067">
        <v>0.15</v>
      </c>
      <c r="F277" s="1068">
        <v>0.121</v>
      </c>
    </row>
    <row r="278" spans="1:6" ht="14.25" thickBot="1">
      <c r="A278" s="840" t="s">
        <v>530</v>
      </c>
      <c r="B278" s="834" t="s">
        <v>977</v>
      </c>
      <c r="C278" s="1067">
        <v>0.15</v>
      </c>
      <c r="D278" s="1067">
        <v>0.15</v>
      </c>
      <c r="E278" s="1067">
        <v>0.15</v>
      </c>
      <c r="F278" s="1068">
        <v>0.13800000000000001</v>
      </c>
    </row>
    <row r="279" spans="1:6" ht="24.75" thickBot="1">
      <c r="A279" s="840" t="s">
        <v>530</v>
      </c>
      <c r="B279" s="834" t="s">
        <v>978</v>
      </c>
      <c r="C279" s="1080"/>
      <c r="D279" s="1080"/>
      <c r="E279" s="1080"/>
      <c r="F279" s="1068">
        <v>0.05</v>
      </c>
    </row>
    <row r="280" spans="1:6" ht="24.75" thickBot="1">
      <c r="A280" s="840" t="s">
        <v>530</v>
      </c>
      <c r="B280" s="834" t="s">
        <v>979</v>
      </c>
      <c r="C280" s="1080"/>
      <c r="D280" s="1080"/>
      <c r="E280" s="1080"/>
      <c r="F280" s="1068">
        <v>0.05</v>
      </c>
    </row>
    <row r="281" spans="1:6" ht="24.75" thickBot="1">
      <c r="A281" s="840" t="s">
        <v>530</v>
      </c>
      <c r="B281" s="834" t="s">
        <v>980</v>
      </c>
      <c r="C281" s="1080"/>
      <c r="D281" s="1080"/>
      <c r="E281" s="1080"/>
      <c r="F281" s="1068">
        <v>0.05</v>
      </c>
    </row>
    <row r="282" spans="1:6" ht="24.75" thickBot="1">
      <c r="A282" s="840" t="s">
        <v>530</v>
      </c>
      <c r="B282" s="834" t="s">
        <v>981</v>
      </c>
      <c r="C282" s="1080"/>
      <c r="D282" s="1080"/>
      <c r="E282" s="1080"/>
      <c r="F282" s="1068">
        <v>0.05</v>
      </c>
    </row>
    <row r="283" spans="1:6" ht="24.75" thickBot="1">
      <c r="A283" s="840" t="s">
        <v>530</v>
      </c>
      <c r="B283" s="834" t="s">
        <v>982</v>
      </c>
      <c r="C283" s="1080"/>
      <c r="D283" s="1080"/>
      <c r="E283" s="1080"/>
      <c r="F283" s="1068">
        <v>0.05</v>
      </c>
    </row>
    <row r="284" spans="1:6" ht="24.75" thickBot="1">
      <c r="A284" s="840" t="s">
        <v>530</v>
      </c>
      <c r="B284" s="834" t="s">
        <v>983</v>
      </c>
      <c r="C284" s="1080"/>
      <c r="D284" s="1080"/>
      <c r="E284" s="1080"/>
      <c r="F284" s="1068">
        <v>0.05</v>
      </c>
    </row>
    <row r="285" spans="1:6" ht="24.75" thickBot="1">
      <c r="A285" s="840" t="s">
        <v>530</v>
      </c>
      <c r="B285" s="834" t="s">
        <v>984</v>
      </c>
      <c r="C285" s="1080"/>
      <c r="D285" s="1080"/>
      <c r="E285" s="1080"/>
      <c r="F285" s="1068">
        <v>0.05</v>
      </c>
    </row>
    <row r="286" spans="1:6" ht="24.75" thickBot="1">
      <c r="A286" s="840" t="s">
        <v>530</v>
      </c>
      <c r="B286" s="834" t="s">
        <v>985</v>
      </c>
      <c r="C286" s="1080"/>
      <c r="D286" s="1080"/>
      <c r="E286" s="1080"/>
      <c r="F286" s="1068">
        <v>0.05</v>
      </c>
    </row>
    <row r="287" spans="1:6" ht="24.75" thickBot="1">
      <c r="A287" s="840" t="s">
        <v>530</v>
      </c>
      <c r="B287" s="834" t="s">
        <v>986</v>
      </c>
      <c r="C287" s="1080"/>
      <c r="D287" s="1080"/>
      <c r="E287" s="1080"/>
      <c r="F287" s="1068">
        <v>0.05</v>
      </c>
    </row>
    <row r="288" spans="1:6" ht="24.75" thickBot="1">
      <c r="A288" s="840" t="s">
        <v>530</v>
      </c>
      <c r="B288" s="834" t="s">
        <v>987</v>
      </c>
      <c r="C288" s="1080"/>
      <c r="D288" s="1080"/>
      <c r="E288" s="1080"/>
      <c r="F288" s="1068">
        <v>0.05</v>
      </c>
    </row>
    <row r="289" spans="1:6" ht="24.75" thickBot="1">
      <c r="A289" s="850" t="s">
        <v>530</v>
      </c>
      <c r="B289" s="846" t="s">
        <v>988</v>
      </c>
      <c r="C289" s="1077"/>
      <c r="D289" s="1077"/>
      <c r="E289" s="1077"/>
      <c r="F289" s="1070">
        <v>0.05</v>
      </c>
    </row>
    <row r="290" spans="1:6" ht="14.25" thickBot="1">
      <c r="A290" s="840" t="s">
        <v>534</v>
      </c>
      <c r="B290" s="841" t="s">
        <v>989</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990</v>
      </c>
      <c r="C292" s="1067">
        <v>0.15</v>
      </c>
      <c r="D292" s="1067">
        <v>0.15</v>
      </c>
      <c r="E292" s="1067">
        <v>0.15</v>
      </c>
      <c r="F292" s="1068">
        <v>0.14699999999999999</v>
      </c>
    </row>
    <row r="293" spans="1:6" ht="14.25" thickBot="1">
      <c r="A293" s="840" t="s">
        <v>534</v>
      </c>
      <c r="B293" s="834" t="s">
        <v>991</v>
      </c>
      <c r="C293" s="1080"/>
      <c r="D293" s="1080"/>
      <c r="E293" s="1080"/>
      <c r="F293" s="1068">
        <v>0.1</v>
      </c>
    </row>
    <row r="294" spans="1:6" ht="14.25" thickBot="1">
      <c r="A294" s="840" t="s">
        <v>534</v>
      </c>
      <c r="B294" s="834" t="s">
        <v>992</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993</v>
      </c>
      <c r="C296" s="1067">
        <v>0.15</v>
      </c>
      <c r="D296" s="1067">
        <v>0.15</v>
      </c>
      <c r="E296" s="1067">
        <v>0.15</v>
      </c>
      <c r="F296" s="1068">
        <v>0.15</v>
      </c>
    </row>
    <row r="297" spans="1:6" ht="14.25" thickBot="1">
      <c r="A297" s="840" t="s">
        <v>534</v>
      </c>
      <c r="B297" s="834" t="s">
        <v>994</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995</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996</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997</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998</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999</v>
      </c>
      <c r="C310" s="1067">
        <v>0.15</v>
      </c>
      <c r="D310" s="1067">
        <v>0.15</v>
      </c>
      <c r="E310" s="1067">
        <v>0.15</v>
      </c>
      <c r="F310" s="1068">
        <v>0.13700000000000001</v>
      </c>
    </row>
    <row r="311" spans="1:6" ht="14.25" thickBot="1">
      <c r="A311" s="840" t="s">
        <v>534</v>
      </c>
      <c r="B311" s="834" t="s">
        <v>1000</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1001</v>
      </c>
      <c r="C313" s="1067">
        <v>0.15</v>
      </c>
      <c r="D313" s="1067">
        <v>0.15</v>
      </c>
      <c r="E313" s="1067">
        <v>0.15</v>
      </c>
      <c r="F313" s="1068">
        <v>0.15</v>
      </c>
    </row>
    <row r="314" spans="1:6" ht="24.75" thickBot="1">
      <c r="A314" s="840" t="s">
        <v>534</v>
      </c>
      <c r="B314" s="834" t="s">
        <v>1002</v>
      </c>
      <c r="C314" s="1080"/>
      <c r="D314" s="1080"/>
      <c r="E314" s="1080"/>
      <c r="F314" s="1068">
        <v>0.05</v>
      </c>
    </row>
    <row r="315" spans="1:6" ht="24.75" thickBot="1">
      <c r="A315" s="840" t="s">
        <v>534</v>
      </c>
      <c r="B315" s="834" t="s">
        <v>1003</v>
      </c>
      <c r="C315" s="1080"/>
      <c r="D315" s="1080"/>
      <c r="E315" s="1080"/>
      <c r="F315" s="1068">
        <v>0.05</v>
      </c>
    </row>
    <row r="316" spans="1:6" ht="24.75" thickBot="1">
      <c r="A316" s="850" t="s">
        <v>534</v>
      </c>
      <c r="B316" s="846" t="s">
        <v>1004</v>
      </c>
      <c r="C316" s="1077"/>
      <c r="D316" s="1077"/>
      <c r="E316" s="1077"/>
      <c r="F316" s="1070">
        <v>0.05</v>
      </c>
    </row>
    <row r="317" spans="1:6" ht="14.25" thickBot="1">
      <c r="A317" s="840" t="s">
        <v>1005</v>
      </c>
      <c r="B317" s="841" t="s">
        <v>1006</v>
      </c>
      <c r="C317" s="1065">
        <v>0.15</v>
      </c>
      <c r="D317" s="1065">
        <v>0.15</v>
      </c>
      <c r="E317" s="1065">
        <v>0.15</v>
      </c>
      <c r="F317" s="1066">
        <v>0.15</v>
      </c>
    </row>
    <row r="318" spans="1:6" ht="14.25" thickBot="1">
      <c r="A318" s="840" t="s">
        <v>1005</v>
      </c>
      <c r="B318" s="834" t="s">
        <v>1007</v>
      </c>
      <c r="C318" s="1067">
        <v>0.107</v>
      </c>
      <c r="D318" s="1067">
        <v>0.11</v>
      </c>
      <c r="E318" s="1067">
        <v>0.112</v>
      </c>
      <c r="F318" s="1079"/>
    </row>
    <row r="319" spans="1:6" ht="14.25" thickBot="1">
      <c r="A319" s="840" t="s">
        <v>1005</v>
      </c>
      <c r="B319" s="834" t="s">
        <v>1008</v>
      </c>
      <c r="C319" s="1067">
        <v>0.15</v>
      </c>
      <c r="D319" s="1067">
        <v>0.15</v>
      </c>
      <c r="E319" s="1067">
        <v>0.15</v>
      </c>
      <c r="F319" s="1068">
        <v>0.15</v>
      </c>
    </row>
    <row r="320" spans="1:6" ht="14.25" thickBot="1">
      <c r="A320" s="840" t="s">
        <v>1005</v>
      </c>
      <c r="B320" s="834" t="s">
        <v>223</v>
      </c>
      <c r="C320" s="1067">
        <v>0.15</v>
      </c>
      <c r="D320" s="1067">
        <v>0.15</v>
      </c>
      <c r="E320" s="1067">
        <v>0.15</v>
      </c>
      <c r="F320" s="1079"/>
    </row>
    <row r="321" spans="1:6" ht="14.25" thickBot="1">
      <c r="A321" s="840" t="s">
        <v>1005</v>
      </c>
      <c r="B321" s="834" t="s">
        <v>1009</v>
      </c>
      <c r="C321" s="1067">
        <v>0.15</v>
      </c>
      <c r="D321" s="1067">
        <v>0.15</v>
      </c>
      <c r="E321" s="1067">
        <v>0.15</v>
      </c>
      <c r="F321" s="1079"/>
    </row>
    <row r="322" spans="1:6" ht="14.25" thickBot="1">
      <c r="A322" s="840" t="s">
        <v>1005</v>
      </c>
      <c r="B322" s="834" t="s">
        <v>1010</v>
      </c>
      <c r="C322" s="1067">
        <v>0.15</v>
      </c>
      <c r="D322" s="1067">
        <v>0.15</v>
      </c>
      <c r="E322" s="1067">
        <v>0.15</v>
      </c>
      <c r="F322" s="1068">
        <v>0.15</v>
      </c>
    </row>
    <row r="323" spans="1:6" ht="14.25" thickBot="1">
      <c r="A323" s="840" t="s">
        <v>1005</v>
      </c>
      <c r="B323" s="834" t="s">
        <v>1011</v>
      </c>
      <c r="C323" s="1067">
        <v>0.15</v>
      </c>
      <c r="D323" s="1067">
        <v>0.15</v>
      </c>
      <c r="E323" s="1067">
        <v>0.15</v>
      </c>
      <c r="F323" s="1079"/>
    </row>
    <row r="324" spans="1:6" ht="14.25" thickBot="1">
      <c r="A324" s="840" t="s">
        <v>1005</v>
      </c>
      <c r="B324" s="834" t="s">
        <v>1012</v>
      </c>
      <c r="C324" s="1067">
        <v>0.15</v>
      </c>
      <c r="D324" s="1067">
        <v>0.15</v>
      </c>
      <c r="E324" s="1067">
        <v>0.15</v>
      </c>
      <c r="F324" s="1079"/>
    </row>
    <row r="325" spans="1:6" ht="14.25" thickBot="1">
      <c r="A325" s="840" t="s">
        <v>1005</v>
      </c>
      <c r="B325" s="834" t="s">
        <v>1013</v>
      </c>
      <c r="C325" s="1067">
        <v>0.15</v>
      </c>
      <c r="D325" s="1067">
        <v>0.15</v>
      </c>
      <c r="E325" s="1067">
        <v>0.15</v>
      </c>
      <c r="F325" s="1068">
        <v>0.14699999999999999</v>
      </c>
    </row>
    <row r="326" spans="1:6" ht="14.25" thickBot="1">
      <c r="A326" s="840" t="s">
        <v>1005</v>
      </c>
      <c r="B326" s="834" t="s">
        <v>290</v>
      </c>
      <c r="C326" s="1067">
        <v>0.15</v>
      </c>
      <c r="D326" s="1067">
        <v>0.15</v>
      </c>
      <c r="E326" s="1067">
        <v>0.15</v>
      </c>
      <c r="F326" s="1079"/>
    </row>
    <row r="327" spans="1:6" ht="14.25" thickBot="1">
      <c r="A327" s="840" t="s">
        <v>1005</v>
      </c>
      <c r="B327" s="834" t="s">
        <v>1014</v>
      </c>
      <c r="C327" s="1067">
        <v>0.15</v>
      </c>
      <c r="D327" s="1067">
        <v>0.15</v>
      </c>
      <c r="E327" s="1067">
        <v>0.15</v>
      </c>
      <c r="F327" s="1068">
        <v>0.15</v>
      </c>
    </row>
    <row r="328" spans="1:6" ht="14.25" thickBot="1">
      <c r="A328" s="840" t="s">
        <v>1005</v>
      </c>
      <c r="B328" s="834" t="s">
        <v>310</v>
      </c>
      <c r="C328" s="1067">
        <v>0.15</v>
      </c>
      <c r="D328" s="1067">
        <v>0.15</v>
      </c>
      <c r="E328" s="1067">
        <v>0.15</v>
      </c>
      <c r="F328" s="1068">
        <v>0.14099999999999999</v>
      </c>
    </row>
    <row r="329" spans="1:6" ht="14.25" thickBot="1">
      <c r="A329" s="840" t="s">
        <v>1005</v>
      </c>
      <c r="B329" s="834" t="s">
        <v>320</v>
      </c>
      <c r="C329" s="1067">
        <v>0.15</v>
      </c>
      <c r="D329" s="1067">
        <v>0.15</v>
      </c>
      <c r="E329" s="1067">
        <v>0.15</v>
      </c>
      <c r="F329" s="1068">
        <v>0.15</v>
      </c>
    </row>
    <row r="330" spans="1:6" ht="14.25" thickBot="1">
      <c r="A330" s="840" t="s">
        <v>1005</v>
      </c>
      <c r="B330" s="834" t="s">
        <v>331</v>
      </c>
      <c r="C330" s="1067">
        <v>0.15</v>
      </c>
      <c r="D330" s="1067">
        <v>0.15</v>
      </c>
      <c r="E330" s="1067">
        <v>0.15</v>
      </c>
      <c r="F330" s="1079"/>
    </row>
    <row r="331" spans="1:6" ht="14.25" thickBot="1">
      <c r="A331" s="840" t="s">
        <v>1005</v>
      </c>
      <c r="B331" s="834" t="s">
        <v>1015</v>
      </c>
      <c r="C331" s="1067">
        <v>0.15</v>
      </c>
      <c r="D331" s="1067">
        <v>0.15</v>
      </c>
      <c r="E331" s="1067">
        <v>0.15</v>
      </c>
      <c r="F331" s="1068">
        <v>0.15</v>
      </c>
    </row>
    <row r="332" spans="1:6" ht="14.25" thickBot="1">
      <c r="A332" s="840" t="s">
        <v>1005</v>
      </c>
      <c r="B332" s="834" t="s">
        <v>352</v>
      </c>
      <c r="C332" s="1067">
        <v>0.15</v>
      </c>
      <c r="D332" s="1067">
        <v>0.15</v>
      </c>
      <c r="E332" s="1067">
        <v>0.15</v>
      </c>
      <c r="F332" s="1068">
        <v>0.15</v>
      </c>
    </row>
    <row r="333" spans="1:6" ht="14.25" thickBot="1">
      <c r="A333" s="840" t="s">
        <v>1005</v>
      </c>
      <c r="B333" s="834" t="s">
        <v>1016</v>
      </c>
      <c r="C333" s="1067">
        <v>0.15</v>
      </c>
      <c r="D333" s="1067">
        <v>0.15</v>
      </c>
      <c r="E333" s="1067">
        <v>0.15</v>
      </c>
      <c r="F333" s="1068">
        <v>0.14099999999999999</v>
      </c>
    </row>
    <row r="334" spans="1:6" ht="14.25" thickBot="1">
      <c r="A334" s="840" t="s">
        <v>1005</v>
      </c>
      <c r="B334" s="834" t="s">
        <v>372</v>
      </c>
      <c r="C334" s="1067">
        <v>0.15</v>
      </c>
      <c r="D334" s="1067">
        <v>0.15</v>
      </c>
      <c r="E334" s="1067">
        <v>0.15</v>
      </c>
      <c r="F334" s="1068">
        <v>0.15</v>
      </c>
    </row>
    <row r="335" spans="1:6" ht="14.25" thickBot="1">
      <c r="A335" s="840" t="s">
        <v>1005</v>
      </c>
      <c r="B335" s="834" t="s">
        <v>382</v>
      </c>
      <c r="C335" s="1067">
        <v>0.15</v>
      </c>
      <c r="D335" s="1067">
        <v>0.15</v>
      </c>
      <c r="E335" s="1067">
        <v>0.15</v>
      </c>
      <c r="F335" s="1079"/>
    </row>
    <row r="336" spans="1:6" ht="14.25" thickBot="1">
      <c r="A336" s="840" t="s">
        <v>1005</v>
      </c>
      <c r="B336" s="834" t="s">
        <v>1017</v>
      </c>
      <c r="C336" s="1067">
        <v>0.15</v>
      </c>
      <c r="D336" s="1067">
        <v>0.15</v>
      </c>
      <c r="E336" s="1067">
        <v>0.15</v>
      </c>
      <c r="F336" s="1068">
        <v>0.11799999999999999</v>
      </c>
    </row>
    <row r="337" spans="1:6" ht="14.25" thickBot="1">
      <c r="A337" s="850" t="s">
        <v>1005</v>
      </c>
      <c r="B337" s="846" t="s">
        <v>400</v>
      </c>
      <c r="C337" s="1077"/>
      <c r="D337" s="1077"/>
      <c r="E337" s="1077"/>
      <c r="F337" s="1070">
        <v>0.14299999999999999</v>
      </c>
    </row>
    <row r="338" spans="1:6" ht="14.25" thickBot="1">
      <c r="A338" s="840" t="s">
        <v>1018</v>
      </c>
      <c r="B338" s="841" t="s">
        <v>1019</v>
      </c>
      <c r="C338" s="1065">
        <v>0.15</v>
      </c>
      <c r="D338" s="1065">
        <v>0.15</v>
      </c>
      <c r="E338" s="1065">
        <v>0.15</v>
      </c>
      <c r="F338" s="1082"/>
    </row>
    <row r="339" spans="1:6" ht="14.25" thickBot="1">
      <c r="A339" s="840" t="s">
        <v>1018</v>
      </c>
      <c r="B339" s="834" t="s">
        <v>1020</v>
      </c>
      <c r="C339" s="1067">
        <v>0.15</v>
      </c>
      <c r="D339" s="1067">
        <v>0.15</v>
      </c>
      <c r="E339" s="1067">
        <v>0.15</v>
      </c>
      <c r="F339" s="1079"/>
    </row>
    <row r="340" spans="1:6" ht="14.25" thickBot="1">
      <c r="A340" s="840" t="s">
        <v>1018</v>
      </c>
      <c r="B340" s="834" t="s">
        <v>1021</v>
      </c>
      <c r="C340" s="1067">
        <v>0.15</v>
      </c>
      <c r="D340" s="1067">
        <v>0.15</v>
      </c>
      <c r="E340" s="1067">
        <v>0.15</v>
      </c>
      <c r="F340" s="1079"/>
    </row>
    <row r="341" spans="1:6" ht="14.25" thickBot="1">
      <c r="A341" s="840" t="s">
        <v>1018</v>
      </c>
      <c r="B341" s="834" t="s">
        <v>1022</v>
      </c>
      <c r="C341" s="1067">
        <v>0.15</v>
      </c>
      <c r="D341" s="1067">
        <v>0.15</v>
      </c>
      <c r="E341" s="1067">
        <v>0.15</v>
      </c>
      <c r="F341" s="1068">
        <v>0.15</v>
      </c>
    </row>
    <row r="342" spans="1:6" ht="14.25" thickBot="1">
      <c r="A342" s="840" t="s">
        <v>1018</v>
      </c>
      <c r="B342" s="834" t="s">
        <v>1023</v>
      </c>
      <c r="C342" s="1067">
        <v>0.15</v>
      </c>
      <c r="D342" s="1067">
        <v>0.15</v>
      </c>
      <c r="E342" s="1067">
        <v>0.15</v>
      </c>
      <c r="F342" s="1068">
        <v>0.15</v>
      </c>
    </row>
    <row r="343" spans="1:6" ht="14.25" thickBot="1">
      <c r="A343" s="840" t="s">
        <v>1018</v>
      </c>
      <c r="B343" s="834" t="s">
        <v>1024</v>
      </c>
      <c r="C343" s="1067">
        <v>0.15</v>
      </c>
      <c r="D343" s="1067">
        <v>0.15</v>
      </c>
      <c r="E343" s="1067">
        <v>0.15</v>
      </c>
      <c r="F343" s="1068">
        <v>0.15</v>
      </c>
    </row>
    <row r="344" spans="1:6" ht="14.25" thickBot="1">
      <c r="A344" s="850" t="s">
        <v>1018</v>
      </c>
      <c r="B344" s="846" t="s">
        <v>1025</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1296</v>
      </c>
      <c r="C1" s="1697">
        <f>项目基本情况!D3</f>
        <v>43528</v>
      </c>
      <c r="D1" s="1703" t="s">
        <v>1297</v>
      </c>
      <c r="E1" s="1698">
        <f>'数据-取费表'!B22</f>
        <v>2</v>
      </c>
      <c r="F1" s="1703" t="s">
        <v>1298</v>
      </c>
      <c r="G1" s="1699">
        <f ca="1">INDIRECT("d"&amp;$K$1)/100</f>
        <v>4.7500000000000001E-2</v>
      </c>
      <c r="H1" s="1703" t="s">
        <v>1328</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1299</v>
      </c>
      <c r="E2" s="1639"/>
      <c r="F2" s="1639" t="s">
        <v>1300</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1301</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1302</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1303</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1304</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1305</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1306</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1307</v>
      </c>
      <c r="C10" s="1667"/>
      <c r="D10" s="1667"/>
      <c r="E10" s="1667"/>
      <c r="F10" s="1667"/>
      <c r="G10" s="1667"/>
      <c r="H10" s="1667"/>
      <c r="I10" s="1641"/>
      <c r="J10" s="1641"/>
      <c r="K10" s="1667"/>
      <c r="L10" s="1668" t="s">
        <v>1308</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1309</v>
      </c>
      <c r="C11" s="1672" t="s">
        <v>1310</v>
      </c>
      <c r="D11" s="1673" t="s">
        <v>1311</v>
      </c>
      <c r="E11" s="1674"/>
      <c r="F11" s="1673" t="s">
        <v>1312</v>
      </c>
      <c r="G11" s="1675"/>
      <c r="H11" s="1674"/>
      <c r="I11" s="1673" t="s">
        <v>1313</v>
      </c>
      <c r="J11" s="1674"/>
      <c r="K11" s="1670"/>
      <c r="L11" s="1671" t="s">
        <v>1309</v>
      </c>
      <c r="M11" s="1672" t="s">
        <v>1310</v>
      </c>
      <c r="N11" s="1671" t="s">
        <v>1314</v>
      </c>
      <c r="O11" s="1673" t="s">
        <v>1315</v>
      </c>
      <c r="P11" s="1675"/>
      <c r="Q11" s="1675"/>
      <c r="R11" s="1675"/>
      <c r="S11" s="1675"/>
      <c r="T11" s="1674"/>
      <c r="U11" s="1673" t="s">
        <v>1316</v>
      </c>
      <c r="V11" s="1675"/>
      <c r="W11" s="1674"/>
      <c r="X11" s="1671" t="s">
        <v>1317</v>
      </c>
      <c r="Y11" s="1671" t="s">
        <v>1318</v>
      </c>
      <c r="Z11" s="1671" t="s">
        <v>1319</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1320</v>
      </c>
      <c r="E12" s="1680" t="s">
        <v>1321</v>
      </c>
      <c r="F12" s="1680" t="s">
        <v>1322</v>
      </c>
      <c r="G12" s="1680" t="s">
        <v>1323</v>
      </c>
      <c r="H12" s="1680" t="s">
        <v>1305</v>
      </c>
      <c r="I12" s="1681" t="s">
        <v>1324</v>
      </c>
      <c r="J12" s="1681" t="s">
        <v>1324</v>
      </c>
      <c r="K12" s="1677"/>
      <c r="L12" s="1678"/>
      <c r="M12" s="1679"/>
      <c r="N12" s="1678"/>
      <c r="O12" s="1681" t="s">
        <v>1325</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1326</v>
      </c>
      <c r="C13" s="1685">
        <v>42301</v>
      </c>
      <c r="D13" s="1686">
        <v>4.3499999999999996</v>
      </c>
      <c r="E13" s="1686">
        <v>4.3499999999999996</v>
      </c>
      <c r="F13" s="1686">
        <v>4.75</v>
      </c>
      <c r="G13" s="1686">
        <v>4.75</v>
      </c>
      <c r="H13" s="1686">
        <v>4.9000000000000004</v>
      </c>
      <c r="I13" s="1686">
        <v>2.75</v>
      </c>
      <c r="J13" s="1686">
        <v>3.25</v>
      </c>
      <c r="K13" s="1683"/>
      <c r="L13" s="1684" t="s">
        <v>1326</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1327</v>
      </c>
      <c r="Y42" s="1690" t="s">
        <v>1327</v>
      </c>
      <c r="Z42" s="1690" t="s">
        <v>1327</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1327</v>
      </c>
      <c r="Y43" s="1690" t="s">
        <v>1327</v>
      </c>
      <c r="Z43" s="1690" t="s">
        <v>1327</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1327</v>
      </c>
      <c r="Y44" s="1690" t="s">
        <v>1327</v>
      </c>
      <c r="Z44" s="1690" t="s">
        <v>1327</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1327</v>
      </c>
      <c r="Y45" s="1690" t="s">
        <v>1327</v>
      </c>
      <c r="Z45" s="1690" t="s">
        <v>1327</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1327</v>
      </c>
      <c r="Y46" s="1690" t="s">
        <v>1327</v>
      </c>
      <c r="Z46" s="1690" t="s">
        <v>1327</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1327</v>
      </c>
      <c r="Y47" s="1690" t="s">
        <v>1327</v>
      </c>
      <c r="Z47" s="1690" t="s">
        <v>1327</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1327</v>
      </c>
      <c r="Y48" s="1690" t="s">
        <v>1327</v>
      </c>
      <c r="Z48" s="1690" t="s">
        <v>1327</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1327</v>
      </c>
      <c r="Y49" s="1690" t="s">
        <v>1327</v>
      </c>
      <c r="Z49" s="1690" t="s">
        <v>1327</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1327</v>
      </c>
      <c r="Y50" s="1690" t="s">
        <v>1327</v>
      </c>
      <c r="Z50" s="1690" t="s">
        <v>1327</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1327</v>
      </c>
      <c r="V51" s="1690" t="s">
        <v>1327</v>
      </c>
      <c r="W51" s="1690" t="s">
        <v>1327</v>
      </c>
      <c r="X51" s="1690" t="s">
        <v>1327</v>
      </c>
      <c r="Y51" s="1690" t="s">
        <v>1327</v>
      </c>
      <c r="Z51" s="1690" t="s">
        <v>1327</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1327</v>
      </c>
      <c r="J55" s="1690" t="s">
        <v>1327</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1368</v>
      </c>
      <c r="E1" s="1779" t="s">
        <v>1372</v>
      </c>
      <c r="F1" s="1780" t="s">
        <v>1376</v>
      </c>
    </row>
    <row r="2" spans="1:13" ht="20.25">
      <c r="A2" s="1786" t="s">
        <v>1369</v>
      </c>
    </row>
    <row r="3" spans="1:13" ht="16.5">
      <c r="A3" s="1787" t="s">
        <v>1370</v>
      </c>
    </row>
    <row r="4" spans="1:13" ht="14.25">
      <c r="A4" s="1777" t="s">
        <v>1371</v>
      </c>
      <c r="B4" s="1782" t="s">
        <v>1373</v>
      </c>
      <c r="C4" s="1783"/>
      <c r="D4" s="1784"/>
      <c r="E4" s="1782" t="s">
        <v>27</v>
      </c>
      <c r="F4" s="1783"/>
      <c r="G4" s="1784"/>
      <c r="H4" s="1782" t="s">
        <v>1374</v>
      </c>
      <c r="I4" s="1783"/>
      <c r="J4" s="1784"/>
      <c r="K4" s="1782" t="s">
        <v>6</v>
      </c>
      <c r="L4" s="1783"/>
      <c r="M4" s="1784"/>
    </row>
    <row r="5" spans="1:13" ht="14.25">
      <c r="A5" s="1778" t="s">
        <v>1375</v>
      </c>
      <c r="B5" s="1777" t="s">
        <v>1377</v>
      </c>
      <c r="C5" s="1777" t="s">
        <v>1378</v>
      </c>
      <c r="D5" s="1777" t="s">
        <v>1379</v>
      </c>
      <c r="E5" s="1777" t="s">
        <v>1377</v>
      </c>
      <c r="F5" s="1777" t="s">
        <v>1378</v>
      </c>
      <c r="G5" s="1777" t="s">
        <v>1379</v>
      </c>
      <c r="H5" s="1777" t="s">
        <v>1377</v>
      </c>
      <c r="I5" s="1777" t="s">
        <v>1378</v>
      </c>
      <c r="J5" s="1777" t="s">
        <v>1379</v>
      </c>
      <c r="K5" s="1777" t="s">
        <v>1377</v>
      </c>
      <c r="L5" s="1777" t="s">
        <v>1378</v>
      </c>
      <c r="M5" s="1777" t="s">
        <v>1379</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L28"/>
  <sheetViews>
    <sheetView topLeftCell="X1" workbookViewId="0">
      <selection activeCell="F18" sqref="F18"/>
    </sheetView>
  </sheetViews>
  <sheetFormatPr defaultRowHeight="13.5"/>
  <cols>
    <col min="1" max="1" width="57.125" bestFit="1" customWidth="1"/>
    <col min="2" max="2" width="7.125" bestFit="1" customWidth="1"/>
    <col min="4" max="4" width="7.125" bestFit="1" customWidth="1"/>
    <col min="5" max="5" width="5.25" bestFit="1" customWidth="1"/>
    <col min="6" max="6" width="37.5" bestFit="1" customWidth="1"/>
    <col min="8" max="8" width="20.75" bestFit="1" customWidth="1"/>
    <col min="10" max="11" width="17.375" bestFit="1" customWidth="1"/>
    <col min="12" max="12" width="13.5" bestFit="1" customWidth="1"/>
    <col min="14" max="17" width="11.625" bestFit="1" customWidth="1"/>
    <col min="18" max="18" width="20.75" bestFit="1" customWidth="1"/>
    <col min="20" max="20" width="42.125" bestFit="1" customWidth="1"/>
    <col min="21" max="23" width="13.125" bestFit="1" customWidth="1"/>
    <col min="24" max="25" width="20.5" bestFit="1" customWidth="1"/>
    <col min="26" max="27" width="18.5" bestFit="1" customWidth="1"/>
    <col min="28" max="29" width="29" bestFit="1" customWidth="1"/>
    <col min="30" max="30" width="7.125" bestFit="1" customWidth="1"/>
    <col min="32" max="32" width="20.5" bestFit="1" customWidth="1"/>
    <col min="33" max="34" width="24.75" bestFit="1" customWidth="1"/>
  </cols>
  <sheetData>
    <row r="1" spans="1:246">
      <c r="A1" s="1638" t="s">
        <v>3139</v>
      </c>
      <c r="B1" s="1638" t="s">
        <v>3140</v>
      </c>
      <c r="C1" s="1638" t="s">
        <v>3141</v>
      </c>
      <c r="D1" s="1638" t="s">
        <v>3142</v>
      </c>
      <c r="E1" s="1638" t="s">
        <v>3143</v>
      </c>
      <c r="F1" s="1638" t="s">
        <v>3144</v>
      </c>
      <c r="G1" s="1638" t="s">
        <v>3145</v>
      </c>
      <c r="H1" s="1638" t="s">
        <v>3146</v>
      </c>
      <c r="I1" s="1638" t="s">
        <v>3147</v>
      </c>
      <c r="J1" s="1638" t="s">
        <v>3148</v>
      </c>
      <c r="K1" s="1638" t="s">
        <v>3149</v>
      </c>
      <c r="L1" s="1638" t="s">
        <v>3150</v>
      </c>
      <c r="M1" s="1638" t="s">
        <v>3151</v>
      </c>
      <c r="N1" s="1638" t="s">
        <v>3152</v>
      </c>
      <c r="O1" s="1638" t="s">
        <v>3153</v>
      </c>
      <c r="P1" s="1638" t="s">
        <v>3154</v>
      </c>
      <c r="Q1" s="1638" t="s">
        <v>3155</v>
      </c>
      <c r="R1" s="1638" t="s">
        <v>3156</v>
      </c>
      <c r="S1" s="1638" t="s">
        <v>3157</v>
      </c>
      <c r="T1" s="1638" t="s">
        <v>3158</v>
      </c>
      <c r="U1" s="1638" t="s">
        <v>3159</v>
      </c>
      <c r="V1" s="1638" t="s">
        <v>3160</v>
      </c>
      <c r="W1" s="1638" t="s">
        <v>3161</v>
      </c>
      <c r="X1" s="1638" t="s">
        <v>3162</v>
      </c>
      <c r="Y1" s="1638" t="s">
        <v>3163</v>
      </c>
      <c r="Z1" s="1638" t="s">
        <v>3164</v>
      </c>
      <c r="AA1" s="1638" t="s">
        <v>3165</v>
      </c>
      <c r="AB1" s="2985" t="s">
        <v>3333</v>
      </c>
      <c r="AC1" s="1638" t="s">
        <v>3166</v>
      </c>
      <c r="AD1" s="1638" t="s">
        <v>3167</v>
      </c>
      <c r="AE1" s="1638" t="s">
        <v>3168</v>
      </c>
      <c r="AF1" s="1638" t="s">
        <v>3169</v>
      </c>
      <c r="AG1" s="1638" t="s">
        <v>3170</v>
      </c>
      <c r="AH1" s="1638" t="s">
        <v>3171</v>
      </c>
      <c r="AI1" s="1638" t="s">
        <v>3172</v>
      </c>
      <c r="AJ1" s="1638"/>
      <c r="AK1" s="1638"/>
      <c r="AL1" s="1638"/>
      <c r="AM1" s="1638"/>
      <c r="AN1" s="1638"/>
      <c r="AO1" s="1638"/>
      <c r="AP1" s="1638"/>
      <c r="AQ1" s="1638"/>
      <c r="AR1" s="1638"/>
      <c r="AS1" s="1638"/>
      <c r="AT1" s="1638"/>
      <c r="AU1" s="1638"/>
      <c r="AV1" s="1638"/>
      <c r="AW1" s="1638"/>
      <c r="AX1" s="1638"/>
      <c r="AY1" s="1638"/>
      <c r="AZ1" s="1638"/>
      <c r="BA1" s="1638"/>
      <c r="BB1" s="1638"/>
      <c r="BC1" s="1638"/>
      <c r="BD1" s="1638"/>
      <c r="BE1" s="1638"/>
      <c r="BF1" s="1638"/>
      <c r="BG1" s="1638"/>
      <c r="BH1" s="1638"/>
      <c r="BI1" s="1638"/>
      <c r="BJ1" s="1638"/>
      <c r="BK1" s="1638"/>
      <c r="BL1" s="1638"/>
      <c r="BM1" s="1638"/>
      <c r="BN1" s="1638"/>
      <c r="BO1" s="1638"/>
      <c r="BP1" s="1638"/>
      <c r="BQ1" s="1638"/>
      <c r="BR1" s="1638"/>
      <c r="BS1" s="1638"/>
      <c r="BT1" s="1638"/>
      <c r="BU1" s="1638"/>
      <c r="BV1" s="1638"/>
      <c r="BW1" s="1638"/>
      <c r="BX1" s="1638"/>
      <c r="BY1" s="1638"/>
      <c r="BZ1" s="1638"/>
      <c r="CA1" s="1638"/>
      <c r="CB1" s="1638"/>
      <c r="CC1" s="1638"/>
      <c r="CD1" s="1638"/>
      <c r="CE1" s="1638"/>
      <c r="CF1" s="1638"/>
      <c r="CG1" s="1638"/>
      <c r="CH1" s="1638"/>
      <c r="CI1" s="1638"/>
      <c r="CJ1" s="1638"/>
      <c r="CK1" s="1638"/>
      <c r="CL1" s="1638"/>
      <c r="CM1" s="1638"/>
      <c r="CN1" s="1638"/>
      <c r="CO1" s="1638"/>
      <c r="CP1" s="1638"/>
      <c r="CQ1" s="1638"/>
      <c r="CR1" s="1638"/>
      <c r="CS1" s="1638"/>
      <c r="CT1" s="1638"/>
      <c r="CU1" s="1638"/>
      <c r="CV1" s="1638"/>
      <c r="CW1" s="1638"/>
      <c r="CX1" s="1638"/>
      <c r="CY1" s="1638"/>
      <c r="CZ1" s="1638"/>
      <c r="DA1" s="1638"/>
      <c r="DB1" s="1638"/>
      <c r="DC1" s="1638"/>
      <c r="DD1" s="1638"/>
      <c r="DE1" s="1638"/>
      <c r="DF1" s="1638"/>
      <c r="DG1" s="1638"/>
      <c r="DH1" s="1638"/>
      <c r="DI1" s="1638"/>
      <c r="DJ1" s="1638"/>
      <c r="DK1" s="1638"/>
      <c r="DL1" s="1638"/>
      <c r="DM1" s="1638"/>
      <c r="DN1" s="1638"/>
      <c r="DO1" s="1638"/>
      <c r="DP1" s="1638"/>
      <c r="DQ1" s="1638"/>
      <c r="DR1" s="1638"/>
      <c r="DS1" s="1638"/>
      <c r="DT1" s="1638"/>
      <c r="DU1" s="1638"/>
      <c r="DV1" s="1638"/>
      <c r="DW1" s="1638"/>
      <c r="DX1" s="1638"/>
      <c r="DY1" s="1638"/>
      <c r="DZ1" s="1638"/>
      <c r="EA1" s="1638"/>
      <c r="EB1" s="1638"/>
      <c r="EC1" s="1638"/>
      <c r="ED1" s="1638"/>
      <c r="EE1" s="1638"/>
      <c r="EF1" s="1638"/>
      <c r="EG1" s="1638"/>
      <c r="EH1" s="1638"/>
      <c r="EI1" s="1638"/>
      <c r="EJ1" s="1638"/>
      <c r="EK1" s="1638"/>
      <c r="EL1" s="1638"/>
      <c r="EM1" s="1638"/>
      <c r="EN1" s="1638"/>
      <c r="EO1" s="1638"/>
      <c r="EP1" s="1638"/>
      <c r="EQ1" s="1638"/>
      <c r="ER1" s="1638"/>
      <c r="ES1" s="1638"/>
      <c r="ET1" s="1638"/>
      <c r="EU1" s="1638"/>
      <c r="EV1" s="1638"/>
      <c r="EW1" s="1638"/>
      <c r="EX1" s="1638"/>
      <c r="EY1" s="1638"/>
      <c r="EZ1" s="1638"/>
      <c r="FA1" s="1638"/>
      <c r="FB1" s="1638"/>
      <c r="FC1" s="1638"/>
      <c r="FD1" s="1638"/>
      <c r="FE1" s="1638"/>
      <c r="FF1" s="1638"/>
      <c r="FG1" s="1638"/>
      <c r="FH1" s="1638"/>
      <c r="FI1" s="1638"/>
      <c r="FJ1" s="1638"/>
      <c r="FK1" s="1638"/>
      <c r="FL1" s="1638"/>
      <c r="FM1" s="1638"/>
      <c r="FN1" s="1638"/>
      <c r="FO1" s="1638"/>
      <c r="FP1" s="1638"/>
      <c r="FQ1" s="1638"/>
      <c r="FR1" s="1638"/>
      <c r="FS1" s="1638"/>
      <c r="FT1" s="1638"/>
      <c r="FU1" s="1638"/>
      <c r="FV1" s="1638"/>
      <c r="FW1" s="1638"/>
      <c r="FX1" s="1638"/>
      <c r="FY1" s="1638"/>
      <c r="FZ1" s="1638"/>
      <c r="GA1" s="1638"/>
      <c r="GB1" s="1638"/>
      <c r="GC1" s="1638"/>
      <c r="GD1" s="1638"/>
      <c r="GE1" s="1638"/>
      <c r="GF1" s="1638"/>
      <c r="GG1" s="1638"/>
      <c r="GH1" s="1638"/>
      <c r="GI1" s="1638"/>
      <c r="GJ1" s="1638"/>
      <c r="GK1" s="1638"/>
      <c r="GL1" s="1638"/>
      <c r="GM1" s="1638"/>
      <c r="GN1" s="1638"/>
      <c r="GO1" s="1638"/>
      <c r="GP1" s="1638"/>
      <c r="GQ1" s="1638"/>
      <c r="GR1" s="1638"/>
      <c r="GS1" s="1638"/>
      <c r="GT1" s="1638"/>
      <c r="GU1" s="1638"/>
      <c r="GV1" s="1638"/>
      <c r="GW1" s="1638"/>
      <c r="GX1" s="1638"/>
      <c r="GY1" s="1638"/>
      <c r="GZ1" s="1638"/>
      <c r="HA1" s="1638"/>
      <c r="HB1" s="1638"/>
      <c r="HC1" s="1638"/>
      <c r="HD1" s="1638"/>
      <c r="HE1" s="1638"/>
      <c r="HF1" s="1638"/>
      <c r="HG1" s="1638"/>
      <c r="HH1" s="1638"/>
      <c r="HI1" s="1638"/>
      <c r="HJ1" s="1638"/>
      <c r="HK1" s="1638"/>
      <c r="HL1" s="1638"/>
      <c r="HM1" s="1638"/>
      <c r="HN1" s="1638"/>
      <c r="HO1" s="1638"/>
      <c r="HP1" s="1638"/>
      <c r="HQ1" s="1638"/>
      <c r="HR1" s="1638"/>
      <c r="HS1" s="1638"/>
      <c r="HT1" s="1638"/>
      <c r="HU1" s="1638"/>
      <c r="HV1" s="1638"/>
      <c r="HW1" s="1638"/>
      <c r="HX1" s="1638"/>
      <c r="HY1" s="1638"/>
      <c r="HZ1" s="1638"/>
      <c r="IA1" s="1638"/>
      <c r="IB1" s="1638"/>
      <c r="IC1" s="1638"/>
      <c r="ID1" s="1638"/>
      <c r="IE1" s="1638"/>
      <c r="IF1" s="1638"/>
      <c r="IG1" s="1638"/>
      <c r="IH1" s="1638"/>
      <c r="II1" s="1638"/>
      <c r="IJ1" s="1638"/>
      <c r="IK1" s="1638"/>
      <c r="IL1" s="1638"/>
    </row>
    <row r="2" spans="1:246">
      <c r="A2" s="1638" t="s">
        <v>3173</v>
      </c>
      <c r="B2" s="1638" t="s">
        <v>3046</v>
      </c>
      <c r="C2" s="1638" t="s">
        <v>3174</v>
      </c>
      <c r="D2" s="1638" t="s">
        <v>3175</v>
      </c>
      <c r="E2" s="1638" t="s">
        <v>1327</v>
      </c>
      <c r="F2" s="1638" t="s">
        <v>3176</v>
      </c>
      <c r="G2" s="1638" t="s">
        <v>3177</v>
      </c>
      <c r="H2" s="1638" t="s">
        <v>3178</v>
      </c>
      <c r="I2" s="1638" t="s">
        <v>6</v>
      </c>
      <c r="J2" s="1638">
        <v>181625.8</v>
      </c>
      <c r="K2" s="1638">
        <v>181625.8</v>
      </c>
      <c r="L2" s="1638">
        <v>1</v>
      </c>
      <c r="M2" s="1638" t="s">
        <v>3189</v>
      </c>
      <c r="N2" s="1638" t="s">
        <v>3190</v>
      </c>
      <c r="O2" s="1638" t="s">
        <v>3191</v>
      </c>
      <c r="P2" s="1638" t="s">
        <v>3192</v>
      </c>
      <c r="Q2" s="1638" t="s">
        <v>3192</v>
      </c>
      <c r="R2" s="1638" t="s">
        <v>3178</v>
      </c>
      <c r="S2" s="1638" t="s">
        <v>3193</v>
      </c>
      <c r="T2" s="1638" t="s">
        <v>3194</v>
      </c>
      <c r="U2" s="1638">
        <v>2200</v>
      </c>
      <c r="V2" s="1638">
        <v>10661.43</v>
      </c>
      <c r="W2" s="1638">
        <v>10661.43</v>
      </c>
      <c r="X2" s="1638">
        <v>39.130000000000003</v>
      </c>
      <c r="Y2" s="1638">
        <v>39.130000000000003</v>
      </c>
      <c r="Z2" s="1638">
        <v>586.99</v>
      </c>
      <c r="AA2" s="1638">
        <v>587</v>
      </c>
      <c r="AB2" s="1638">
        <f>ROUND(W2*10000/J2,0)</f>
        <v>587</v>
      </c>
      <c r="AC2" s="1638" t="s">
        <v>1327</v>
      </c>
      <c r="AD2" s="1638">
        <v>0</v>
      </c>
      <c r="AE2" s="1638" t="s">
        <v>3195</v>
      </c>
      <c r="AF2" s="1638" t="s">
        <v>1327</v>
      </c>
      <c r="AG2" s="1638" t="s">
        <v>1327</v>
      </c>
      <c r="AH2" s="1638" t="s">
        <v>1327</v>
      </c>
      <c r="AI2" s="1638" t="s">
        <v>3196</v>
      </c>
      <c r="AJ2" s="1638"/>
      <c r="AK2" s="1638"/>
      <c r="AL2" s="1638"/>
      <c r="AM2" s="1638"/>
      <c r="AN2" s="1638"/>
      <c r="AO2" s="1638"/>
      <c r="AP2" s="1638"/>
      <c r="AQ2" s="1638"/>
      <c r="AR2" s="1638"/>
      <c r="AS2" s="1638"/>
      <c r="AT2" s="1638"/>
      <c r="AU2" s="1638"/>
      <c r="AV2" s="1638"/>
      <c r="AW2" s="1638"/>
      <c r="AX2" s="1638"/>
      <c r="AY2" s="1638"/>
      <c r="AZ2" s="1638"/>
      <c r="BA2" s="1638"/>
      <c r="BB2" s="1638"/>
      <c r="BC2" s="1638"/>
      <c r="BD2" s="1638"/>
      <c r="BE2" s="1638"/>
      <c r="BF2" s="1638"/>
      <c r="BG2" s="1638"/>
      <c r="BH2" s="1638"/>
      <c r="BI2" s="1638"/>
      <c r="BJ2" s="1638"/>
      <c r="BK2" s="1638"/>
      <c r="BL2" s="1638"/>
      <c r="BM2" s="1638"/>
      <c r="BN2" s="1638"/>
      <c r="BO2" s="1638"/>
      <c r="BP2" s="1638"/>
      <c r="BQ2" s="1638"/>
      <c r="BR2" s="1638"/>
      <c r="BS2" s="1638"/>
      <c r="BT2" s="1638"/>
      <c r="BU2" s="1638"/>
      <c r="BV2" s="1638"/>
      <c r="BW2" s="1638"/>
      <c r="BX2" s="1638"/>
      <c r="BY2" s="1638"/>
      <c r="BZ2" s="1638"/>
      <c r="CA2" s="1638"/>
      <c r="CB2" s="1638"/>
      <c r="CC2" s="1638"/>
      <c r="CD2" s="1638"/>
      <c r="CE2" s="1638"/>
      <c r="CF2" s="1638"/>
      <c r="CG2" s="1638"/>
      <c r="CH2" s="1638"/>
      <c r="CI2" s="1638"/>
      <c r="CJ2" s="1638"/>
      <c r="CK2" s="1638"/>
      <c r="CL2" s="1638"/>
      <c r="CM2" s="1638"/>
      <c r="CN2" s="1638"/>
      <c r="CO2" s="1638"/>
      <c r="CP2" s="1638"/>
      <c r="CQ2" s="1638"/>
      <c r="CR2" s="1638"/>
      <c r="CS2" s="1638"/>
      <c r="CT2" s="1638"/>
      <c r="CU2" s="1638"/>
      <c r="CV2" s="1638"/>
      <c r="CW2" s="1638"/>
      <c r="CX2" s="1638"/>
      <c r="CY2" s="1638"/>
      <c r="CZ2" s="1638"/>
      <c r="DA2" s="1638"/>
      <c r="DB2" s="1638"/>
      <c r="DC2" s="1638"/>
      <c r="DD2" s="1638"/>
      <c r="DE2" s="1638"/>
      <c r="DF2" s="1638"/>
      <c r="DG2" s="1638"/>
      <c r="DH2" s="1638"/>
      <c r="DI2" s="1638"/>
      <c r="DJ2" s="1638"/>
      <c r="DK2" s="1638"/>
      <c r="DL2" s="1638"/>
      <c r="DM2" s="1638"/>
      <c r="DN2" s="1638"/>
      <c r="DO2" s="1638"/>
      <c r="DP2" s="1638"/>
      <c r="DQ2" s="1638"/>
      <c r="DR2" s="1638"/>
      <c r="DS2" s="1638"/>
      <c r="DT2" s="1638"/>
      <c r="DU2" s="1638"/>
      <c r="DV2" s="1638"/>
      <c r="DW2" s="1638"/>
      <c r="DX2" s="1638"/>
      <c r="DY2" s="1638"/>
      <c r="DZ2" s="1638"/>
      <c r="EA2" s="1638"/>
      <c r="EB2" s="1638"/>
      <c r="EC2" s="1638"/>
      <c r="ED2" s="1638"/>
      <c r="EE2" s="1638"/>
      <c r="EF2" s="1638"/>
      <c r="EG2" s="1638"/>
      <c r="EH2" s="1638"/>
      <c r="EI2" s="1638"/>
      <c r="EJ2" s="1638"/>
      <c r="EK2" s="1638"/>
      <c r="EL2" s="1638"/>
      <c r="EM2" s="1638"/>
      <c r="EN2" s="1638"/>
      <c r="EO2" s="1638"/>
      <c r="EP2" s="1638"/>
      <c r="EQ2" s="1638"/>
      <c r="ER2" s="1638"/>
      <c r="ES2" s="1638"/>
      <c r="ET2" s="1638"/>
      <c r="EU2" s="1638"/>
      <c r="EV2" s="1638"/>
      <c r="EW2" s="1638"/>
      <c r="EX2" s="1638"/>
      <c r="EY2" s="1638"/>
      <c r="EZ2" s="1638"/>
      <c r="FA2" s="1638"/>
      <c r="FB2" s="1638"/>
      <c r="FC2" s="1638"/>
      <c r="FD2" s="1638"/>
      <c r="FE2" s="1638"/>
      <c r="FF2" s="1638"/>
      <c r="FG2" s="1638"/>
      <c r="FH2" s="1638"/>
      <c r="FI2" s="1638"/>
      <c r="FJ2" s="1638"/>
      <c r="FK2" s="1638"/>
      <c r="FL2" s="1638"/>
      <c r="FM2" s="1638"/>
      <c r="FN2" s="1638"/>
      <c r="FO2" s="1638"/>
      <c r="FP2" s="1638"/>
      <c r="FQ2" s="1638"/>
      <c r="FR2" s="1638"/>
      <c r="FS2" s="1638"/>
      <c r="FT2" s="1638"/>
      <c r="FU2" s="1638"/>
      <c r="FV2" s="1638"/>
      <c r="FW2" s="1638"/>
      <c r="FX2" s="1638"/>
      <c r="FY2" s="1638"/>
      <c r="FZ2" s="1638"/>
      <c r="GA2" s="1638"/>
      <c r="GB2" s="1638"/>
      <c r="GC2" s="1638"/>
      <c r="GD2" s="1638"/>
      <c r="GE2" s="1638"/>
      <c r="GF2" s="1638"/>
      <c r="GG2" s="1638"/>
      <c r="GH2" s="1638"/>
      <c r="GI2" s="1638"/>
      <c r="GJ2" s="1638"/>
      <c r="GK2" s="1638"/>
      <c r="GL2" s="1638"/>
      <c r="GM2" s="1638"/>
      <c r="GN2" s="1638"/>
      <c r="GO2" s="1638"/>
      <c r="GP2" s="1638"/>
      <c r="GQ2" s="1638"/>
      <c r="GR2" s="1638"/>
      <c r="GS2" s="1638"/>
      <c r="GT2" s="1638"/>
      <c r="GU2" s="1638"/>
      <c r="GV2" s="1638"/>
      <c r="GW2" s="1638"/>
      <c r="GX2" s="1638"/>
      <c r="GY2" s="1638"/>
      <c r="GZ2" s="1638"/>
      <c r="HA2" s="1638"/>
      <c r="HB2" s="1638"/>
      <c r="HC2" s="1638"/>
      <c r="HD2" s="1638"/>
      <c r="HE2" s="1638"/>
      <c r="HF2" s="1638"/>
      <c r="HG2" s="1638"/>
      <c r="HH2" s="1638"/>
      <c r="HI2" s="1638"/>
      <c r="HJ2" s="1638"/>
      <c r="HK2" s="1638"/>
      <c r="HL2" s="1638"/>
      <c r="HM2" s="1638"/>
      <c r="HN2" s="1638"/>
      <c r="HO2" s="1638"/>
      <c r="HP2" s="1638"/>
      <c r="HQ2" s="1638"/>
      <c r="HR2" s="1638"/>
      <c r="HS2" s="1638"/>
      <c r="HT2" s="1638"/>
      <c r="HU2" s="1638"/>
      <c r="HV2" s="1638"/>
      <c r="HW2" s="1638"/>
      <c r="HX2" s="1638"/>
      <c r="HY2" s="1638"/>
      <c r="HZ2" s="1638"/>
      <c r="IA2" s="1638"/>
      <c r="IB2" s="1638"/>
      <c r="IC2" s="1638"/>
      <c r="ID2" s="1638"/>
      <c r="IE2" s="1638"/>
      <c r="IF2" s="1638"/>
      <c r="IG2" s="1638"/>
      <c r="IH2" s="1638"/>
      <c r="II2" s="1638"/>
      <c r="IJ2" s="1638"/>
      <c r="IK2" s="1638"/>
      <c r="IL2" s="1638"/>
    </row>
    <row r="3" spans="1:246">
      <c r="A3" s="2977" t="s">
        <v>3179</v>
      </c>
      <c r="B3" s="2977" t="s">
        <v>3046</v>
      </c>
      <c r="C3" s="2977" t="s">
        <v>3174</v>
      </c>
      <c r="D3" s="2977" t="s">
        <v>3175</v>
      </c>
      <c r="E3" s="2977" t="s">
        <v>1327</v>
      </c>
      <c r="F3" s="2977" t="s">
        <v>3179</v>
      </c>
      <c r="G3" s="2977" t="s">
        <v>3177</v>
      </c>
      <c r="H3" s="2977" t="s">
        <v>3180</v>
      </c>
      <c r="I3" s="2977" t="s">
        <v>6</v>
      </c>
      <c r="J3" s="2977">
        <v>101774.9</v>
      </c>
      <c r="K3" s="2977">
        <v>152662.29999999999</v>
      </c>
      <c r="L3" s="2977">
        <v>1.5</v>
      </c>
      <c r="M3" s="2977" t="s">
        <v>3189</v>
      </c>
      <c r="N3" s="2977" t="s">
        <v>3197</v>
      </c>
      <c r="O3" s="2977" t="s">
        <v>3198</v>
      </c>
      <c r="P3" s="2977" t="s">
        <v>3199</v>
      </c>
      <c r="Q3" s="2977" t="s">
        <v>3199</v>
      </c>
      <c r="R3" s="2977" t="s">
        <v>3180</v>
      </c>
      <c r="S3" s="2977" t="s">
        <v>3193</v>
      </c>
      <c r="T3" s="2977" t="s">
        <v>3194</v>
      </c>
      <c r="U3" s="2977">
        <v>1800</v>
      </c>
      <c r="V3" s="2977">
        <v>8961.2800000000007</v>
      </c>
      <c r="W3" s="2977">
        <v>8961.2800000000007</v>
      </c>
      <c r="X3" s="2977">
        <v>58.7</v>
      </c>
      <c r="Y3" s="2977">
        <v>58.7</v>
      </c>
      <c r="Z3" s="2977">
        <v>587</v>
      </c>
      <c r="AA3" s="2977">
        <v>587</v>
      </c>
      <c r="AB3" s="1638">
        <f t="shared" ref="AB3:AB28" si="0">ROUND(W3*10000/J3,0)</f>
        <v>881</v>
      </c>
      <c r="AC3" s="2977" t="s">
        <v>1327</v>
      </c>
      <c r="AD3" s="2977">
        <v>0</v>
      </c>
      <c r="AE3" s="2977" t="s">
        <v>3195</v>
      </c>
      <c r="AF3" s="2977" t="s">
        <v>1327</v>
      </c>
      <c r="AG3" s="2977" t="s">
        <v>1327</v>
      </c>
      <c r="AH3" s="2977" t="s">
        <v>1327</v>
      </c>
      <c r="AI3" s="2977" t="s">
        <v>3196</v>
      </c>
      <c r="AJ3" s="2977"/>
      <c r="AK3" s="2977"/>
      <c r="AL3" s="2977"/>
      <c r="AM3" s="2977"/>
      <c r="AN3" s="2977"/>
      <c r="AO3" s="2977"/>
      <c r="AP3" s="2977"/>
      <c r="AQ3" s="2977"/>
      <c r="AR3" s="2977"/>
      <c r="AS3" s="2977"/>
      <c r="AT3" s="2977"/>
      <c r="AU3" s="2977"/>
      <c r="AV3" s="2977"/>
      <c r="AW3" s="2977"/>
      <c r="AX3" s="2977"/>
      <c r="AY3" s="2977"/>
      <c r="AZ3" s="2977"/>
      <c r="BA3" s="2977"/>
      <c r="BB3" s="2977"/>
      <c r="BC3" s="2977"/>
      <c r="BD3" s="2977"/>
      <c r="BE3" s="2977"/>
      <c r="BF3" s="2977"/>
      <c r="BG3" s="2977"/>
      <c r="BH3" s="2977"/>
      <c r="BI3" s="2977"/>
      <c r="BJ3" s="2977"/>
      <c r="BK3" s="2977"/>
      <c r="BL3" s="2977"/>
      <c r="BM3" s="2977"/>
      <c r="BN3" s="2977"/>
      <c r="BO3" s="2977"/>
      <c r="BP3" s="2977"/>
      <c r="BQ3" s="2977"/>
      <c r="BR3" s="2977"/>
      <c r="BS3" s="2977"/>
      <c r="BT3" s="2977"/>
      <c r="BU3" s="2977"/>
      <c r="BV3" s="2977"/>
      <c r="BW3" s="2977"/>
      <c r="BX3" s="2977"/>
      <c r="BY3" s="2977"/>
      <c r="BZ3" s="2977"/>
      <c r="CA3" s="2977"/>
      <c r="CB3" s="2977"/>
      <c r="CC3" s="2977"/>
      <c r="CD3" s="2977"/>
      <c r="CE3" s="2977"/>
      <c r="CF3" s="2977"/>
      <c r="CG3" s="2977"/>
      <c r="CH3" s="2977"/>
      <c r="CI3" s="2977"/>
      <c r="CJ3" s="2977"/>
      <c r="CK3" s="2977"/>
      <c r="CL3" s="2977"/>
      <c r="CM3" s="2977"/>
      <c r="CN3" s="2977"/>
      <c r="CO3" s="2977"/>
      <c r="CP3" s="2977"/>
      <c r="CQ3" s="2977"/>
      <c r="CR3" s="2977"/>
      <c r="CS3" s="2977"/>
      <c r="CT3" s="2977"/>
      <c r="CU3" s="2977"/>
      <c r="CV3" s="2977"/>
      <c r="CW3" s="2977"/>
      <c r="CX3" s="2977"/>
      <c r="CY3" s="2977"/>
      <c r="CZ3" s="2977"/>
      <c r="DA3" s="2977"/>
      <c r="DB3" s="2977"/>
      <c r="DC3" s="2977"/>
      <c r="DD3" s="2977"/>
      <c r="DE3" s="2977"/>
      <c r="DF3" s="2977"/>
      <c r="DG3" s="2977"/>
      <c r="DH3" s="2977"/>
      <c r="DI3" s="2977"/>
      <c r="DJ3" s="2977"/>
      <c r="DK3" s="2977"/>
      <c r="DL3" s="2977"/>
      <c r="DM3" s="2977"/>
      <c r="DN3" s="2977"/>
      <c r="DO3" s="2977"/>
      <c r="DP3" s="2977"/>
      <c r="DQ3" s="2977"/>
      <c r="DR3" s="2977"/>
      <c r="DS3" s="2977"/>
      <c r="DT3" s="2977"/>
      <c r="DU3" s="2977"/>
      <c r="DV3" s="2977"/>
      <c r="DW3" s="2977"/>
      <c r="DX3" s="2977"/>
      <c r="DY3" s="2977"/>
      <c r="DZ3" s="2977"/>
      <c r="EA3" s="2977"/>
      <c r="EB3" s="2977"/>
      <c r="EC3" s="2977"/>
      <c r="ED3" s="2977"/>
      <c r="EE3" s="2977"/>
      <c r="EF3" s="2977"/>
      <c r="EG3" s="2977"/>
      <c r="EH3" s="2977"/>
      <c r="EI3" s="2977"/>
      <c r="EJ3" s="2977"/>
      <c r="EK3" s="2977"/>
      <c r="EL3" s="2977"/>
      <c r="EM3" s="2977"/>
      <c r="EN3" s="2977"/>
      <c r="EO3" s="2977"/>
      <c r="EP3" s="2977"/>
      <c r="EQ3" s="2977"/>
      <c r="ER3" s="2977"/>
      <c r="ES3" s="2977"/>
      <c r="ET3" s="2977"/>
      <c r="EU3" s="2977"/>
      <c r="EV3" s="2977"/>
      <c r="EW3" s="2977"/>
      <c r="EX3" s="2977"/>
      <c r="EY3" s="2977"/>
      <c r="EZ3" s="2977"/>
      <c r="FA3" s="2977"/>
      <c r="FB3" s="2977"/>
      <c r="FC3" s="2977"/>
      <c r="FD3" s="2977"/>
      <c r="FE3" s="2977"/>
      <c r="FF3" s="2977"/>
      <c r="FG3" s="2977"/>
      <c r="FH3" s="2977"/>
      <c r="FI3" s="2977"/>
      <c r="FJ3" s="2977"/>
      <c r="FK3" s="2977"/>
      <c r="FL3" s="2977"/>
      <c r="FM3" s="2977"/>
      <c r="FN3" s="2977"/>
      <c r="FO3" s="2977"/>
      <c r="FP3" s="2977"/>
      <c r="FQ3" s="2977"/>
      <c r="FR3" s="2977"/>
      <c r="FS3" s="2977"/>
      <c r="FT3" s="2977"/>
      <c r="FU3" s="2977"/>
      <c r="FV3" s="2977"/>
      <c r="FW3" s="2977"/>
      <c r="FX3" s="2977"/>
      <c r="FY3" s="2977"/>
      <c r="FZ3" s="2977"/>
      <c r="GA3" s="2977"/>
      <c r="GB3" s="2977"/>
      <c r="GC3" s="2977"/>
      <c r="GD3" s="2977"/>
      <c r="GE3" s="2977"/>
      <c r="GF3" s="2977"/>
      <c r="GG3" s="2977"/>
      <c r="GH3" s="2977"/>
      <c r="GI3" s="2977"/>
      <c r="GJ3" s="2977"/>
      <c r="GK3" s="2977"/>
      <c r="GL3" s="2977"/>
      <c r="GM3" s="2977"/>
      <c r="GN3" s="2977"/>
      <c r="GO3" s="2977"/>
      <c r="GP3" s="2977"/>
      <c r="GQ3" s="2977"/>
      <c r="GR3" s="2977"/>
      <c r="GS3" s="2977"/>
      <c r="GT3" s="2977"/>
      <c r="GU3" s="2977"/>
      <c r="GV3" s="2977"/>
      <c r="GW3" s="2977"/>
      <c r="GX3" s="2977"/>
      <c r="GY3" s="2977"/>
      <c r="GZ3" s="2977"/>
      <c r="HA3" s="2977"/>
      <c r="HB3" s="2977"/>
      <c r="HC3" s="2977"/>
      <c r="HD3" s="2977"/>
      <c r="HE3" s="2977"/>
      <c r="HF3" s="2977"/>
      <c r="HG3" s="2977"/>
      <c r="HH3" s="2977"/>
      <c r="HI3" s="2977"/>
      <c r="HJ3" s="2977"/>
      <c r="HK3" s="2977"/>
      <c r="HL3" s="2977"/>
      <c r="HM3" s="2977"/>
      <c r="HN3" s="2977"/>
      <c r="HO3" s="2977"/>
      <c r="HP3" s="2977"/>
      <c r="HQ3" s="2977"/>
      <c r="HR3" s="2977"/>
      <c r="HS3" s="2977"/>
      <c r="HT3" s="2977"/>
      <c r="HU3" s="2977"/>
      <c r="HV3" s="2977"/>
      <c r="HW3" s="2977"/>
      <c r="HX3" s="2977"/>
      <c r="HY3" s="2977"/>
      <c r="HZ3" s="2977"/>
      <c r="IA3" s="2977"/>
      <c r="IB3" s="2977"/>
      <c r="IC3" s="2977"/>
      <c r="ID3" s="2977"/>
      <c r="IE3" s="2977"/>
      <c r="IF3" s="2977"/>
      <c r="IG3" s="2977"/>
      <c r="IH3" s="2977"/>
      <c r="II3" s="2977"/>
      <c r="IJ3" s="2977"/>
      <c r="IK3" s="2977"/>
      <c r="IL3" s="2977"/>
    </row>
    <row r="4" spans="1:246">
      <c r="A4" s="1638" t="s">
        <v>3181</v>
      </c>
      <c r="B4" s="1638" t="s">
        <v>3046</v>
      </c>
      <c r="C4" s="1638" t="s">
        <v>3174</v>
      </c>
      <c r="D4" s="1638" t="s">
        <v>3175</v>
      </c>
      <c r="E4" s="1638" t="s">
        <v>1327</v>
      </c>
      <c r="F4" s="1638" t="s">
        <v>3181</v>
      </c>
      <c r="G4" s="1638" t="s">
        <v>3177</v>
      </c>
      <c r="H4" s="1638" t="s">
        <v>3182</v>
      </c>
      <c r="I4" s="1638" t="s">
        <v>6</v>
      </c>
      <c r="J4" s="1638">
        <v>77958.5</v>
      </c>
      <c r="K4" s="1638">
        <v>155917</v>
      </c>
      <c r="L4" s="1638">
        <v>2</v>
      </c>
      <c r="M4" s="1638" t="s">
        <v>3189</v>
      </c>
      <c r="N4" s="1638" t="s">
        <v>3197</v>
      </c>
      <c r="O4" s="1638" t="s">
        <v>3198</v>
      </c>
      <c r="P4" s="1638" t="s">
        <v>3199</v>
      </c>
      <c r="Q4" s="1638" t="s">
        <v>3199</v>
      </c>
      <c r="R4" s="1638" t="s">
        <v>3182</v>
      </c>
      <c r="S4" s="1638" t="s">
        <v>3193</v>
      </c>
      <c r="T4" s="1638" t="s">
        <v>3194</v>
      </c>
      <c r="U4" s="1638">
        <v>1900</v>
      </c>
      <c r="V4" s="1638">
        <v>9152.32</v>
      </c>
      <c r="W4" s="1638">
        <v>9152.32</v>
      </c>
      <c r="X4" s="1638">
        <v>78.27</v>
      </c>
      <c r="Y4" s="1638">
        <v>78.27</v>
      </c>
      <c r="Z4" s="1638">
        <v>587</v>
      </c>
      <c r="AA4" s="1638">
        <v>587</v>
      </c>
      <c r="AB4" s="1638">
        <f t="shared" si="0"/>
        <v>1174</v>
      </c>
      <c r="AC4" s="1638" t="s">
        <v>1327</v>
      </c>
      <c r="AD4" s="1638">
        <v>0</v>
      </c>
      <c r="AE4" s="1638" t="s">
        <v>3195</v>
      </c>
      <c r="AF4" s="1638" t="s">
        <v>1327</v>
      </c>
      <c r="AG4" s="1638" t="s">
        <v>1327</v>
      </c>
      <c r="AH4" s="1638" t="s">
        <v>1327</v>
      </c>
      <c r="AI4" s="1638" t="s">
        <v>3196</v>
      </c>
      <c r="AJ4" s="1638"/>
      <c r="AK4" s="1638"/>
      <c r="AL4" s="1638"/>
      <c r="AM4" s="1638"/>
      <c r="AN4" s="1638"/>
      <c r="AO4" s="1638"/>
      <c r="AP4" s="1638"/>
      <c r="AQ4" s="1638"/>
      <c r="AR4" s="1638"/>
      <c r="AS4" s="1638"/>
      <c r="AT4" s="1638"/>
      <c r="AU4" s="1638"/>
      <c r="AV4" s="1638"/>
      <c r="AW4" s="1638"/>
      <c r="AX4" s="1638"/>
      <c r="AY4" s="1638"/>
      <c r="AZ4" s="1638"/>
      <c r="BA4" s="1638"/>
      <c r="BB4" s="1638"/>
      <c r="BC4" s="1638"/>
      <c r="BD4" s="1638"/>
      <c r="BE4" s="1638"/>
      <c r="BF4" s="1638"/>
      <c r="BG4" s="1638"/>
      <c r="BH4" s="1638"/>
      <c r="BI4" s="1638"/>
      <c r="BJ4" s="1638"/>
      <c r="BK4" s="1638"/>
      <c r="BL4" s="1638"/>
      <c r="BM4" s="1638"/>
      <c r="BN4" s="1638"/>
      <c r="BO4" s="1638"/>
      <c r="BP4" s="1638"/>
      <c r="BQ4" s="1638"/>
      <c r="BR4" s="1638"/>
      <c r="BS4" s="1638"/>
      <c r="BT4" s="1638"/>
      <c r="BU4" s="1638"/>
      <c r="BV4" s="1638"/>
      <c r="BW4" s="1638"/>
      <c r="BX4" s="1638"/>
      <c r="BY4" s="1638"/>
      <c r="BZ4" s="1638"/>
      <c r="CA4" s="1638"/>
      <c r="CB4" s="1638"/>
      <c r="CC4" s="1638"/>
      <c r="CD4" s="1638"/>
      <c r="CE4" s="1638"/>
      <c r="CF4" s="1638"/>
      <c r="CG4" s="1638"/>
      <c r="CH4" s="1638"/>
      <c r="CI4" s="1638"/>
      <c r="CJ4" s="1638"/>
      <c r="CK4" s="1638"/>
      <c r="CL4" s="1638"/>
      <c r="CM4" s="1638"/>
      <c r="CN4" s="1638"/>
      <c r="CO4" s="1638"/>
      <c r="CP4" s="1638"/>
      <c r="CQ4" s="1638"/>
      <c r="CR4" s="1638"/>
      <c r="CS4" s="1638"/>
      <c r="CT4" s="1638"/>
      <c r="CU4" s="1638"/>
      <c r="CV4" s="1638"/>
      <c r="CW4" s="1638"/>
      <c r="CX4" s="1638"/>
      <c r="CY4" s="1638"/>
      <c r="CZ4" s="1638"/>
      <c r="DA4" s="1638"/>
      <c r="DB4" s="1638"/>
      <c r="DC4" s="1638"/>
      <c r="DD4" s="1638"/>
      <c r="DE4" s="1638"/>
      <c r="DF4" s="1638"/>
      <c r="DG4" s="1638"/>
      <c r="DH4" s="1638"/>
      <c r="DI4" s="1638"/>
      <c r="DJ4" s="1638"/>
      <c r="DK4" s="1638"/>
      <c r="DL4" s="1638"/>
      <c r="DM4" s="1638"/>
      <c r="DN4" s="1638"/>
      <c r="DO4" s="1638"/>
      <c r="DP4" s="1638"/>
      <c r="DQ4" s="1638"/>
      <c r="DR4" s="1638"/>
      <c r="DS4" s="1638"/>
      <c r="DT4" s="1638"/>
      <c r="DU4" s="1638"/>
      <c r="DV4" s="1638"/>
      <c r="DW4" s="1638"/>
      <c r="DX4" s="1638"/>
      <c r="DY4" s="1638"/>
      <c r="DZ4" s="1638"/>
      <c r="EA4" s="1638"/>
      <c r="EB4" s="1638"/>
      <c r="EC4" s="1638"/>
      <c r="ED4" s="1638"/>
      <c r="EE4" s="1638"/>
      <c r="EF4" s="1638"/>
      <c r="EG4" s="1638"/>
      <c r="EH4" s="1638"/>
      <c r="EI4" s="1638"/>
      <c r="EJ4" s="1638"/>
      <c r="EK4" s="1638"/>
      <c r="EL4" s="1638"/>
      <c r="EM4" s="1638"/>
      <c r="EN4" s="1638"/>
      <c r="EO4" s="1638"/>
      <c r="EP4" s="1638"/>
      <c r="EQ4" s="1638"/>
      <c r="ER4" s="1638"/>
      <c r="ES4" s="1638"/>
      <c r="ET4" s="1638"/>
      <c r="EU4" s="1638"/>
      <c r="EV4" s="1638"/>
      <c r="EW4" s="1638"/>
      <c r="EX4" s="1638"/>
      <c r="EY4" s="1638"/>
      <c r="EZ4" s="1638"/>
      <c r="FA4" s="1638"/>
      <c r="FB4" s="1638"/>
      <c r="FC4" s="1638"/>
      <c r="FD4" s="1638"/>
      <c r="FE4" s="1638"/>
      <c r="FF4" s="1638"/>
      <c r="FG4" s="1638"/>
      <c r="FH4" s="1638"/>
      <c r="FI4" s="1638"/>
      <c r="FJ4" s="1638"/>
      <c r="FK4" s="1638"/>
      <c r="FL4" s="1638"/>
      <c r="FM4" s="1638"/>
      <c r="FN4" s="1638"/>
      <c r="FO4" s="1638"/>
      <c r="FP4" s="1638"/>
      <c r="FQ4" s="1638"/>
      <c r="FR4" s="1638"/>
      <c r="FS4" s="1638"/>
      <c r="FT4" s="1638"/>
      <c r="FU4" s="1638"/>
      <c r="FV4" s="1638"/>
      <c r="FW4" s="1638"/>
      <c r="FX4" s="1638"/>
      <c r="FY4" s="1638"/>
      <c r="FZ4" s="1638"/>
      <c r="GA4" s="1638"/>
      <c r="GB4" s="1638"/>
      <c r="GC4" s="1638"/>
      <c r="GD4" s="1638"/>
      <c r="GE4" s="1638"/>
      <c r="GF4" s="1638"/>
      <c r="GG4" s="1638"/>
      <c r="GH4" s="1638"/>
      <c r="GI4" s="1638"/>
      <c r="GJ4" s="1638"/>
      <c r="GK4" s="1638"/>
      <c r="GL4" s="1638"/>
      <c r="GM4" s="1638"/>
      <c r="GN4" s="1638"/>
      <c r="GO4" s="1638"/>
      <c r="GP4" s="1638"/>
      <c r="GQ4" s="1638"/>
      <c r="GR4" s="1638"/>
      <c r="GS4" s="1638"/>
      <c r="GT4" s="1638"/>
      <c r="GU4" s="1638"/>
      <c r="GV4" s="1638"/>
      <c r="GW4" s="1638"/>
      <c r="GX4" s="1638"/>
      <c r="GY4" s="1638"/>
      <c r="GZ4" s="1638"/>
      <c r="HA4" s="1638"/>
      <c r="HB4" s="1638"/>
      <c r="HC4" s="1638"/>
      <c r="HD4" s="1638"/>
      <c r="HE4" s="1638"/>
      <c r="HF4" s="1638"/>
      <c r="HG4" s="1638"/>
      <c r="HH4" s="1638"/>
      <c r="HI4" s="1638"/>
      <c r="HJ4" s="1638"/>
      <c r="HK4" s="1638"/>
      <c r="HL4" s="1638"/>
      <c r="HM4" s="1638"/>
      <c r="HN4" s="1638"/>
      <c r="HO4" s="1638"/>
      <c r="HP4" s="1638"/>
      <c r="HQ4" s="1638"/>
      <c r="HR4" s="1638"/>
      <c r="HS4" s="1638"/>
      <c r="HT4" s="1638"/>
      <c r="HU4" s="1638"/>
      <c r="HV4" s="1638"/>
      <c r="HW4" s="1638"/>
      <c r="HX4" s="1638"/>
      <c r="HY4" s="1638"/>
      <c r="HZ4" s="1638"/>
      <c r="IA4" s="1638"/>
      <c r="IB4" s="1638"/>
      <c r="IC4" s="1638"/>
      <c r="ID4" s="1638"/>
      <c r="IE4" s="1638"/>
      <c r="IF4" s="1638"/>
      <c r="IG4" s="1638"/>
      <c r="IH4" s="1638"/>
      <c r="II4" s="1638"/>
      <c r="IJ4" s="1638"/>
      <c r="IK4" s="1638"/>
      <c r="IL4" s="1638"/>
    </row>
    <row r="5" spans="1:246">
      <c r="A5" s="1638" t="s">
        <v>3183</v>
      </c>
      <c r="B5" s="1638" t="s">
        <v>3046</v>
      </c>
      <c r="C5" s="1638" t="s">
        <v>3174</v>
      </c>
      <c r="D5" s="1638" t="s">
        <v>3175</v>
      </c>
      <c r="E5" s="1638" t="s">
        <v>1327</v>
      </c>
      <c r="F5" s="1638" t="s">
        <v>3184</v>
      </c>
      <c r="G5" s="1638" t="s">
        <v>3177</v>
      </c>
      <c r="H5" s="1638" t="s">
        <v>3185</v>
      </c>
      <c r="I5" s="1638" t="s">
        <v>6</v>
      </c>
      <c r="J5" s="1638">
        <v>9951.4</v>
      </c>
      <c r="K5" s="1638">
        <v>19902.8</v>
      </c>
      <c r="L5" s="1638">
        <v>2</v>
      </c>
      <c r="M5" s="1638" t="s">
        <v>3189</v>
      </c>
      <c r="N5" s="1638" t="s">
        <v>3197</v>
      </c>
      <c r="O5" s="1638" t="s">
        <v>3198</v>
      </c>
      <c r="P5" s="1638" t="s">
        <v>3199</v>
      </c>
      <c r="Q5" s="1638" t="s">
        <v>3199</v>
      </c>
      <c r="R5" s="1638" t="s">
        <v>3185</v>
      </c>
      <c r="S5" s="1638" t="s">
        <v>3193</v>
      </c>
      <c r="T5" s="1638" t="s">
        <v>3200</v>
      </c>
      <c r="U5" s="1638">
        <v>300</v>
      </c>
      <c r="V5" s="1638">
        <v>1444.94</v>
      </c>
      <c r="W5" s="1638">
        <v>1444.94</v>
      </c>
      <c r="X5" s="1638">
        <v>96.8</v>
      </c>
      <c r="Y5" s="1638">
        <v>96.8</v>
      </c>
      <c r="Z5" s="1638">
        <v>725.99</v>
      </c>
      <c r="AA5" s="1638">
        <v>726</v>
      </c>
      <c r="AB5" s="1638">
        <f t="shared" si="0"/>
        <v>1452</v>
      </c>
      <c r="AC5" s="1638" t="s">
        <v>1327</v>
      </c>
      <c r="AD5" s="1638">
        <v>0</v>
      </c>
      <c r="AE5" s="1638" t="s">
        <v>3195</v>
      </c>
      <c r="AF5" s="1638" t="s">
        <v>1327</v>
      </c>
      <c r="AG5" s="1638" t="s">
        <v>1327</v>
      </c>
      <c r="AH5" s="1638" t="s">
        <v>1327</v>
      </c>
      <c r="AI5" s="1638" t="s">
        <v>3196</v>
      </c>
      <c r="AJ5" s="1638"/>
      <c r="AK5" s="1638"/>
      <c r="AL5" s="1638"/>
      <c r="AM5" s="1638"/>
      <c r="AN5" s="1638"/>
      <c r="AO5" s="1638"/>
      <c r="AP5" s="1638"/>
      <c r="AQ5" s="1638"/>
      <c r="AR5" s="1638"/>
      <c r="AS5" s="1638"/>
      <c r="AT5" s="1638"/>
      <c r="AU5" s="1638"/>
      <c r="AV5" s="1638"/>
      <c r="AW5" s="1638"/>
      <c r="AX5" s="1638"/>
      <c r="AY5" s="1638"/>
      <c r="AZ5" s="1638"/>
      <c r="BA5" s="1638"/>
      <c r="BB5" s="1638"/>
      <c r="BC5" s="1638"/>
      <c r="BD5" s="1638"/>
      <c r="BE5" s="1638"/>
      <c r="BF5" s="1638"/>
      <c r="BG5" s="1638"/>
      <c r="BH5" s="1638"/>
      <c r="BI5" s="1638"/>
      <c r="BJ5" s="1638"/>
      <c r="BK5" s="1638"/>
      <c r="BL5" s="1638"/>
      <c r="BM5" s="1638"/>
      <c r="BN5" s="1638"/>
      <c r="BO5" s="1638"/>
      <c r="BP5" s="1638"/>
      <c r="BQ5" s="1638"/>
      <c r="BR5" s="1638"/>
      <c r="BS5" s="1638"/>
      <c r="BT5" s="1638"/>
      <c r="BU5" s="1638"/>
      <c r="BV5" s="1638"/>
      <c r="BW5" s="1638"/>
      <c r="BX5" s="1638"/>
      <c r="BY5" s="1638"/>
      <c r="BZ5" s="1638"/>
      <c r="CA5" s="1638"/>
      <c r="CB5" s="1638"/>
      <c r="CC5" s="1638"/>
      <c r="CD5" s="1638"/>
      <c r="CE5" s="1638"/>
      <c r="CF5" s="1638"/>
      <c r="CG5" s="1638"/>
      <c r="CH5" s="1638"/>
      <c r="CI5" s="1638"/>
      <c r="CJ5" s="1638"/>
      <c r="CK5" s="1638"/>
      <c r="CL5" s="1638"/>
      <c r="CM5" s="1638"/>
      <c r="CN5" s="1638"/>
      <c r="CO5" s="1638"/>
      <c r="CP5" s="1638"/>
      <c r="CQ5" s="1638"/>
      <c r="CR5" s="1638"/>
      <c r="CS5" s="1638"/>
      <c r="CT5" s="1638"/>
      <c r="CU5" s="1638"/>
      <c r="CV5" s="1638"/>
      <c r="CW5" s="1638"/>
      <c r="CX5" s="1638"/>
      <c r="CY5" s="1638"/>
      <c r="CZ5" s="1638"/>
      <c r="DA5" s="1638"/>
      <c r="DB5" s="1638"/>
      <c r="DC5" s="1638"/>
      <c r="DD5" s="1638"/>
      <c r="DE5" s="1638"/>
      <c r="DF5" s="1638"/>
      <c r="DG5" s="1638"/>
      <c r="DH5" s="1638"/>
      <c r="DI5" s="1638"/>
      <c r="DJ5" s="1638"/>
      <c r="DK5" s="1638"/>
      <c r="DL5" s="1638"/>
      <c r="DM5" s="1638"/>
      <c r="DN5" s="1638"/>
      <c r="DO5" s="1638"/>
      <c r="DP5" s="1638"/>
      <c r="DQ5" s="1638"/>
      <c r="DR5" s="1638"/>
      <c r="DS5" s="1638"/>
      <c r="DT5" s="1638"/>
      <c r="DU5" s="1638"/>
      <c r="DV5" s="1638"/>
      <c r="DW5" s="1638"/>
      <c r="DX5" s="1638"/>
      <c r="DY5" s="1638"/>
      <c r="DZ5" s="1638"/>
      <c r="EA5" s="1638"/>
      <c r="EB5" s="1638"/>
      <c r="EC5" s="1638"/>
      <c r="ED5" s="1638"/>
      <c r="EE5" s="1638"/>
      <c r="EF5" s="1638"/>
      <c r="EG5" s="1638"/>
      <c r="EH5" s="1638"/>
      <c r="EI5" s="1638"/>
      <c r="EJ5" s="1638"/>
      <c r="EK5" s="1638"/>
      <c r="EL5" s="1638"/>
      <c r="EM5" s="1638"/>
      <c r="EN5" s="1638"/>
      <c r="EO5" s="1638"/>
      <c r="EP5" s="1638"/>
      <c r="EQ5" s="1638"/>
      <c r="ER5" s="1638"/>
      <c r="ES5" s="1638"/>
      <c r="ET5" s="1638"/>
      <c r="EU5" s="1638"/>
      <c r="EV5" s="1638"/>
      <c r="EW5" s="1638"/>
      <c r="EX5" s="1638"/>
      <c r="EY5" s="1638"/>
      <c r="EZ5" s="1638"/>
      <c r="FA5" s="1638"/>
      <c r="FB5" s="1638"/>
      <c r="FC5" s="1638"/>
      <c r="FD5" s="1638"/>
      <c r="FE5" s="1638"/>
      <c r="FF5" s="1638"/>
      <c r="FG5" s="1638"/>
      <c r="FH5" s="1638"/>
      <c r="FI5" s="1638"/>
      <c r="FJ5" s="1638"/>
      <c r="FK5" s="1638"/>
      <c r="FL5" s="1638"/>
      <c r="FM5" s="1638"/>
      <c r="FN5" s="1638"/>
      <c r="FO5" s="1638"/>
      <c r="FP5" s="1638"/>
      <c r="FQ5" s="1638"/>
      <c r="FR5" s="1638"/>
      <c r="FS5" s="1638"/>
      <c r="FT5" s="1638"/>
      <c r="FU5" s="1638"/>
      <c r="FV5" s="1638"/>
      <c r="FW5" s="1638"/>
      <c r="FX5" s="1638"/>
      <c r="FY5" s="1638"/>
      <c r="FZ5" s="1638"/>
      <c r="GA5" s="1638"/>
      <c r="GB5" s="1638"/>
      <c r="GC5" s="1638"/>
      <c r="GD5" s="1638"/>
      <c r="GE5" s="1638"/>
      <c r="GF5" s="1638"/>
      <c r="GG5" s="1638"/>
      <c r="GH5" s="1638"/>
      <c r="GI5" s="1638"/>
      <c r="GJ5" s="1638"/>
      <c r="GK5" s="1638"/>
      <c r="GL5" s="1638"/>
      <c r="GM5" s="1638"/>
      <c r="GN5" s="1638"/>
      <c r="GO5" s="1638"/>
      <c r="GP5" s="1638"/>
      <c r="GQ5" s="1638"/>
      <c r="GR5" s="1638"/>
      <c r="GS5" s="1638"/>
      <c r="GT5" s="1638"/>
      <c r="GU5" s="1638"/>
      <c r="GV5" s="1638"/>
      <c r="GW5" s="1638"/>
      <c r="GX5" s="1638"/>
      <c r="GY5" s="1638"/>
      <c r="GZ5" s="1638"/>
      <c r="HA5" s="1638"/>
      <c r="HB5" s="1638"/>
      <c r="HC5" s="1638"/>
      <c r="HD5" s="1638"/>
      <c r="HE5" s="1638"/>
      <c r="HF5" s="1638"/>
      <c r="HG5" s="1638"/>
      <c r="HH5" s="1638"/>
      <c r="HI5" s="1638"/>
      <c r="HJ5" s="1638"/>
      <c r="HK5" s="1638"/>
      <c r="HL5" s="1638"/>
      <c r="HM5" s="1638"/>
      <c r="HN5" s="1638"/>
      <c r="HO5" s="1638"/>
      <c r="HP5" s="1638"/>
      <c r="HQ5" s="1638"/>
      <c r="HR5" s="1638"/>
      <c r="HS5" s="1638"/>
      <c r="HT5" s="1638"/>
      <c r="HU5" s="1638"/>
      <c r="HV5" s="1638"/>
      <c r="HW5" s="1638"/>
      <c r="HX5" s="1638"/>
      <c r="HY5" s="1638"/>
      <c r="HZ5" s="1638"/>
      <c r="IA5" s="1638"/>
      <c r="IB5" s="1638"/>
      <c r="IC5" s="1638"/>
      <c r="ID5" s="1638"/>
      <c r="IE5" s="1638"/>
      <c r="IF5" s="1638"/>
      <c r="IG5" s="1638"/>
      <c r="IH5" s="1638"/>
      <c r="II5" s="1638"/>
      <c r="IJ5" s="1638"/>
      <c r="IK5" s="1638"/>
      <c r="IL5" s="1638"/>
    </row>
    <row r="6" spans="1:246">
      <c r="A6" s="1638" t="s">
        <v>3186</v>
      </c>
      <c r="B6" s="1638" t="s">
        <v>3046</v>
      </c>
      <c r="C6" s="1638" t="s">
        <v>3174</v>
      </c>
      <c r="D6" s="1638" t="s">
        <v>3175</v>
      </c>
      <c r="E6" s="1638" t="s">
        <v>1327</v>
      </c>
      <c r="F6" s="1638" t="s">
        <v>3187</v>
      </c>
      <c r="G6" s="1638" t="s">
        <v>3177</v>
      </c>
      <c r="H6" s="1638" t="s">
        <v>3188</v>
      </c>
      <c r="I6" s="1638" t="s">
        <v>6</v>
      </c>
      <c r="J6" s="1638">
        <v>84655.5</v>
      </c>
      <c r="K6" s="1638">
        <v>169311</v>
      </c>
      <c r="L6" s="1638">
        <v>2</v>
      </c>
      <c r="M6" s="1638" t="s">
        <v>3189</v>
      </c>
      <c r="N6" s="1638" t="s">
        <v>3197</v>
      </c>
      <c r="O6" s="1638" t="s">
        <v>3198</v>
      </c>
      <c r="P6" s="1638" t="s">
        <v>3199</v>
      </c>
      <c r="Q6" s="1638" t="s">
        <v>3199</v>
      </c>
      <c r="R6" s="1638" t="s">
        <v>3188</v>
      </c>
      <c r="S6" s="1638" t="s">
        <v>3193</v>
      </c>
      <c r="T6" s="1638" t="s">
        <v>3194</v>
      </c>
      <c r="U6" s="1638">
        <v>2000</v>
      </c>
      <c r="V6" s="1638">
        <v>9938.5499999999993</v>
      </c>
      <c r="W6" s="1638">
        <v>9938.5499999999993</v>
      </c>
      <c r="X6" s="1638">
        <v>78.27</v>
      </c>
      <c r="Y6" s="1638">
        <v>78.27</v>
      </c>
      <c r="Z6" s="1638">
        <v>587</v>
      </c>
      <c r="AA6" s="1638">
        <v>587</v>
      </c>
      <c r="AB6" s="1638">
        <f t="shared" si="0"/>
        <v>1174</v>
      </c>
      <c r="AC6" s="1638" t="s">
        <v>1327</v>
      </c>
      <c r="AD6" s="1638">
        <v>0</v>
      </c>
      <c r="AE6" s="1638" t="s">
        <v>3195</v>
      </c>
      <c r="AF6" s="1638" t="s">
        <v>1327</v>
      </c>
      <c r="AG6" s="1638" t="s">
        <v>1327</v>
      </c>
      <c r="AH6" s="1638" t="s">
        <v>1327</v>
      </c>
      <c r="AI6" s="1638" t="s">
        <v>3196</v>
      </c>
      <c r="AJ6" s="1638"/>
      <c r="AK6" s="1638"/>
      <c r="AL6" s="1638"/>
      <c r="AM6" s="1638"/>
      <c r="AN6" s="1638"/>
      <c r="AO6" s="1638"/>
      <c r="AP6" s="1638"/>
      <c r="AQ6" s="1638"/>
      <c r="AR6" s="1638"/>
      <c r="AS6" s="1638"/>
      <c r="AT6" s="1638"/>
      <c r="AU6" s="1638"/>
      <c r="AV6" s="1638"/>
      <c r="AW6" s="1638"/>
      <c r="AX6" s="1638"/>
      <c r="AY6" s="1638"/>
      <c r="AZ6" s="1638"/>
      <c r="BA6" s="1638"/>
      <c r="BB6" s="1638"/>
      <c r="BC6" s="1638"/>
      <c r="BD6" s="1638"/>
      <c r="BE6" s="1638"/>
      <c r="BF6" s="1638"/>
      <c r="BG6" s="1638"/>
      <c r="BH6" s="1638"/>
      <c r="BI6" s="1638"/>
      <c r="BJ6" s="1638"/>
      <c r="BK6" s="1638"/>
      <c r="BL6" s="1638"/>
      <c r="BM6" s="1638"/>
      <c r="BN6" s="1638"/>
      <c r="BO6" s="1638"/>
      <c r="BP6" s="1638"/>
      <c r="BQ6" s="1638"/>
      <c r="BR6" s="1638"/>
      <c r="BS6" s="1638"/>
      <c r="BT6" s="1638"/>
      <c r="BU6" s="1638"/>
      <c r="BV6" s="1638"/>
      <c r="BW6" s="1638"/>
      <c r="BX6" s="1638"/>
      <c r="BY6" s="1638"/>
      <c r="BZ6" s="1638"/>
      <c r="CA6" s="1638"/>
      <c r="CB6" s="1638"/>
      <c r="CC6" s="1638"/>
      <c r="CD6" s="1638"/>
      <c r="CE6" s="1638"/>
      <c r="CF6" s="1638"/>
      <c r="CG6" s="1638"/>
      <c r="CH6" s="1638"/>
      <c r="CI6" s="1638"/>
      <c r="CJ6" s="1638"/>
      <c r="CK6" s="1638"/>
      <c r="CL6" s="1638"/>
      <c r="CM6" s="1638"/>
      <c r="CN6" s="1638"/>
      <c r="CO6" s="1638"/>
      <c r="CP6" s="1638"/>
      <c r="CQ6" s="1638"/>
      <c r="CR6" s="1638"/>
      <c r="CS6" s="1638"/>
      <c r="CT6" s="1638"/>
      <c r="CU6" s="1638"/>
      <c r="CV6" s="1638"/>
      <c r="CW6" s="1638"/>
      <c r="CX6" s="1638"/>
      <c r="CY6" s="1638"/>
      <c r="CZ6" s="1638"/>
      <c r="DA6" s="1638"/>
      <c r="DB6" s="1638"/>
      <c r="DC6" s="1638"/>
      <c r="DD6" s="1638"/>
      <c r="DE6" s="1638"/>
      <c r="DF6" s="1638"/>
      <c r="DG6" s="1638"/>
      <c r="DH6" s="1638"/>
      <c r="DI6" s="1638"/>
      <c r="DJ6" s="1638"/>
      <c r="DK6" s="1638"/>
      <c r="DL6" s="1638"/>
      <c r="DM6" s="1638"/>
      <c r="DN6" s="1638"/>
      <c r="DO6" s="1638"/>
      <c r="DP6" s="1638"/>
      <c r="DQ6" s="1638"/>
      <c r="DR6" s="1638"/>
      <c r="DS6" s="1638"/>
      <c r="DT6" s="1638"/>
      <c r="DU6" s="1638"/>
      <c r="DV6" s="1638"/>
      <c r="DW6" s="1638"/>
      <c r="DX6" s="1638"/>
      <c r="DY6" s="1638"/>
      <c r="DZ6" s="1638"/>
      <c r="EA6" s="1638"/>
      <c r="EB6" s="1638"/>
      <c r="EC6" s="1638"/>
      <c r="ED6" s="1638"/>
      <c r="EE6" s="1638"/>
      <c r="EF6" s="1638"/>
      <c r="EG6" s="1638"/>
      <c r="EH6" s="1638"/>
      <c r="EI6" s="1638"/>
      <c r="EJ6" s="1638"/>
      <c r="EK6" s="1638"/>
      <c r="EL6" s="1638"/>
      <c r="EM6" s="1638"/>
      <c r="EN6" s="1638"/>
      <c r="EO6" s="1638"/>
      <c r="EP6" s="1638"/>
      <c r="EQ6" s="1638"/>
      <c r="ER6" s="1638"/>
      <c r="ES6" s="1638"/>
      <c r="ET6" s="1638"/>
      <c r="EU6" s="1638"/>
      <c r="EV6" s="1638"/>
      <c r="EW6" s="1638"/>
      <c r="EX6" s="1638"/>
      <c r="EY6" s="1638"/>
      <c r="EZ6" s="1638"/>
      <c r="FA6" s="1638"/>
      <c r="FB6" s="1638"/>
      <c r="FC6" s="1638"/>
      <c r="FD6" s="1638"/>
      <c r="FE6" s="1638"/>
      <c r="FF6" s="1638"/>
      <c r="FG6" s="1638"/>
      <c r="FH6" s="1638"/>
      <c r="FI6" s="1638"/>
      <c r="FJ6" s="1638"/>
      <c r="FK6" s="1638"/>
      <c r="FL6" s="1638"/>
      <c r="FM6" s="1638"/>
      <c r="FN6" s="1638"/>
      <c r="FO6" s="1638"/>
      <c r="FP6" s="1638"/>
      <c r="FQ6" s="1638"/>
      <c r="FR6" s="1638"/>
      <c r="FS6" s="1638"/>
      <c r="FT6" s="1638"/>
      <c r="FU6" s="1638"/>
      <c r="FV6" s="1638"/>
      <c r="FW6" s="1638"/>
      <c r="FX6" s="1638"/>
      <c r="FY6" s="1638"/>
      <c r="FZ6" s="1638"/>
      <c r="GA6" s="1638"/>
      <c r="GB6" s="1638"/>
      <c r="GC6" s="1638"/>
      <c r="GD6" s="1638"/>
      <c r="GE6" s="1638"/>
      <c r="GF6" s="1638"/>
      <c r="GG6" s="1638"/>
      <c r="GH6" s="1638"/>
      <c r="GI6" s="1638"/>
      <c r="GJ6" s="1638"/>
      <c r="GK6" s="1638"/>
      <c r="GL6" s="1638"/>
      <c r="GM6" s="1638"/>
      <c r="GN6" s="1638"/>
      <c r="GO6" s="1638"/>
      <c r="GP6" s="1638"/>
      <c r="GQ6" s="1638"/>
      <c r="GR6" s="1638"/>
      <c r="GS6" s="1638"/>
      <c r="GT6" s="1638"/>
      <c r="GU6" s="1638"/>
      <c r="GV6" s="1638"/>
      <c r="GW6" s="1638"/>
      <c r="GX6" s="1638"/>
      <c r="GY6" s="1638"/>
      <c r="GZ6" s="1638"/>
      <c r="HA6" s="1638"/>
      <c r="HB6" s="1638"/>
      <c r="HC6" s="1638"/>
      <c r="HD6" s="1638"/>
      <c r="HE6" s="1638"/>
      <c r="HF6" s="1638"/>
      <c r="HG6" s="1638"/>
      <c r="HH6" s="1638"/>
      <c r="HI6" s="1638"/>
      <c r="HJ6" s="1638"/>
      <c r="HK6" s="1638"/>
      <c r="HL6" s="1638"/>
      <c r="HM6" s="1638"/>
      <c r="HN6" s="1638"/>
      <c r="HO6" s="1638"/>
      <c r="HP6" s="1638"/>
      <c r="HQ6" s="1638"/>
      <c r="HR6" s="1638"/>
      <c r="HS6" s="1638"/>
      <c r="HT6" s="1638"/>
      <c r="HU6" s="1638"/>
      <c r="HV6" s="1638"/>
      <c r="HW6" s="1638"/>
      <c r="HX6" s="1638"/>
      <c r="HY6" s="1638"/>
      <c r="HZ6" s="1638"/>
      <c r="IA6" s="1638"/>
      <c r="IB6" s="1638"/>
      <c r="IC6" s="1638"/>
      <c r="ID6" s="1638"/>
      <c r="IE6" s="1638"/>
      <c r="IF6" s="1638"/>
      <c r="IG6" s="1638"/>
      <c r="IH6" s="1638"/>
      <c r="II6" s="1638"/>
      <c r="IJ6" s="1638"/>
      <c r="IK6" s="1638"/>
      <c r="IL6" s="1638"/>
    </row>
    <row r="7" spans="1:246">
      <c r="A7" s="1638" t="s">
        <v>3201</v>
      </c>
      <c r="B7" s="1638" t="s">
        <v>3046</v>
      </c>
      <c r="C7" s="1638" t="s">
        <v>3174</v>
      </c>
      <c r="D7" s="1638" t="s">
        <v>3175</v>
      </c>
      <c r="E7" s="1638" t="s">
        <v>1327</v>
      </c>
      <c r="F7" s="1638" t="s">
        <v>3201</v>
      </c>
      <c r="G7" s="1638" t="s">
        <v>3177</v>
      </c>
      <c r="H7" s="1638" t="s">
        <v>3202</v>
      </c>
      <c r="I7" s="1638" t="s">
        <v>6</v>
      </c>
      <c r="J7" s="1638">
        <v>73230.3</v>
      </c>
      <c r="K7" s="1638">
        <v>124491.5</v>
      </c>
      <c r="L7" s="1638" t="s">
        <v>3203</v>
      </c>
      <c r="M7" s="1638" t="s">
        <v>3208</v>
      </c>
      <c r="N7" s="1638" t="s">
        <v>3209</v>
      </c>
      <c r="O7" s="1638" t="s">
        <v>3210</v>
      </c>
      <c r="P7" s="1638" t="s">
        <v>3211</v>
      </c>
      <c r="Q7" s="1638" t="s">
        <v>3211</v>
      </c>
      <c r="R7" s="1638" t="s">
        <v>3202</v>
      </c>
      <c r="S7" s="1638" t="s">
        <v>3193</v>
      </c>
      <c r="T7" s="1638" t="s">
        <v>3212</v>
      </c>
      <c r="U7" s="1638">
        <v>1900</v>
      </c>
      <c r="V7" s="1638">
        <v>9038.07</v>
      </c>
      <c r="W7" s="1638">
        <v>9038.07</v>
      </c>
      <c r="X7" s="1638">
        <v>82.28</v>
      </c>
      <c r="Y7" s="1638">
        <v>82.28</v>
      </c>
      <c r="Z7" s="1638">
        <v>725.99</v>
      </c>
      <c r="AA7" s="1638">
        <v>726</v>
      </c>
      <c r="AB7" s="1638">
        <f t="shared" si="0"/>
        <v>1234</v>
      </c>
      <c r="AC7" s="1638" t="s">
        <v>1327</v>
      </c>
      <c r="AD7" s="1638">
        <v>0</v>
      </c>
      <c r="AE7" s="1638" t="s">
        <v>3195</v>
      </c>
      <c r="AF7" s="1638" t="s">
        <v>1327</v>
      </c>
      <c r="AG7" s="1638" t="s">
        <v>1327</v>
      </c>
      <c r="AH7" s="1638" t="s">
        <v>1327</v>
      </c>
      <c r="AI7" s="1638" t="s">
        <v>3213</v>
      </c>
      <c r="AJ7" s="1638"/>
      <c r="AK7" s="1638"/>
      <c r="AL7" s="1638"/>
      <c r="AM7" s="1638"/>
      <c r="AN7" s="1638"/>
      <c r="AO7" s="1638"/>
      <c r="AP7" s="1638"/>
      <c r="AQ7" s="1638"/>
      <c r="AR7" s="1638"/>
      <c r="AS7" s="1638"/>
      <c r="AT7" s="1638"/>
      <c r="AU7" s="1638"/>
      <c r="AV7" s="1638"/>
      <c r="AW7" s="1638"/>
      <c r="AX7" s="1638"/>
      <c r="AY7" s="1638"/>
      <c r="AZ7" s="1638"/>
      <c r="BA7" s="1638"/>
      <c r="BB7" s="1638"/>
      <c r="BC7" s="1638"/>
      <c r="BD7" s="1638"/>
      <c r="BE7" s="1638"/>
      <c r="BF7" s="1638"/>
      <c r="BG7" s="1638"/>
      <c r="BH7" s="1638"/>
      <c r="BI7" s="1638"/>
      <c r="BJ7" s="1638"/>
      <c r="BK7" s="1638"/>
      <c r="BL7" s="1638"/>
      <c r="BM7" s="1638"/>
      <c r="BN7" s="1638"/>
      <c r="BO7" s="1638"/>
      <c r="BP7" s="1638"/>
      <c r="BQ7" s="1638"/>
      <c r="BR7" s="1638"/>
      <c r="BS7" s="1638"/>
      <c r="BT7" s="1638"/>
      <c r="BU7" s="1638"/>
      <c r="BV7" s="1638"/>
      <c r="BW7" s="1638"/>
      <c r="BX7" s="1638"/>
      <c r="BY7" s="1638"/>
      <c r="BZ7" s="1638"/>
      <c r="CA7" s="1638"/>
      <c r="CB7" s="1638"/>
      <c r="CC7" s="1638"/>
      <c r="CD7" s="1638"/>
      <c r="CE7" s="1638"/>
      <c r="CF7" s="1638"/>
      <c r="CG7" s="1638"/>
      <c r="CH7" s="1638"/>
      <c r="CI7" s="1638"/>
      <c r="CJ7" s="1638"/>
      <c r="CK7" s="1638"/>
      <c r="CL7" s="1638"/>
      <c r="CM7" s="1638"/>
      <c r="CN7" s="1638"/>
      <c r="CO7" s="1638"/>
      <c r="CP7" s="1638"/>
      <c r="CQ7" s="1638"/>
      <c r="CR7" s="1638"/>
      <c r="CS7" s="1638"/>
      <c r="CT7" s="1638"/>
      <c r="CU7" s="1638"/>
      <c r="CV7" s="1638"/>
      <c r="CW7" s="1638"/>
      <c r="CX7" s="1638"/>
      <c r="CY7" s="1638"/>
      <c r="CZ7" s="1638"/>
      <c r="DA7" s="1638"/>
      <c r="DB7" s="1638"/>
      <c r="DC7" s="1638"/>
      <c r="DD7" s="1638"/>
      <c r="DE7" s="1638"/>
      <c r="DF7" s="1638"/>
      <c r="DG7" s="1638"/>
      <c r="DH7" s="1638"/>
      <c r="DI7" s="1638"/>
      <c r="DJ7" s="1638"/>
      <c r="DK7" s="1638"/>
      <c r="DL7" s="1638"/>
      <c r="DM7" s="1638"/>
      <c r="DN7" s="1638"/>
      <c r="DO7" s="1638"/>
      <c r="DP7" s="1638"/>
      <c r="DQ7" s="1638"/>
      <c r="DR7" s="1638"/>
      <c r="DS7" s="1638"/>
      <c r="DT7" s="1638"/>
      <c r="DU7" s="1638"/>
      <c r="DV7" s="1638"/>
      <c r="DW7" s="1638"/>
      <c r="DX7" s="1638"/>
      <c r="DY7" s="1638"/>
      <c r="DZ7" s="1638"/>
      <c r="EA7" s="1638"/>
      <c r="EB7" s="1638"/>
      <c r="EC7" s="1638"/>
      <c r="ED7" s="1638"/>
      <c r="EE7" s="1638"/>
      <c r="EF7" s="1638"/>
      <c r="EG7" s="1638"/>
      <c r="EH7" s="1638"/>
      <c r="EI7" s="1638"/>
      <c r="EJ7" s="1638"/>
      <c r="EK7" s="1638"/>
      <c r="EL7" s="1638"/>
      <c r="EM7" s="1638"/>
      <c r="EN7" s="1638"/>
      <c r="EO7" s="1638"/>
      <c r="EP7" s="1638"/>
      <c r="EQ7" s="1638"/>
      <c r="ER7" s="1638"/>
      <c r="ES7" s="1638"/>
      <c r="ET7" s="1638"/>
      <c r="EU7" s="1638"/>
      <c r="EV7" s="1638"/>
      <c r="EW7" s="1638"/>
      <c r="EX7" s="1638"/>
      <c r="EY7" s="1638"/>
      <c r="EZ7" s="1638"/>
      <c r="FA7" s="1638"/>
      <c r="FB7" s="1638"/>
      <c r="FC7" s="1638"/>
      <c r="FD7" s="1638"/>
      <c r="FE7" s="1638"/>
      <c r="FF7" s="1638"/>
      <c r="FG7" s="1638"/>
      <c r="FH7" s="1638"/>
      <c r="FI7" s="1638"/>
      <c r="FJ7" s="1638"/>
      <c r="FK7" s="1638"/>
      <c r="FL7" s="1638"/>
      <c r="FM7" s="1638"/>
      <c r="FN7" s="1638"/>
      <c r="FO7" s="1638"/>
      <c r="FP7" s="1638"/>
      <c r="FQ7" s="1638"/>
      <c r="FR7" s="1638"/>
      <c r="FS7" s="1638"/>
      <c r="FT7" s="1638"/>
      <c r="FU7" s="1638"/>
      <c r="FV7" s="1638"/>
      <c r="FW7" s="1638"/>
      <c r="FX7" s="1638"/>
      <c r="FY7" s="1638"/>
      <c r="FZ7" s="1638"/>
      <c r="GA7" s="1638"/>
      <c r="GB7" s="1638"/>
      <c r="GC7" s="1638"/>
      <c r="GD7" s="1638"/>
      <c r="GE7" s="1638"/>
      <c r="GF7" s="1638"/>
      <c r="GG7" s="1638"/>
      <c r="GH7" s="1638"/>
      <c r="GI7" s="1638"/>
      <c r="GJ7" s="1638"/>
      <c r="GK7" s="1638"/>
      <c r="GL7" s="1638"/>
      <c r="GM7" s="1638"/>
      <c r="GN7" s="1638"/>
      <c r="GO7" s="1638"/>
      <c r="GP7" s="1638"/>
      <c r="GQ7" s="1638"/>
      <c r="GR7" s="1638"/>
      <c r="GS7" s="1638"/>
      <c r="GT7" s="1638"/>
      <c r="GU7" s="1638"/>
      <c r="GV7" s="1638"/>
      <c r="GW7" s="1638"/>
      <c r="GX7" s="1638"/>
      <c r="GY7" s="1638"/>
      <c r="GZ7" s="1638"/>
      <c r="HA7" s="1638"/>
      <c r="HB7" s="1638"/>
      <c r="HC7" s="1638"/>
      <c r="HD7" s="1638"/>
      <c r="HE7" s="1638"/>
      <c r="HF7" s="1638"/>
      <c r="HG7" s="1638"/>
      <c r="HH7" s="1638"/>
      <c r="HI7" s="1638"/>
      <c r="HJ7" s="1638"/>
      <c r="HK7" s="1638"/>
      <c r="HL7" s="1638"/>
      <c r="HM7" s="1638"/>
      <c r="HN7" s="1638"/>
      <c r="HO7" s="1638"/>
      <c r="HP7" s="1638"/>
      <c r="HQ7" s="1638"/>
      <c r="HR7" s="1638"/>
      <c r="HS7" s="1638"/>
      <c r="HT7" s="1638"/>
      <c r="HU7" s="1638"/>
      <c r="HV7" s="1638"/>
      <c r="HW7" s="1638"/>
      <c r="HX7" s="1638"/>
      <c r="HY7" s="1638"/>
      <c r="HZ7" s="1638"/>
      <c r="IA7" s="1638"/>
      <c r="IB7" s="1638"/>
      <c r="IC7" s="1638"/>
      <c r="ID7" s="1638"/>
      <c r="IE7" s="1638"/>
      <c r="IF7" s="1638"/>
      <c r="IG7" s="1638"/>
      <c r="IH7" s="1638"/>
      <c r="II7" s="1638"/>
      <c r="IJ7" s="1638"/>
      <c r="IK7" s="1638"/>
      <c r="IL7" s="1638"/>
    </row>
    <row r="8" spans="1:246">
      <c r="A8" s="1638" t="s">
        <v>3204</v>
      </c>
      <c r="B8" s="1638" t="s">
        <v>3046</v>
      </c>
      <c r="C8" s="1638" t="s">
        <v>3174</v>
      </c>
      <c r="D8" s="1638" t="s">
        <v>3175</v>
      </c>
      <c r="E8" s="1638" t="s">
        <v>1327</v>
      </c>
      <c r="F8" s="1638" t="s">
        <v>3204</v>
      </c>
      <c r="G8" s="1638" t="s">
        <v>3177</v>
      </c>
      <c r="H8" s="1638" t="s">
        <v>3205</v>
      </c>
      <c r="I8" s="1638" t="s">
        <v>6</v>
      </c>
      <c r="J8" s="1638">
        <v>11958.6</v>
      </c>
      <c r="K8" s="1638">
        <v>17937.900000000001</v>
      </c>
      <c r="L8" s="1638">
        <v>1.5</v>
      </c>
      <c r="M8" s="1638" t="s">
        <v>3208</v>
      </c>
      <c r="N8" s="1638" t="s">
        <v>3209</v>
      </c>
      <c r="O8" s="1638" t="s">
        <v>3210</v>
      </c>
      <c r="P8" s="1638" t="s">
        <v>3211</v>
      </c>
      <c r="Q8" s="1638" t="s">
        <v>3211</v>
      </c>
      <c r="R8" s="1638" t="s">
        <v>3205</v>
      </c>
      <c r="S8" s="1638" t="s">
        <v>3193</v>
      </c>
      <c r="T8" s="1638" t="s">
        <v>3214</v>
      </c>
      <c r="U8" s="1638">
        <v>270</v>
      </c>
      <c r="V8" s="1638">
        <v>1302.28</v>
      </c>
      <c r="W8" s="1638">
        <v>1302.28</v>
      </c>
      <c r="X8" s="1638">
        <v>72.599999999999994</v>
      </c>
      <c r="Y8" s="1638">
        <v>72.599999999999994</v>
      </c>
      <c r="Z8" s="1638">
        <v>725.99</v>
      </c>
      <c r="AA8" s="1638">
        <v>726</v>
      </c>
      <c r="AB8" s="1638">
        <f t="shared" si="0"/>
        <v>1089</v>
      </c>
      <c r="AC8" s="1638" t="s">
        <v>1327</v>
      </c>
      <c r="AD8" s="1638">
        <v>0</v>
      </c>
      <c r="AE8" s="1638" t="s">
        <v>3195</v>
      </c>
      <c r="AF8" s="1638" t="s">
        <v>1327</v>
      </c>
      <c r="AG8" s="1638" t="s">
        <v>1327</v>
      </c>
      <c r="AH8" s="1638" t="s">
        <v>1327</v>
      </c>
      <c r="AI8" s="1638" t="s">
        <v>3215</v>
      </c>
      <c r="AJ8" s="1638"/>
      <c r="AK8" s="1638"/>
      <c r="AL8" s="1638"/>
      <c r="AM8" s="1638"/>
      <c r="AN8" s="1638"/>
      <c r="AO8" s="1638"/>
      <c r="AP8" s="1638"/>
      <c r="AQ8" s="1638"/>
      <c r="AR8" s="1638"/>
      <c r="AS8" s="1638"/>
      <c r="AT8" s="1638"/>
      <c r="AU8" s="1638"/>
      <c r="AV8" s="1638"/>
      <c r="AW8" s="1638"/>
      <c r="AX8" s="1638"/>
      <c r="AY8" s="1638"/>
      <c r="AZ8" s="1638"/>
      <c r="BA8" s="1638"/>
      <c r="BB8" s="1638"/>
      <c r="BC8" s="1638"/>
      <c r="BD8" s="1638"/>
      <c r="BE8" s="1638"/>
      <c r="BF8" s="1638"/>
      <c r="BG8" s="1638"/>
      <c r="BH8" s="1638"/>
      <c r="BI8" s="1638"/>
      <c r="BJ8" s="1638"/>
      <c r="BK8" s="1638"/>
      <c r="BL8" s="1638"/>
      <c r="BM8" s="1638"/>
      <c r="BN8" s="1638"/>
      <c r="BO8" s="1638"/>
      <c r="BP8" s="1638"/>
      <c r="BQ8" s="1638"/>
      <c r="BR8" s="1638"/>
      <c r="BS8" s="1638"/>
      <c r="BT8" s="1638"/>
      <c r="BU8" s="1638"/>
      <c r="BV8" s="1638"/>
      <c r="BW8" s="1638"/>
      <c r="BX8" s="1638"/>
      <c r="BY8" s="1638"/>
      <c r="BZ8" s="1638"/>
      <c r="CA8" s="1638"/>
      <c r="CB8" s="1638"/>
      <c r="CC8" s="1638"/>
      <c r="CD8" s="1638"/>
      <c r="CE8" s="1638"/>
      <c r="CF8" s="1638"/>
      <c r="CG8" s="1638"/>
      <c r="CH8" s="1638"/>
      <c r="CI8" s="1638"/>
      <c r="CJ8" s="1638"/>
      <c r="CK8" s="1638"/>
      <c r="CL8" s="1638"/>
      <c r="CM8" s="1638"/>
      <c r="CN8" s="1638"/>
      <c r="CO8" s="1638"/>
      <c r="CP8" s="1638"/>
      <c r="CQ8" s="1638"/>
      <c r="CR8" s="1638"/>
      <c r="CS8" s="1638"/>
      <c r="CT8" s="1638"/>
      <c r="CU8" s="1638"/>
      <c r="CV8" s="1638"/>
      <c r="CW8" s="1638"/>
      <c r="CX8" s="1638"/>
      <c r="CY8" s="1638"/>
      <c r="CZ8" s="1638"/>
      <c r="DA8" s="1638"/>
      <c r="DB8" s="1638"/>
      <c r="DC8" s="1638"/>
      <c r="DD8" s="1638"/>
      <c r="DE8" s="1638"/>
      <c r="DF8" s="1638"/>
      <c r="DG8" s="1638"/>
      <c r="DH8" s="1638"/>
      <c r="DI8" s="1638"/>
      <c r="DJ8" s="1638"/>
      <c r="DK8" s="1638"/>
      <c r="DL8" s="1638"/>
      <c r="DM8" s="1638"/>
      <c r="DN8" s="1638"/>
      <c r="DO8" s="1638"/>
      <c r="DP8" s="1638"/>
      <c r="DQ8" s="1638"/>
      <c r="DR8" s="1638"/>
      <c r="DS8" s="1638"/>
      <c r="DT8" s="1638"/>
      <c r="DU8" s="1638"/>
      <c r="DV8" s="1638"/>
      <c r="DW8" s="1638"/>
      <c r="DX8" s="1638"/>
      <c r="DY8" s="1638"/>
      <c r="DZ8" s="1638"/>
      <c r="EA8" s="1638"/>
      <c r="EB8" s="1638"/>
      <c r="EC8" s="1638"/>
      <c r="ED8" s="1638"/>
      <c r="EE8" s="1638"/>
      <c r="EF8" s="1638"/>
      <c r="EG8" s="1638"/>
      <c r="EH8" s="1638"/>
      <c r="EI8" s="1638"/>
      <c r="EJ8" s="1638"/>
      <c r="EK8" s="1638"/>
      <c r="EL8" s="1638"/>
      <c r="EM8" s="1638"/>
      <c r="EN8" s="1638"/>
      <c r="EO8" s="1638"/>
      <c r="EP8" s="1638"/>
      <c r="EQ8" s="1638"/>
      <c r="ER8" s="1638"/>
      <c r="ES8" s="1638"/>
      <c r="ET8" s="1638"/>
      <c r="EU8" s="1638"/>
      <c r="EV8" s="1638"/>
      <c r="EW8" s="1638"/>
      <c r="EX8" s="1638"/>
      <c r="EY8" s="1638"/>
      <c r="EZ8" s="1638"/>
      <c r="FA8" s="1638"/>
      <c r="FB8" s="1638"/>
      <c r="FC8" s="1638"/>
      <c r="FD8" s="1638"/>
      <c r="FE8" s="1638"/>
      <c r="FF8" s="1638"/>
      <c r="FG8" s="1638"/>
      <c r="FH8" s="1638"/>
      <c r="FI8" s="1638"/>
      <c r="FJ8" s="1638"/>
      <c r="FK8" s="1638"/>
      <c r="FL8" s="1638"/>
      <c r="FM8" s="1638"/>
      <c r="FN8" s="1638"/>
      <c r="FO8" s="1638"/>
      <c r="FP8" s="1638"/>
      <c r="FQ8" s="1638"/>
      <c r="FR8" s="1638"/>
      <c r="FS8" s="1638"/>
      <c r="FT8" s="1638"/>
      <c r="FU8" s="1638"/>
      <c r="FV8" s="1638"/>
      <c r="FW8" s="1638"/>
      <c r="FX8" s="1638"/>
      <c r="FY8" s="1638"/>
      <c r="FZ8" s="1638"/>
      <c r="GA8" s="1638"/>
      <c r="GB8" s="1638"/>
      <c r="GC8" s="1638"/>
      <c r="GD8" s="1638"/>
      <c r="GE8" s="1638"/>
      <c r="GF8" s="1638"/>
      <c r="GG8" s="1638"/>
      <c r="GH8" s="1638"/>
      <c r="GI8" s="1638"/>
      <c r="GJ8" s="1638"/>
      <c r="GK8" s="1638"/>
      <c r="GL8" s="1638"/>
      <c r="GM8" s="1638"/>
      <c r="GN8" s="1638"/>
      <c r="GO8" s="1638"/>
      <c r="GP8" s="1638"/>
      <c r="GQ8" s="1638"/>
      <c r="GR8" s="1638"/>
      <c r="GS8" s="1638"/>
      <c r="GT8" s="1638"/>
      <c r="GU8" s="1638"/>
      <c r="GV8" s="1638"/>
      <c r="GW8" s="1638"/>
      <c r="GX8" s="1638"/>
      <c r="GY8" s="1638"/>
      <c r="GZ8" s="1638"/>
      <c r="HA8" s="1638"/>
      <c r="HB8" s="1638"/>
      <c r="HC8" s="1638"/>
      <c r="HD8" s="1638"/>
      <c r="HE8" s="1638"/>
      <c r="HF8" s="1638"/>
      <c r="HG8" s="1638"/>
      <c r="HH8" s="1638"/>
      <c r="HI8" s="1638"/>
      <c r="HJ8" s="1638"/>
      <c r="HK8" s="1638"/>
      <c r="HL8" s="1638"/>
      <c r="HM8" s="1638"/>
      <c r="HN8" s="1638"/>
      <c r="HO8" s="1638"/>
      <c r="HP8" s="1638"/>
      <c r="HQ8" s="1638"/>
      <c r="HR8" s="1638"/>
      <c r="HS8" s="1638"/>
      <c r="HT8" s="1638"/>
      <c r="HU8" s="1638"/>
      <c r="HV8" s="1638"/>
      <c r="HW8" s="1638"/>
      <c r="HX8" s="1638"/>
      <c r="HY8" s="1638"/>
      <c r="HZ8" s="1638"/>
      <c r="IA8" s="1638"/>
      <c r="IB8" s="1638"/>
      <c r="IC8" s="1638"/>
      <c r="ID8" s="1638"/>
      <c r="IE8" s="1638"/>
      <c r="IF8" s="1638"/>
      <c r="IG8" s="1638"/>
      <c r="IH8" s="1638"/>
      <c r="II8" s="1638"/>
      <c r="IJ8" s="1638"/>
      <c r="IK8" s="1638"/>
      <c r="IL8" s="1638"/>
    </row>
    <row r="9" spans="1:246">
      <c r="A9" s="2978" t="s">
        <v>3206</v>
      </c>
      <c r="B9" s="2978" t="s">
        <v>3046</v>
      </c>
      <c r="C9" s="2978" t="s">
        <v>3174</v>
      </c>
      <c r="D9" s="2978" t="s">
        <v>3175</v>
      </c>
      <c r="E9" s="2978" t="s">
        <v>1327</v>
      </c>
      <c r="F9" s="2978" t="s">
        <v>3206</v>
      </c>
      <c r="G9" s="2978" t="s">
        <v>3177</v>
      </c>
      <c r="H9" s="2978" t="s">
        <v>3207</v>
      </c>
      <c r="I9" s="2978" t="s">
        <v>6</v>
      </c>
      <c r="J9" s="2978">
        <v>23044.5</v>
      </c>
      <c r="K9" s="2978">
        <v>46089</v>
      </c>
      <c r="L9" s="2978">
        <v>2</v>
      </c>
      <c r="M9" s="2978" t="s">
        <v>3208</v>
      </c>
      <c r="N9" s="2978" t="s">
        <v>3216</v>
      </c>
      <c r="O9" s="2978" t="s">
        <v>3217</v>
      </c>
      <c r="P9" s="2978" t="s">
        <v>3218</v>
      </c>
      <c r="Q9" s="2978" t="s">
        <v>3218</v>
      </c>
      <c r="R9" s="2978" t="s">
        <v>3207</v>
      </c>
      <c r="S9" s="2978" t="s">
        <v>3193</v>
      </c>
      <c r="T9" s="2978" t="s">
        <v>3219</v>
      </c>
      <c r="U9" s="2978">
        <v>1000</v>
      </c>
      <c r="V9" s="2978">
        <v>4977.6000000000004</v>
      </c>
      <c r="W9" s="2978">
        <v>4977.6000000000004</v>
      </c>
      <c r="X9" s="2978">
        <v>144</v>
      </c>
      <c r="Y9" s="2978">
        <v>144</v>
      </c>
      <c r="Z9" s="2978">
        <v>1079.99</v>
      </c>
      <c r="AA9" s="2978">
        <v>1080</v>
      </c>
      <c r="AB9" s="1638">
        <f t="shared" si="0"/>
        <v>2160</v>
      </c>
      <c r="AC9" s="2978" t="s">
        <v>1327</v>
      </c>
      <c r="AD9" s="2978">
        <v>0</v>
      </c>
      <c r="AE9" s="2978" t="s">
        <v>3220</v>
      </c>
      <c r="AF9" s="2978" t="s">
        <v>1327</v>
      </c>
      <c r="AG9" s="2978" t="s">
        <v>1327</v>
      </c>
      <c r="AH9" s="2978" t="s">
        <v>1327</v>
      </c>
      <c r="AI9" s="2978" t="s">
        <v>3196</v>
      </c>
      <c r="AJ9" s="2978"/>
      <c r="AK9" s="2978"/>
      <c r="AL9" s="2978"/>
      <c r="AM9" s="2978"/>
      <c r="AN9" s="2978"/>
      <c r="AO9" s="2978"/>
      <c r="AP9" s="2978"/>
      <c r="AQ9" s="2978"/>
      <c r="AR9" s="2978"/>
      <c r="AS9" s="2978"/>
      <c r="AT9" s="2978"/>
      <c r="AU9" s="2978"/>
      <c r="AV9" s="2978"/>
      <c r="AW9" s="2978"/>
      <c r="AX9" s="2978"/>
      <c r="AY9" s="2978"/>
      <c r="AZ9" s="2978"/>
      <c r="BA9" s="2978"/>
      <c r="BB9" s="2978"/>
      <c r="BC9" s="2978"/>
      <c r="BD9" s="2978"/>
      <c r="BE9" s="2978"/>
      <c r="BF9" s="2978"/>
      <c r="BG9" s="2978"/>
      <c r="BH9" s="2978"/>
      <c r="BI9" s="2978"/>
      <c r="BJ9" s="2978"/>
      <c r="BK9" s="2978"/>
      <c r="BL9" s="2978"/>
      <c r="BM9" s="2978"/>
      <c r="BN9" s="2978"/>
      <c r="BO9" s="2978"/>
      <c r="BP9" s="2978"/>
      <c r="BQ9" s="2978"/>
      <c r="BR9" s="2978"/>
      <c r="BS9" s="2978"/>
      <c r="BT9" s="2978"/>
      <c r="BU9" s="2978"/>
      <c r="BV9" s="2978"/>
      <c r="BW9" s="2978"/>
      <c r="BX9" s="2978"/>
      <c r="BY9" s="2978"/>
      <c r="BZ9" s="2978"/>
      <c r="CA9" s="2978"/>
      <c r="CB9" s="2978"/>
      <c r="CC9" s="2978"/>
      <c r="CD9" s="2978"/>
      <c r="CE9" s="2978"/>
      <c r="CF9" s="2978"/>
      <c r="CG9" s="2978"/>
      <c r="CH9" s="2978"/>
      <c r="CI9" s="2978"/>
      <c r="CJ9" s="2978"/>
      <c r="CK9" s="2978"/>
      <c r="CL9" s="2978"/>
      <c r="CM9" s="2978"/>
      <c r="CN9" s="2978"/>
      <c r="CO9" s="2978"/>
      <c r="CP9" s="2978"/>
      <c r="CQ9" s="2978"/>
      <c r="CR9" s="2978"/>
      <c r="CS9" s="2978"/>
      <c r="CT9" s="2978"/>
      <c r="CU9" s="2978"/>
      <c r="CV9" s="2978"/>
      <c r="CW9" s="2978"/>
      <c r="CX9" s="2978"/>
      <c r="CY9" s="2978"/>
      <c r="CZ9" s="2978"/>
      <c r="DA9" s="2978"/>
      <c r="DB9" s="2978"/>
      <c r="DC9" s="2978"/>
      <c r="DD9" s="2978"/>
      <c r="DE9" s="2978"/>
      <c r="DF9" s="2978"/>
      <c r="DG9" s="2978"/>
      <c r="DH9" s="2978"/>
      <c r="DI9" s="2978"/>
      <c r="DJ9" s="2978"/>
      <c r="DK9" s="2978"/>
      <c r="DL9" s="2978"/>
      <c r="DM9" s="2978"/>
      <c r="DN9" s="2978"/>
      <c r="DO9" s="2978"/>
      <c r="DP9" s="2978"/>
      <c r="DQ9" s="2978"/>
      <c r="DR9" s="2978"/>
      <c r="DS9" s="2978"/>
      <c r="DT9" s="2978"/>
      <c r="DU9" s="2978"/>
      <c r="DV9" s="2978"/>
      <c r="DW9" s="2978"/>
      <c r="DX9" s="2978"/>
      <c r="DY9" s="2978"/>
      <c r="DZ9" s="2978"/>
      <c r="EA9" s="2978"/>
      <c r="EB9" s="2978"/>
      <c r="EC9" s="2978"/>
      <c r="ED9" s="2978"/>
      <c r="EE9" s="2978"/>
      <c r="EF9" s="2978"/>
      <c r="EG9" s="2978"/>
      <c r="EH9" s="2978"/>
      <c r="EI9" s="2978"/>
      <c r="EJ9" s="2978"/>
      <c r="EK9" s="2978"/>
      <c r="EL9" s="2978"/>
      <c r="EM9" s="2978"/>
      <c r="EN9" s="2978"/>
      <c r="EO9" s="2978"/>
      <c r="EP9" s="2978"/>
      <c r="EQ9" s="2978"/>
      <c r="ER9" s="2978"/>
      <c r="ES9" s="2978"/>
      <c r="ET9" s="2978"/>
      <c r="EU9" s="2978"/>
      <c r="EV9" s="2978"/>
      <c r="EW9" s="2978"/>
      <c r="EX9" s="2978"/>
      <c r="EY9" s="2978"/>
      <c r="EZ9" s="2978"/>
      <c r="FA9" s="2978"/>
      <c r="FB9" s="2978"/>
      <c r="FC9" s="2978"/>
      <c r="FD9" s="2978"/>
      <c r="FE9" s="2978"/>
      <c r="FF9" s="2978"/>
      <c r="FG9" s="2978"/>
      <c r="FH9" s="2978"/>
      <c r="FI9" s="2978"/>
      <c r="FJ9" s="2978"/>
      <c r="FK9" s="2978"/>
      <c r="FL9" s="2978"/>
      <c r="FM9" s="2978"/>
      <c r="FN9" s="2978"/>
      <c r="FO9" s="2978"/>
      <c r="FP9" s="2978"/>
      <c r="FQ9" s="2978"/>
      <c r="FR9" s="2978"/>
      <c r="FS9" s="2978"/>
      <c r="FT9" s="2978"/>
      <c r="FU9" s="2978"/>
      <c r="FV9" s="2978"/>
      <c r="FW9" s="2978"/>
      <c r="FX9" s="2978"/>
      <c r="FY9" s="2978"/>
      <c r="FZ9" s="2978"/>
      <c r="GA9" s="2978"/>
      <c r="GB9" s="2978"/>
      <c r="GC9" s="2978"/>
      <c r="GD9" s="2978"/>
      <c r="GE9" s="2978"/>
      <c r="GF9" s="2978"/>
      <c r="GG9" s="2978"/>
      <c r="GH9" s="2978"/>
      <c r="GI9" s="2978"/>
      <c r="GJ9" s="2978"/>
      <c r="GK9" s="2978"/>
      <c r="GL9" s="2978"/>
      <c r="GM9" s="2978"/>
      <c r="GN9" s="2978"/>
      <c r="GO9" s="2978"/>
      <c r="GP9" s="2978"/>
      <c r="GQ9" s="2978"/>
      <c r="GR9" s="2978"/>
      <c r="GS9" s="2978"/>
      <c r="GT9" s="2978"/>
      <c r="GU9" s="2978"/>
      <c r="GV9" s="2978"/>
      <c r="GW9" s="2978"/>
      <c r="GX9" s="2978"/>
      <c r="GY9" s="2978"/>
      <c r="GZ9" s="2978"/>
      <c r="HA9" s="2978"/>
      <c r="HB9" s="2978"/>
      <c r="HC9" s="2978"/>
      <c r="HD9" s="2978"/>
      <c r="HE9" s="2978"/>
      <c r="HF9" s="2978"/>
      <c r="HG9" s="2978"/>
      <c r="HH9" s="2978"/>
      <c r="HI9" s="2978"/>
      <c r="HJ9" s="2978"/>
      <c r="HK9" s="2978"/>
      <c r="HL9" s="2978"/>
      <c r="HM9" s="2978"/>
      <c r="HN9" s="2978"/>
      <c r="HO9" s="2978"/>
      <c r="HP9" s="2978"/>
      <c r="HQ9" s="2978"/>
      <c r="HR9" s="2978"/>
      <c r="HS9" s="2978"/>
      <c r="HT9" s="2978"/>
      <c r="HU9" s="2978"/>
      <c r="HV9" s="2978"/>
      <c r="HW9" s="2978"/>
      <c r="HX9" s="2978"/>
      <c r="HY9" s="2978"/>
      <c r="HZ9" s="2978"/>
      <c r="IA9" s="2978"/>
      <c r="IB9" s="2978"/>
      <c r="IC9" s="2978"/>
      <c r="ID9" s="2978"/>
      <c r="IE9" s="2978"/>
      <c r="IF9" s="2978"/>
      <c r="IG9" s="2978"/>
      <c r="IH9" s="2978"/>
      <c r="II9" s="2978"/>
      <c r="IJ9" s="2978"/>
      <c r="IK9" s="2978"/>
      <c r="IL9" s="2978"/>
    </row>
    <row r="10" spans="1:246" s="2987" customFormat="1">
      <c r="A10" s="2986" t="s">
        <v>3221</v>
      </c>
      <c r="B10" s="2986" t="s">
        <v>3046</v>
      </c>
      <c r="C10" s="2986" t="s">
        <v>3174</v>
      </c>
      <c r="D10" s="2986" t="s">
        <v>3175</v>
      </c>
      <c r="E10" s="2986" t="s">
        <v>1327</v>
      </c>
      <c r="F10" s="2986" t="s">
        <v>3222</v>
      </c>
      <c r="G10" s="2986" t="s">
        <v>3177</v>
      </c>
      <c r="H10" s="2986" t="s">
        <v>3223</v>
      </c>
      <c r="I10" s="2986" t="s">
        <v>6</v>
      </c>
      <c r="J10" s="2986">
        <v>791422.1</v>
      </c>
      <c r="K10" s="2986">
        <v>1187133</v>
      </c>
      <c r="L10" s="2986">
        <v>1.5</v>
      </c>
      <c r="M10" s="2986" t="s">
        <v>3208</v>
      </c>
      <c r="N10" s="2986" t="s">
        <v>3226</v>
      </c>
      <c r="O10" s="2986" t="s">
        <v>3227</v>
      </c>
      <c r="P10" s="2986" t="s">
        <v>3228</v>
      </c>
      <c r="Q10" s="2986" t="s">
        <v>3228</v>
      </c>
      <c r="R10" s="2986" t="s">
        <v>3223</v>
      </c>
      <c r="S10" s="2986" t="s">
        <v>3193</v>
      </c>
      <c r="T10" s="2986" t="s">
        <v>3229</v>
      </c>
      <c r="U10" s="2986">
        <v>37600</v>
      </c>
      <c r="V10" s="2986">
        <v>187820</v>
      </c>
      <c r="W10" s="2986">
        <v>187820</v>
      </c>
      <c r="X10" s="2986">
        <v>158.21</v>
      </c>
      <c r="Y10" s="2986">
        <v>158.21</v>
      </c>
      <c r="Z10" s="2986">
        <v>1582.13</v>
      </c>
      <c r="AA10" s="2986">
        <v>1582.13</v>
      </c>
      <c r="AB10" s="2986">
        <f t="shared" si="0"/>
        <v>2373</v>
      </c>
      <c r="AC10" s="2986" t="s">
        <v>1327</v>
      </c>
      <c r="AD10" s="2986">
        <v>0</v>
      </c>
      <c r="AE10" s="2986" t="s">
        <v>1327</v>
      </c>
      <c r="AF10" s="2986" t="s">
        <v>1327</v>
      </c>
      <c r="AG10" s="2986" t="s">
        <v>1327</v>
      </c>
      <c r="AH10" s="2986" t="s">
        <v>1327</v>
      </c>
      <c r="AI10" s="2986" t="s">
        <v>3196</v>
      </c>
      <c r="AJ10" s="2986"/>
      <c r="AK10" s="2986"/>
      <c r="AL10" s="2986"/>
      <c r="AM10" s="2986"/>
      <c r="AN10" s="2986"/>
      <c r="AO10" s="2986"/>
      <c r="AP10" s="2986"/>
      <c r="AQ10" s="2986"/>
      <c r="AR10" s="2986"/>
      <c r="AS10" s="2986"/>
      <c r="AT10" s="2986"/>
      <c r="AU10" s="2986"/>
      <c r="AV10" s="2986"/>
      <c r="AW10" s="2986"/>
      <c r="AX10" s="2986"/>
      <c r="AY10" s="2986"/>
      <c r="AZ10" s="2986"/>
      <c r="BA10" s="2986"/>
      <c r="BB10" s="2986"/>
      <c r="BC10" s="2986"/>
      <c r="BD10" s="2986"/>
      <c r="BE10" s="2986"/>
      <c r="BF10" s="2986"/>
      <c r="BG10" s="2986"/>
      <c r="BH10" s="2986"/>
      <c r="BI10" s="2986"/>
      <c r="BJ10" s="2986"/>
      <c r="BK10" s="2986"/>
      <c r="BL10" s="2986"/>
      <c r="BM10" s="2986"/>
      <c r="BN10" s="2986"/>
      <c r="BO10" s="2986"/>
      <c r="BP10" s="2986"/>
      <c r="BQ10" s="2986"/>
      <c r="BR10" s="2986"/>
      <c r="BS10" s="2986"/>
      <c r="BT10" s="2986"/>
      <c r="BU10" s="2986"/>
      <c r="BV10" s="2986"/>
      <c r="BW10" s="2986"/>
      <c r="BX10" s="2986"/>
      <c r="BY10" s="2986"/>
      <c r="BZ10" s="2986"/>
      <c r="CA10" s="2986"/>
      <c r="CB10" s="2986"/>
      <c r="CC10" s="2986"/>
      <c r="CD10" s="2986"/>
      <c r="CE10" s="2986"/>
      <c r="CF10" s="2986"/>
      <c r="CG10" s="2986"/>
      <c r="CH10" s="2986"/>
      <c r="CI10" s="2986"/>
      <c r="CJ10" s="2986"/>
      <c r="CK10" s="2986"/>
      <c r="CL10" s="2986"/>
      <c r="CM10" s="2986"/>
      <c r="CN10" s="2986"/>
      <c r="CO10" s="2986"/>
      <c r="CP10" s="2986"/>
      <c r="CQ10" s="2986"/>
      <c r="CR10" s="2986"/>
      <c r="CS10" s="2986"/>
      <c r="CT10" s="2986"/>
      <c r="CU10" s="2986"/>
      <c r="CV10" s="2986"/>
      <c r="CW10" s="2986"/>
      <c r="CX10" s="2986"/>
      <c r="CY10" s="2986"/>
      <c r="CZ10" s="2986"/>
      <c r="DA10" s="2986"/>
      <c r="DB10" s="2986"/>
      <c r="DC10" s="2986"/>
      <c r="DD10" s="2986"/>
      <c r="DE10" s="2986"/>
      <c r="DF10" s="2986"/>
      <c r="DG10" s="2986"/>
      <c r="DH10" s="2986"/>
      <c r="DI10" s="2986"/>
      <c r="DJ10" s="2986"/>
      <c r="DK10" s="2986"/>
      <c r="DL10" s="2986"/>
      <c r="DM10" s="2986"/>
      <c r="DN10" s="2986"/>
      <c r="DO10" s="2986"/>
      <c r="DP10" s="2986"/>
      <c r="DQ10" s="2986"/>
      <c r="DR10" s="2986"/>
      <c r="DS10" s="2986"/>
      <c r="DT10" s="2986"/>
      <c r="DU10" s="2986"/>
      <c r="DV10" s="2986"/>
      <c r="DW10" s="2986"/>
      <c r="DX10" s="2986"/>
      <c r="DY10" s="2986"/>
      <c r="DZ10" s="2986"/>
      <c r="EA10" s="2986"/>
      <c r="EB10" s="2986"/>
      <c r="EC10" s="2986"/>
      <c r="ED10" s="2986"/>
      <c r="EE10" s="2986"/>
      <c r="EF10" s="2986"/>
      <c r="EG10" s="2986"/>
      <c r="EH10" s="2986"/>
      <c r="EI10" s="2986"/>
      <c r="EJ10" s="2986"/>
      <c r="EK10" s="2986"/>
      <c r="EL10" s="2986"/>
      <c r="EM10" s="2986"/>
      <c r="EN10" s="2986"/>
      <c r="EO10" s="2986"/>
      <c r="EP10" s="2986"/>
      <c r="EQ10" s="2986"/>
      <c r="ER10" s="2986"/>
      <c r="ES10" s="2986"/>
      <c r="ET10" s="2986"/>
      <c r="EU10" s="2986"/>
      <c r="EV10" s="2986"/>
      <c r="EW10" s="2986"/>
      <c r="EX10" s="2986"/>
      <c r="EY10" s="2986"/>
      <c r="EZ10" s="2986"/>
      <c r="FA10" s="2986"/>
      <c r="FB10" s="2986"/>
      <c r="FC10" s="2986"/>
      <c r="FD10" s="2986"/>
      <c r="FE10" s="2986"/>
      <c r="FF10" s="2986"/>
      <c r="FG10" s="2986"/>
      <c r="FH10" s="2986"/>
      <c r="FI10" s="2986"/>
      <c r="FJ10" s="2986"/>
      <c r="FK10" s="2986"/>
      <c r="FL10" s="2986"/>
      <c r="FM10" s="2986"/>
      <c r="FN10" s="2986"/>
      <c r="FO10" s="2986"/>
      <c r="FP10" s="2986"/>
      <c r="FQ10" s="2986"/>
      <c r="FR10" s="2986"/>
      <c r="FS10" s="2986"/>
      <c r="FT10" s="2986"/>
      <c r="FU10" s="2986"/>
      <c r="FV10" s="2986"/>
      <c r="FW10" s="2986"/>
      <c r="FX10" s="2986"/>
      <c r="FY10" s="2986"/>
      <c r="FZ10" s="2986"/>
      <c r="GA10" s="2986"/>
      <c r="GB10" s="2986"/>
      <c r="GC10" s="2986"/>
      <c r="GD10" s="2986"/>
      <c r="GE10" s="2986"/>
      <c r="GF10" s="2986"/>
      <c r="GG10" s="2986"/>
      <c r="GH10" s="2986"/>
      <c r="GI10" s="2986"/>
      <c r="GJ10" s="2986"/>
      <c r="GK10" s="2986"/>
      <c r="GL10" s="2986"/>
      <c r="GM10" s="2986"/>
      <c r="GN10" s="2986"/>
      <c r="GO10" s="2986"/>
      <c r="GP10" s="2986"/>
      <c r="GQ10" s="2986"/>
      <c r="GR10" s="2986"/>
      <c r="GS10" s="2986"/>
      <c r="GT10" s="2986"/>
      <c r="GU10" s="2986"/>
      <c r="GV10" s="2986"/>
      <c r="GW10" s="2986"/>
      <c r="GX10" s="2986"/>
      <c r="GY10" s="2986"/>
      <c r="GZ10" s="2986"/>
      <c r="HA10" s="2986"/>
      <c r="HB10" s="2986"/>
      <c r="HC10" s="2986"/>
      <c r="HD10" s="2986"/>
      <c r="HE10" s="2986"/>
      <c r="HF10" s="2986"/>
      <c r="HG10" s="2986"/>
      <c r="HH10" s="2986"/>
      <c r="HI10" s="2986"/>
      <c r="HJ10" s="2986"/>
      <c r="HK10" s="2986"/>
      <c r="HL10" s="2986"/>
      <c r="HM10" s="2986"/>
      <c r="HN10" s="2986"/>
      <c r="HO10" s="2986"/>
      <c r="HP10" s="2986"/>
      <c r="HQ10" s="2986"/>
      <c r="HR10" s="2986"/>
      <c r="HS10" s="2986"/>
      <c r="HT10" s="2986"/>
      <c r="HU10" s="2986"/>
      <c r="HV10" s="2986"/>
      <c r="HW10" s="2986"/>
      <c r="HX10" s="2986"/>
      <c r="HY10" s="2986"/>
      <c r="HZ10" s="2986"/>
      <c r="IA10" s="2986"/>
      <c r="IB10" s="2986"/>
      <c r="IC10" s="2986"/>
      <c r="ID10" s="2986"/>
      <c r="IE10" s="2986"/>
      <c r="IF10" s="2986"/>
      <c r="IG10" s="2986"/>
      <c r="IH10" s="2986"/>
      <c r="II10" s="2986"/>
      <c r="IJ10" s="2986"/>
      <c r="IK10" s="2986"/>
      <c r="IL10" s="2986"/>
    </row>
    <row r="11" spans="1:246" s="2980" customFormat="1">
      <c r="A11" s="2988" t="s">
        <v>3334</v>
      </c>
      <c r="B11" s="2979" t="s">
        <v>3046</v>
      </c>
      <c r="C11" s="2979" t="s">
        <v>3174</v>
      </c>
      <c r="D11" s="2979" t="s">
        <v>3175</v>
      </c>
      <c r="E11" s="2979" t="s">
        <v>1327</v>
      </c>
      <c r="F11" s="2979" t="s">
        <v>3224</v>
      </c>
      <c r="G11" s="2979" t="s">
        <v>3177</v>
      </c>
      <c r="H11" s="2979" t="s">
        <v>3225</v>
      </c>
      <c r="I11" s="2979" t="s">
        <v>6</v>
      </c>
      <c r="J11" s="2979">
        <v>23308.3</v>
      </c>
      <c r="K11" s="2979">
        <v>34962.449999999997</v>
      </c>
      <c r="L11" s="2979">
        <v>1.5</v>
      </c>
      <c r="M11" s="2979" t="s">
        <v>3208</v>
      </c>
      <c r="N11" s="2979" t="s">
        <v>3230</v>
      </c>
      <c r="O11" s="2979" t="s">
        <v>3231</v>
      </c>
      <c r="P11" s="2979" t="s">
        <v>3232</v>
      </c>
      <c r="Q11" s="2979" t="s">
        <v>3232</v>
      </c>
      <c r="R11" s="2979" t="s">
        <v>3225</v>
      </c>
      <c r="S11" s="2979" t="s">
        <v>3193</v>
      </c>
      <c r="T11" s="2979" t="s">
        <v>3233</v>
      </c>
      <c r="U11" s="2979">
        <v>1100</v>
      </c>
      <c r="V11" s="2979">
        <v>5244.36</v>
      </c>
      <c r="W11" s="2979">
        <v>5244.36</v>
      </c>
      <c r="X11" s="2979">
        <v>150</v>
      </c>
      <c r="Y11" s="2979">
        <v>150</v>
      </c>
      <c r="Z11" s="2979">
        <v>1500</v>
      </c>
      <c r="AA11" s="2979">
        <v>1500</v>
      </c>
      <c r="AB11" s="2979">
        <f t="shared" si="0"/>
        <v>2250</v>
      </c>
      <c r="AC11" s="2979" t="s">
        <v>1327</v>
      </c>
      <c r="AD11" s="2979">
        <v>0</v>
      </c>
      <c r="AE11" s="2979" t="s">
        <v>3220</v>
      </c>
      <c r="AF11" s="2979" t="s">
        <v>1327</v>
      </c>
      <c r="AG11" s="2979" t="s">
        <v>1327</v>
      </c>
      <c r="AH11" s="2979" t="s">
        <v>1327</v>
      </c>
      <c r="AI11" s="2979" t="s">
        <v>3196</v>
      </c>
      <c r="AJ11" s="2979"/>
      <c r="AK11" s="2979"/>
      <c r="AL11" s="2979"/>
      <c r="AM11" s="2979"/>
      <c r="AN11" s="2979"/>
      <c r="AO11" s="2979"/>
      <c r="AP11" s="2979"/>
      <c r="AQ11" s="2979"/>
      <c r="AR11" s="2979"/>
      <c r="AS11" s="2979"/>
      <c r="AT11" s="2979"/>
      <c r="AU11" s="2979"/>
      <c r="AV11" s="2979"/>
      <c r="AW11" s="2979"/>
      <c r="AX11" s="2979"/>
      <c r="AY11" s="2979"/>
      <c r="AZ11" s="2979"/>
      <c r="BA11" s="2979"/>
      <c r="BB11" s="2979"/>
      <c r="BC11" s="2979"/>
      <c r="BD11" s="2979"/>
      <c r="BE11" s="2979"/>
      <c r="BF11" s="2979"/>
      <c r="BG11" s="2979"/>
      <c r="BH11" s="2979"/>
      <c r="BI11" s="2979"/>
      <c r="BJ11" s="2979"/>
      <c r="BK11" s="2979"/>
      <c r="BL11" s="2979"/>
      <c r="BM11" s="2979"/>
      <c r="BN11" s="2979"/>
      <c r="BO11" s="2979"/>
      <c r="BP11" s="2979"/>
      <c r="BQ11" s="2979"/>
      <c r="BR11" s="2979"/>
      <c r="BS11" s="2979"/>
      <c r="BT11" s="2979"/>
      <c r="BU11" s="2979"/>
      <c r="BV11" s="2979"/>
      <c r="BW11" s="2979"/>
      <c r="BX11" s="2979"/>
      <c r="BY11" s="2979"/>
      <c r="BZ11" s="2979"/>
      <c r="CA11" s="2979"/>
      <c r="CB11" s="2979"/>
      <c r="CC11" s="2979"/>
      <c r="CD11" s="2979"/>
      <c r="CE11" s="2979"/>
      <c r="CF11" s="2979"/>
      <c r="CG11" s="2979"/>
      <c r="CH11" s="2979"/>
      <c r="CI11" s="2979"/>
      <c r="CJ11" s="2979"/>
      <c r="CK11" s="2979"/>
      <c r="CL11" s="2979"/>
      <c r="CM11" s="2979"/>
      <c r="CN11" s="2979"/>
      <c r="CO11" s="2979"/>
      <c r="CP11" s="2979"/>
      <c r="CQ11" s="2979"/>
      <c r="CR11" s="2979"/>
      <c r="CS11" s="2979"/>
      <c r="CT11" s="2979"/>
      <c r="CU11" s="2979"/>
      <c r="CV11" s="2979"/>
      <c r="CW11" s="2979"/>
      <c r="CX11" s="2979"/>
      <c r="CY11" s="2979"/>
      <c r="CZ11" s="2979"/>
      <c r="DA11" s="2979"/>
      <c r="DB11" s="2979"/>
      <c r="DC11" s="2979"/>
      <c r="DD11" s="2979"/>
      <c r="DE11" s="2979"/>
      <c r="DF11" s="2979"/>
      <c r="DG11" s="2979"/>
      <c r="DH11" s="2979"/>
      <c r="DI11" s="2979"/>
      <c r="DJ11" s="2979"/>
      <c r="DK11" s="2979"/>
      <c r="DL11" s="2979"/>
      <c r="DM11" s="2979"/>
      <c r="DN11" s="2979"/>
      <c r="DO11" s="2979"/>
      <c r="DP11" s="2979"/>
      <c r="DQ11" s="2979"/>
      <c r="DR11" s="2979"/>
      <c r="DS11" s="2979"/>
      <c r="DT11" s="2979"/>
      <c r="DU11" s="2979"/>
      <c r="DV11" s="2979"/>
      <c r="DW11" s="2979"/>
      <c r="DX11" s="2979"/>
      <c r="DY11" s="2979"/>
      <c r="DZ11" s="2979"/>
      <c r="EA11" s="2979"/>
      <c r="EB11" s="2979"/>
      <c r="EC11" s="2979"/>
      <c r="ED11" s="2979"/>
      <c r="EE11" s="2979"/>
      <c r="EF11" s="2979"/>
      <c r="EG11" s="2979"/>
      <c r="EH11" s="2979"/>
      <c r="EI11" s="2979"/>
      <c r="EJ11" s="2979"/>
      <c r="EK11" s="2979"/>
      <c r="EL11" s="2979"/>
      <c r="EM11" s="2979"/>
      <c r="EN11" s="2979"/>
      <c r="EO11" s="2979"/>
      <c r="EP11" s="2979"/>
      <c r="EQ11" s="2979"/>
      <c r="ER11" s="2979"/>
      <c r="ES11" s="2979"/>
      <c r="ET11" s="2979"/>
      <c r="EU11" s="2979"/>
      <c r="EV11" s="2979"/>
      <c r="EW11" s="2979"/>
      <c r="EX11" s="2979"/>
      <c r="EY11" s="2979"/>
      <c r="EZ11" s="2979"/>
      <c r="FA11" s="2979"/>
      <c r="FB11" s="2979"/>
      <c r="FC11" s="2979"/>
      <c r="FD11" s="2979"/>
      <c r="FE11" s="2979"/>
      <c r="FF11" s="2979"/>
      <c r="FG11" s="2979"/>
      <c r="FH11" s="2979"/>
      <c r="FI11" s="2979"/>
      <c r="FJ11" s="2979"/>
      <c r="FK11" s="2979"/>
      <c r="FL11" s="2979"/>
      <c r="FM11" s="2979"/>
      <c r="FN11" s="2979"/>
      <c r="FO11" s="2979"/>
      <c r="FP11" s="2979"/>
      <c r="FQ11" s="2979"/>
      <c r="FR11" s="2979"/>
      <c r="FS11" s="2979"/>
      <c r="FT11" s="2979"/>
      <c r="FU11" s="2979"/>
      <c r="FV11" s="2979"/>
      <c r="FW11" s="2979"/>
      <c r="FX11" s="2979"/>
      <c r="FY11" s="2979"/>
      <c r="FZ11" s="2979"/>
      <c r="GA11" s="2979"/>
      <c r="GB11" s="2979"/>
      <c r="GC11" s="2979"/>
      <c r="GD11" s="2979"/>
      <c r="GE11" s="2979"/>
      <c r="GF11" s="2979"/>
      <c r="GG11" s="2979"/>
      <c r="GH11" s="2979"/>
      <c r="GI11" s="2979"/>
      <c r="GJ11" s="2979"/>
      <c r="GK11" s="2979"/>
      <c r="GL11" s="2979"/>
      <c r="GM11" s="2979"/>
      <c r="GN11" s="2979"/>
      <c r="GO11" s="2979"/>
      <c r="GP11" s="2979"/>
      <c r="GQ11" s="2979"/>
      <c r="GR11" s="2979"/>
      <c r="GS11" s="2979"/>
      <c r="GT11" s="2979"/>
      <c r="GU11" s="2979"/>
      <c r="GV11" s="2979"/>
      <c r="GW11" s="2979"/>
      <c r="GX11" s="2979"/>
      <c r="GY11" s="2979"/>
      <c r="GZ11" s="2979"/>
      <c r="HA11" s="2979"/>
      <c r="HB11" s="2979"/>
      <c r="HC11" s="2979"/>
      <c r="HD11" s="2979"/>
      <c r="HE11" s="2979"/>
      <c r="HF11" s="2979"/>
      <c r="HG11" s="2979"/>
      <c r="HH11" s="2979"/>
      <c r="HI11" s="2979"/>
      <c r="HJ11" s="2979"/>
      <c r="HK11" s="2979"/>
      <c r="HL11" s="2979"/>
      <c r="HM11" s="2979"/>
      <c r="HN11" s="2979"/>
      <c r="HO11" s="2979"/>
      <c r="HP11" s="2979"/>
      <c r="HQ11" s="2979"/>
      <c r="HR11" s="2979"/>
      <c r="HS11" s="2979"/>
      <c r="HT11" s="2979"/>
      <c r="HU11" s="2979"/>
      <c r="HV11" s="2979"/>
      <c r="HW11" s="2979"/>
      <c r="HX11" s="2979"/>
      <c r="HY11" s="2979"/>
      <c r="HZ11" s="2979"/>
      <c r="IA11" s="2979"/>
      <c r="IB11" s="2979"/>
      <c r="IC11" s="2979"/>
      <c r="ID11" s="2979"/>
      <c r="IE11" s="2979"/>
      <c r="IF11" s="2979"/>
      <c r="IG11" s="2979"/>
      <c r="IH11" s="2979"/>
      <c r="II11" s="2979"/>
      <c r="IJ11" s="2979"/>
      <c r="IK11" s="2979"/>
      <c r="IL11" s="2979"/>
    </row>
    <row r="12" spans="1:246">
      <c r="A12" s="1638" t="s">
        <v>3234</v>
      </c>
      <c r="B12" s="1638" t="s">
        <v>3046</v>
      </c>
      <c r="C12" s="1638" t="s">
        <v>3174</v>
      </c>
      <c r="D12" s="1638" t="s">
        <v>3175</v>
      </c>
      <c r="E12" s="1638" t="s">
        <v>1327</v>
      </c>
      <c r="F12" s="1638" t="s">
        <v>3234</v>
      </c>
      <c r="G12" s="1638" t="s">
        <v>3177</v>
      </c>
      <c r="H12" s="1638" t="s">
        <v>3235</v>
      </c>
      <c r="I12" s="1638" t="s">
        <v>3174</v>
      </c>
      <c r="J12" s="1638">
        <v>72743.12</v>
      </c>
      <c r="K12" s="1638">
        <v>109114.7</v>
      </c>
      <c r="L12" s="1638" t="s">
        <v>3236</v>
      </c>
      <c r="M12" s="1638" t="s">
        <v>3208</v>
      </c>
      <c r="N12" s="1638" t="s">
        <v>3261</v>
      </c>
      <c r="O12" s="1638" t="s">
        <v>3262</v>
      </c>
      <c r="P12" s="1638" t="s">
        <v>3263</v>
      </c>
      <c r="Q12" s="1638" t="s">
        <v>3263</v>
      </c>
      <c r="R12" s="1638" t="s">
        <v>3235</v>
      </c>
      <c r="S12" s="1638" t="s">
        <v>3193</v>
      </c>
      <c r="T12" s="1638" t="s">
        <v>3264</v>
      </c>
      <c r="U12" s="1638">
        <v>2400</v>
      </c>
      <c r="V12" s="1638">
        <v>11784.38</v>
      </c>
      <c r="W12" s="1638">
        <v>11784.38</v>
      </c>
      <c r="X12" s="1638">
        <v>108</v>
      </c>
      <c r="Y12" s="1638">
        <v>108</v>
      </c>
      <c r="Z12" s="1638">
        <v>1080</v>
      </c>
      <c r="AA12" s="1638">
        <v>1080</v>
      </c>
      <c r="AB12" s="1638">
        <f t="shared" si="0"/>
        <v>1620</v>
      </c>
      <c r="AC12" s="1638" t="s">
        <v>1327</v>
      </c>
      <c r="AD12" s="1638">
        <v>0</v>
      </c>
      <c r="AE12" s="1638" t="s">
        <v>3220</v>
      </c>
      <c r="AF12" s="1638" t="s">
        <v>1327</v>
      </c>
      <c r="AG12" s="1638" t="s">
        <v>1327</v>
      </c>
      <c r="AH12" s="1638" t="s">
        <v>1327</v>
      </c>
      <c r="AI12" s="1638" t="s">
        <v>3196</v>
      </c>
      <c r="AJ12" s="1638"/>
      <c r="AK12" s="1638"/>
      <c r="AL12" s="1638"/>
      <c r="AM12" s="1638"/>
      <c r="AN12" s="1638"/>
      <c r="AO12" s="1638"/>
      <c r="AP12" s="1638"/>
      <c r="AQ12" s="1638"/>
      <c r="AR12" s="1638"/>
      <c r="AS12" s="1638"/>
      <c r="AT12" s="1638"/>
      <c r="AU12" s="1638"/>
      <c r="AV12" s="1638"/>
      <c r="AW12" s="1638"/>
      <c r="AX12" s="1638"/>
      <c r="AY12" s="1638"/>
      <c r="AZ12" s="1638"/>
      <c r="BA12" s="1638"/>
      <c r="BB12" s="1638"/>
      <c r="BC12" s="1638"/>
      <c r="BD12" s="1638"/>
      <c r="BE12" s="1638"/>
      <c r="BF12" s="1638"/>
      <c r="BG12" s="1638"/>
      <c r="BH12" s="1638"/>
      <c r="BI12" s="1638"/>
      <c r="BJ12" s="1638"/>
      <c r="BK12" s="1638"/>
      <c r="BL12" s="1638"/>
      <c r="BM12" s="1638"/>
      <c r="BN12" s="1638"/>
      <c r="BO12" s="1638"/>
      <c r="BP12" s="1638"/>
      <c r="BQ12" s="1638"/>
      <c r="BR12" s="1638"/>
      <c r="BS12" s="1638"/>
      <c r="BT12" s="1638"/>
      <c r="BU12" s="1638"/>
      <c r="BV12" s="1638"/>
      <c r="BW12" s="1638"/>
      <c r="BX12" s="1638"/>
      <c r="BY12" s="1638"/>
      <c r="BZ12" s="1638"/>
      <c r="CA12" s="1638"/>
      <c r="CB12" s="1638"/>
      <c r="CC12" s="1638"/>
      <c r="CD12" s="1638"/>
      <c r="CE12" s="1638"/>
      <c r="CF12" s="1638"/>
      <c r="CG12" s="1638"/>
      <c r="CH12" s="1638"/>
      <c r="CI12" s="1638"/>
      <c r="CJ12" s="1638"/>
      <c r="CK12" s="1638"/>
      <c r="CL12" s="1638"/>
      <c r="CM12" s="1638"/>
      <c r="CN12" s="1638"/>
      <c r="CO12" s="1638"/>
      <c r="CP12" s="1638"/>
      <c r="CQ12" s="1638"/>
      <c r="CR12" s="1638"/>
      <c r="CS12" s="1638"/>
      <c r="CT12" s="1638"/>
      <c r="CU12" s="1638"/>
      <c r="CV12" s="1638"/>
      <c r="CW12" s="1638"/>
      <c r="CX12" s="1638"/>
      <c r="CY12" s="1638"/>
      <c r="CZ12" s="1638"/>
      <c r="DA12" s="1638"/>
      <c r="DB12" s="1638"/>
      <c r="DC12" s="1638"/>
      <c r="DD12" s="1638"/>
      <c r="DE12" s="1638"/>
      <c r="DF12" s="1638"/>
      <c r="DG12" s="1638"/>
      <c r="DH12" s="1638"/>
      <c r="DI12" s="1638"/>
      <c r="DJ12" s="1638"/>
      <c r="DK12" s="1638"/>
      <c r="DL12" s="1638"/>
      <c r="DM12" s="1638"/>
      <c r="DN12" s="1638"/>
      <c r="DO12" s="1638"/>
      <c r="DP12" s="1638"/>
      <c r="DQ12" s="1638"/>
      <c r="DR12" s="1638"/>
      <c r="DS12" s="1638"/>
      <c r="DT12" s="1638"/>
      <c r="DU12" s="1638"/>
      <c r="DV12" s="1638"/>
      <c r="DW12" s="1638"/>
      <c r="DX12" s="1638"/>
      <c r="DY12" s="1638"/>
      <c r="DZ12" s="1638"/>
      <c r="EA12" s="1638"/>
      <c r="EB12" s="1638"/>
      <c r="EC12" s="1638"/>
      <c r="ED12" s="1638"/>
      <c r="EE12" s="1638"/>
      <c r="EF12" s="1638"/>
      <c r="EG12" s="1638"/>
      <c r="EH12" s="1638"/>
      <c r="EI12" s="1638"/>
      <c r="EJ12" s="1638"/>
      <c r="EK12" s="1638"/>
      <c r="EL12" s="1638"/>
      <c r="EM12" s="1638"/>
      <c r="EN12" s="1638"/>
      <c r="EO12" s="1638"/>
      <c r="EP12" s="1638"/>
      <c r="EQ12" s="1638"/>
      <c r="ER12" s="1638"/>
      <c r="ES12" s="1638"/>
      <c r="ET12" s="1638"/>
      <c r="EU12" s="1638"/>
      <c r="EV12" s="1638"/>
      <c r="EW12" s="1638"/>
      <c r="EX12" s="1638"/>
      <c r="EY12" s="1638"/>
      <c r="EZ12" s="1638"/>
      <c r="FA12" s="1638"/>
      <c r="FB12" s="1638"/>
      <c r="FC12" s="1638"/>
      <c r="FD12" s="1638"/>
      <c r="FE12" s="1638"/>
      <c r="FF12" s="1638"/>
      <c r="FG12" s="1638"/>
      <c r="FH12" s="1638"/>
      <c r="FI12" s="1638"/>
      <c r="FJ12" s="1638"/>
      <c r="FK12" s="1638"/>
      <c r="FL12" s="1638"/>
      <c r="FM12" s="1638"/>
      <c r="FN12" s="1638"/>
      <c r="FO12" s="1638"/>
      <c r="FP12" s="1638"/>
      <c r="FQ12" s="1638"/>
      <c r="FR12" s="1638"/>
      <c r="FS12" s="1638"/>
      <c r="FT12" s="1638"/>
      <c r="FU12" s="1638"/>
      <c r="FV12" s="1638"/>
      <c r="FW12" s="1638"/>
      <c r="FX12" s="1638"/>
      <c r="FY12" s="1638"/>
      <c r="FZ12" s="1638"/>
      <c r="GA12" s="1638"/>
      <c r="GB12" s="1638"/>
      <c r="GC12" s="1638"/>
      <c r="GD12" s="1638"/>
      <c r="GE12" s="1638"/>
      <c r="GF12" s="1638"/>
      <c r="GG12" s="1638"/>
      <c r="GH12" s="1638"/>
      <c r="GI12" s="1638"/>
      <c r="GJ12" s="1638"/>
      <c r="GK12" s="1638"/>
      <c r="GL12" s="1638"/>
      <c r="GM12" s="1638"/>
      <c r="GN12" s="1638"/>
      <c r="GO12" s="1638"/>
      <c r="GP12" s="1638"/>
      <c r="GQ12" s="1638"/>
      <c r="GR12" s="1638"/>
      <c r="GS12" s="1638"/>
      <c r="GT12" s="1638"/>
      <c r="GU12" s="1638"/>
      <c r="GV12" s="1638"/>
      <c r="GW12" s="1638"/>
      <c r="GX12" s="1638"/>
      <c r="GY12" s="1638"/>
      <c r="GZ12" s="1638"/>
      <c r="HA12" s="1638"/>
      <c r="HB12" s="1638"/>
      <c r="HC12" s="1638"/>
      <c r="HD12" s="1638"/>
      <c r="HE12" s="1638"/>
      <c r="HF12" s="1638"/>
      <c r="HG12" s="1638"/>
      <c r="HH12" s="1638"/>
      <c r="HI12" s="1638"/>
      <c r="HJ12" s="1638"/>
      <c r="HK12" s="1638"/>
      <c r="HL12" s="1638"/>
      <c r="HM12" s="1638"/>
      <c r="HN12" s="1638"/>
      <c r="HO12" s="1638"/>
      <c r="HP12" s="1638"/>
      <c r="HQ12" s="1638"/>
      <c r="HR12" s="1638"/>
      <c r="HS12" s="1638"/>
      <c r="HT12" s="1638"/>
      <c r="HU12" s="1638"/>
      <c r="HV12" s="1638"/>
      <c r="HW12" s="1638"/>
      <c r="HX12" s="1638"/>
      <c r="HY12" s="1638"/>
      <c r="HZ12" s="1638"/>
      <c r="IA12" s="1638"/>
      <c r="IB12" s="1638"/>
      <c r="IC12" s="1638"/>
      <c r="ID12" s="1638"/>
      <c r="IE12" s="1638"/>
      <c r="IF12" s="1638"/>
      <c r="IG12" s="1638"/>
      <c r="IH12" s="1638"/>
      <c r="II12" s="1638"/>
      <c r="IJ12" s="1638"/>
      <c r="IK12" s="1638"/>
      <c r="IL12" s="1638"/>
    </row>
    <row r="13" spans="1:246">
      <c r="A13" s="1638" t="s">
        <v>3237</v>
      </c>
      <c r="B13" s="1638" t="s">
        <v>3046</v>
      </c>
      <c r="C13" s="1638" t="s">
        <v>3174</v>
      </c>
      <c r="D13" s="1638" t="s">
        <v>3175</v>
      </c>
      <c r="E13" s="1638" t="s">
        <v>1327</v>
      </c>
      <c r="F13" s="1638" t="s">
        <v>3237</v>
      </c>
      <c r="G13" s="1638" t="s">
        <v>3177</v>
      </c>
      <c r="H13" s="1638" t="s">
        <v>3238</v>
      </c>
      <c r="I13" s="1638" t="s">
        <v>3174</v>
      </c>
      <c r="J13" s="1638">
        <v>20000.599999999999</v>
      </c>
      <c r="K13" s="1638">
        <v>30000.9</v>
      </c>
      <c r="L13" s="1638" t="s">
        <v>3239</v>
      </c>
      <c r="M13" s="1638" t="s">
        <v>3208</v>
      </c>
      <c r="N13" s="1638" t="s">
        <v>3261</v>
      </c>
      <c r="O13" s="1638" t="s">
        <v>3262</v>
      </c>
      <c r="P13" s="1638" t="s">
        <v>3263</v>
      </c>
      <c r="Q13" s="1638" t="s">
        <v>3263</v>
      </c>
      <c r="R13" s="1638" t="s">
        <v>3238</v>
      </c>
      <c r="S13" s="1638" t="s">
        <v>3193</v>
      </c>
      <c r="T13" s="1638" t="s">
        <v>3265</v>
      </c>
      <c r="U13" s="1638">
        <v>650</v>
      </c>
      <c r="V13" s="1638">
        <v>3240.09</v>
      </c>
      <c r="W13" s="1638">
        <v>3240.09</v>
      </c>
      <c r="X13" s="1638">
        <v>108</v>
      </c>
      <c r="Y13" s="1638">
        <v>108</v>
      </c>
      <c r="Z13" s="1638">
        <v>1080</v>
      </c>
      <c r="AA13" s="1638">
        <v>1080</v>
      </c>
      <c r="AB13" s="1638">
        <f t="shared" si="0"/>
        <v>1620</v>
      </c>
      <c r="AC13" s="1638" t="s">
        <v>1327</v>
      </c>
      <c r="AD13" s="1638">
        <v>0</v>
      </c>
      <c r="AE13" s="1638" t="s">
        <v>3220</v>
      </c>
      <c r="AF13" s="1638" t="s">
        <v>1327</v>
      </c>
      <c r="AG13" s="1638" t="s">
        <v>1327</v>
      </c>
      <c r="AH13" s="1638" t="s">
        <v>1327</v>
      </c>
      <c r="AI13" s="1638" t="s">
        <v>3196</v>
      </c>
      <c r="AJ13" s="1638"/>
      <c r="AK13" s="1638"/>
      <c r="AL13" s="1638"/>
      <c r="AM13" s="1638"/>
      <c r="AN13" s="1638"/>
      <c r="AO13" s="1638"/>
      <c r="AP13" s="1638"/>
      <c r="AQ13" s="1638"/>
      <c r="AR13" s="1638"/>
      <c r="AS13" s="1638"/>
      <c r="AT13" s="1638"/>
      <c r="AU13" s="1638"/>
      <c r="AV13" s="1638"/>
      <c r="AW13" s="1638"/>
      <c r="AX13" s="1638"/>
      <c r="AY13" s="1638"/>
      <c r="AZ13" s="1638"/>
      <c r="BA13" s="1638"/>
      <c r="BB13" s="1638"/>
      <c r="BC13" s="1638"/>
      <c r="BD13" s="1638"/>
      <c r="BE13" s="1638"/>
      <c r="BF13" s="1638"/>
      <c r="BG13" s="1638"/>
      <c r="BH13" s="1638"/>
      <c r="BI13" s="1638"/>
      <c r="BJ13" s="1638"/>
      <c r="BK13" s="1638"/>
      <c r="BL13" s="1638"/>
      <c r="BM13" s="1638"/>
      <c r="BN13" s="1638"/>
      <c r="BO13" s="1638"/>
      <c r="BP13" s="1638"/>
      <c r="BQ13" s="1638"/>
      <c r="BR13" s="1638"/>
      <c r="BS13" s="1638"/>
      <c r="BT13" s="1638"/>
      <c r="BU13" s="1638"/>
      <c r="BV13" s="1638"/>
      <c r="BW13" s="1638"/>
      <c r="BX13" s="1638"/>
      <c r="BY13" s="1638"/>
      <c r="BZ13" s="1638"/>
      <c r="CA13" s="1638"/>
      <c r="CB13" s="1638"/>
      <c r="CC13" s="1638"/>
      <c r="CD13" s="1638"/>
      <c r="CE13" s="1638"/>
      <c r="CF13" s="1638"/>
      <c r="CG13" s="1638"/>
      <c r="CH13" s="1638"/>
      <c r="CI13" s="1638"/>
      <c r="CJ13" s="1638"/>
      <c r="CK13" s="1638"/>
      <c r="CL13" s="1638"/>
      <c r="CM13" s="1638"/>
      <c r="CN13" s="1638"/>
      <c r="CO13" s="1638"/>
      <c r="CP13" s="1638"/>
      <c r="CQ13" s="1638"/>
      <c r="CR13" s="1638"/>
      <c r="CS13" s="1638"/>
      <c r="CT13" s="1638"/>
      <c r="CU13" s="1638"/>
      <c r="CV13" s="1638"/>
      <c r="CW13" s="1638"/>
      <c r="CX13" s="1638"/>
      <c r="CY13" s="1638"/>
      <c r="CZ13" s="1638"/>
      <c r="DA13" s="1638"/>
      <c r="DB13" s="1638"/>
      <c r="DC13" s="1638"/>
      <c r="DD13" s="1638"/>
      <c r="DE13" s="1638"/>
      <c r="DF13" s="1638"/>
      <c r="DG13" s="1638"/>
      <c r="DH13" s="1638"/>
      <c r="DI13" s="1638"/>
      <c r="DJ13" s="1638"/>
      <c r="DK13" s="1638"/>
      <c r="DL13" s="1638"/>
      <c r="DM13" s="1638"/>
      <c r="DN13" s="1638"/>
      <c r="DO13" s="1638"/>
      <c r="DP13" s="1638"/>
      <c r="DQ13" s="1638"/>
      <c r="DR13" s="1638"/>
      <c r="DS13" s="1638"/>
      <c r="DT13" s="1638"/>
      <c r="DU13" s="1638"/>
      <c r="DV13" s="1638"/>
      <c r="DW13" s="1638"/>
      <c r="DX13" s="1638"/>
      <c r="DY13" s="1638"/>
      <c r="DZ13" s="1638"/>
      <c r="EA13" s="1638"/>
      <c r="EB13" s="1638"/>
      <c r="EC13" s="1638"/>
      <c r="ED13" s="1638"/>
      <c r="EE13" s="1638"/>
      <c r="EF13" s="1638"/>
      <c r="EG13" s="1638"/>
      <c r="EH13" s="1638"/>
      <c r="EI13" s="1638"/>
      <c r="EJ13" s="1638"/>
      <c r="EK13" s="1638"/>
      <c r="EL13" s="1638"/>
      <c r="EM13" s="1638"/>
      <c r="EN13" s="1638"/>
      <c r="EO13" s="1638"/>
      <c r="EP13" s="1638"/>
      <c r="EQ13" s="1638"/>
      <c r="ER13" s="1638"/>
      <c r="ES13" s="1638"/>
      <c r="ET13" s="1638"/>
      <c r="EU13" s="1638"/>
      <c r="EV13" s="1638"/>
      <c r="EW13" s="1638"/>
      <c r="EX13" s="1638"/>
      <c r="EY13" s="1638"/>
      <c r="EZ13" s="1638"/>
      <c r="FA13" s="1638"/>
      <c r="FB13" s="1638"/>
      <c r="FC13" s="1638"/>
      <c r="FD13" s="1638"/>
      <c r="FE13" s="1638"/>
      <c r="FF13" s="1638"/>
      <c r="FG13" s="1638"/>
      <c r="FH13" s="1638"/>
      <c r="FI13" s="1638"/>
      <c r="FJ13" s="1638"/>
      <c r="FK13" s="1638"/>
      <c r="FL13" s="1638"/>
      <c r="FM13" s="1638"/>
      <c r="FN13" s="1638"/>
      <c r="FO13" s="1638"/>
      <c r="FP13" s="1638"/>
      <c r="FQ13" s="1638"/>
      <c r="FR13" s="1638"/>
      <c r="FS13" s="1638"/>
      <c r="FT13" s="1638"/>
      <c r="FU13" s="1638"/>
      <c r="FV13" s="1638"/>
      <c r="FW13" s="1638"/>
      <c r="FX13" s="1638"/>
      <c r="FY13" s="1638"/>
      <c r="FZ13" s="1638"/>
      <c r="GA13" s="1638"/>
      <c r="GB13" s="1638"/>
      <c r="GC13" s="1638"/>
      <c r="GD13" s="1638"/>
      <c r="GE13" s="1638"/>
      <c r="GF13" s="1638"/>
      <c r="GG13" s="1638"/>
      <c r="GH13" s="1638"/>
      <c r="GI13" s="1638"/>
      <c r="GJ13" s="1638"/>
      <c r="GK13" s="1638"/>
      <c r="GL13" s="1638"/>
      <c r="GM13" s="1638"/>
      <c r="GN13" s="1638"/>
      <c r="GO13" s="1638"/>
      <c r="GP13" s="1638"/>
      <c r="GQ13" s="1638"/>
      <c r="GR13" s="1638"/>
      <c r="GS13" s="1638"/>
      <c r="GT13" s="1638"/>
      <c r="GU13" s="1638"/>
      <c r="GV13" s="1638"/>
      <c r="GW13" s="1638"/>
      <c r="GX13" s="1638"/>
      <c r="GY13" s="1638"/>
      <c r="GZ13" s="1638"/>
      <c r="HA13" s="1638"/>
      <c r="HB13" s="1638"/>
      <c r="HC13" s="1638"/>
      <c r="HD13" s="1638"/>
      <c r="HE13" s="1638"/>
      <c r="HF13" s="1638"/>
      <c r="HG13" s="1638"/>
      <c r="HH13" s="1638"/>
      <c r="HI13" s="1638"/>
      <c r="HJ13" s="1638"/>
      <c r="HK13" s="1638"/>
      <c r="HL13" s="1638"/>
      <c r="HM13" s="1638"/>
      <c r="HN13" s="1638"/>
      <c r="HO13" s="1638"/>
      <c r="HP13" s="1638"/>
      <c r="HQ13" s="1638"/>
      <c r="HR13" s="1638"/>
      <c r="HS13" s="1638"/>
      <c r="HT13" s="1638"/>
      <c r="HU13" s="1638"/>
      <c r="HV13" s="1638"/>
      <c r="HW13" s="1638"/>
      <c r="HX13" s="1638"/>
      <c r="HY13" s="1638"/>
      <c r="HZ13" s="1638"/>
      <c r="IA13" s="1638"/>
      <c r="IB13" s="1638"/>
      <c r="IC13" s="1638"/>
      <c r="ID13" s="1638"/>
      <c r="IE13" s="1638"/>
      <c r="IF13" s="1638"/>
      <c r="IG13" s="1638"/>
      <c r="IH13" s="1638"/>
      <c r="II13" s="1638"/>
      <c r="IJ13" s="1638"/>
      <c r="IK13" s="1638"/>
      <c r="IL13" s="1638"/>
    </row>
    <row r="14" spans="1:246" s="2963" customFormat="1">
      <c r="A14" s="2977" t="s">
        <v>3240</v>
      </c>
      <c r="B14" s="2977" t="s">
        <v>3046</v>
      </c>
      <c r="C14" s="2977" t="s">
        <v>3174</v>
      </c>
      <c r="D14" s="2977" t="s">
        <v>3175</v>
      </c>
      <c r="E14" s="2977" t="s">
        <v>1327</v>
      </c>
      <c r="F14" s="2977" t="s">
        <v>3240</v>
      </c>
      <c r="G14" s="2977" t="s">
        <v>3177</v>
      </c>
      <c r="H14" s="2977" t="s">
        <v>3241</v>
      </c>
      <c r="I14" s="2977" t="s">
        <v>3174</v>
      </c>
      <c r="J14" s="2977">
        <v>34726.1</v>
      </c>
      <c r="K14" s="2977">
        <v>52089.15</v>
      </c>
      <c r="L14" s="2977" t="s">
        <v>3236</v>
      </c>
      <c r="M14" s="2977" t="s">
        <v>3208</v>
      </c>
      <c r="N14" s="2977" t="s">
        <v>3266</v>
      </c>
      <c r="O14" s="2977" t="s">
        <v>3267</v>
      </c>
      <c r="P14" s="2977" t="s">
        <v>3268</v>
      </c>
      <c r="Q14" s="2977" t="s">
        <v>3268</v>
      </c>
      <c r="R14" s="2977" t="s">
        <v>3241</v>
      </c>
      <c r="S14" s="2977" t="s">
        <v>3193</v>
      </c>
      <c r="T14" s="2977" t="s">
        <v>3269</v>
      </c>
      <c r="U14" s="2977">
        <v>1200</v>
      </c>
      <c r="V14" s="2977">
        <v>5625.63</v>
      </c>
      <c r="W14" s="2977">
        <v>5625.63</v>
      </c>
      <c r="X14" s="2977">
        <v>108</v>
      </c>
      <c r="Y14" s="2977">
        <v>108</v>
      </c>
      <c r="Z14" s="2977">
        <v>1080</v>
      </c>
      <c r="AA14" s="2977">
        <v>1080</v>
      </c>
      <c r="AB14" s="1638">
        <f t="shared" si="0"/>
        <v>1620</v>
      </c>
      <c r="AC14" s="2977" t="s">
        <v>1327</v>
      </c>
      <c r="AD14" s="2977">
        <v>0</v>
      </c>
      <c r="AE14" s="2977" t="s">
        <v>3220</v>
      </c>
      <c r="AF14" s="2977" t="s">
        <v>1327</v>
      </c>
      <c r="AG14" s="2977" t="s">
        <v>1327</v>
      </c>
      <c r="AH14" s="2977" t="s">
        <v>1327</v>
      </c>
      <c r="AI14" s="2977" t="s">
        <v>3196</v>
      </c>
      <c r="AJ14" s="2977"/>
      <c r="AK14" s="2977"/>
      <c r="AL14" s="2977"/>
      <c r="AM14" s="2977"/>
      <c r="AN14" s="2977"/>
      <c r="AO14" s="2977"/>
      <c r="AP14" s="2977"/>
      <c r="AQ14" s="2977"/>
      <c r="AR14" s="2977"/>
      <c r="AS14" s="2977"/>
      <c r="AT14" s="2977"/>
      <c r="AU14" s="2977"/>
      <c r="AV14" s="2977"/>
      <c r="AW14" s="2977"/>
      <c r="AX14" s="2977"/>
      <c r="AY14" s="2977"/>
      <c r="AZ14" s="2977"/>
      <c r="BA14" s="2977"/>
      <c r="BB14" s="2977"/>
      <c r="BC14" s="2977"/>
      <c r="BD14" s="2977"/>
      <c r="BE14" s="2977"/>
      <c r="BF14" s="2977"/>
      <c r="BG14" s="2977"/>
      <c r="BH14" s="2977"/>
      <c r="BI14" s="2977"/>
      <c r="BJ14" s="2977"/>
      <c r="BK14" s="2977"/>
      <c r="BL14" s="2977"/>
      <c r="BM14" s="2977"/>
      <c r="BN14" s="2977"/>
      <c r="BO14" s="2977"/>
      <c r="BP14" s="2977"/>
      <c r="BQ14" s="2977"/>
      <c r="BR14" s="2977"/>
      <c r="BS14" s="2977"/>
      <c r="BT14" s="2977"/>
      <c r="BU14" s="2977"/>
      <c r="BV14" s="2977"/>
      <c r="BW14" s="2977"/>
      <c r="BX14" s="2977"/>
      <c r="BY14" s="2977"/>
      <c r="BZ14" s="2977"/>
      <c r="CA14" s="2977"/>
      <c r="CB14" s="2977"/>
      <c r="CC14" s="2977"/>
      <c r="CD14" s="2977"/>
      <c r="CE14" s="2977"/>
      <c r="CF14" s="2977"/>
      <c r="CG14" s="2977"/>
      <c r="CH14" s="2977"/>
      <c r="CI14" s="2977"/>
      <c r="CJ14" s="2977"/>
      <c r="CK14" s="2977"/>
      <c r="CL14" s="2977"/>
      <c r="CM14" s="2977"/>
      <c r="CN14" s="2977"/>
      <c r="CO14" s="2977"/>
      <c r="CP14" s="2977"/>
      <c r="CQ14" s="2977"/>
      <c r="CR14" s="2977"/>
      <c r="CS14" s="2977"/>
      <c r="CT14" s="2977"/>
      <c r="CU14" s="2977"/>
      <c r="CV14" s="2977"/>
      <c r="CW14" s="2977"/>
      <c r="CX14" s="2977"/>
      <c r="CY14" s="2977"/>
      <c r="CZ14" s="2977"/>
      <c r="DA14" s="2977"/>
      <c r="DB14" s="2977"/>
      <c r="DC14" s="2977"/>
      <c r="DD14" s="2977"/>
      <c r="DE14" s="2977"/>
      <c r="DF14" s="2977"/>
      <c r="DG14" s="2977"/>
      <c r="DH14" s="2977"/>
      <c r="DI14" s="2977"/>
      <c r="DJ14" s="2977"/>
      <c r="DK14" s="2977"/>
      <c r="DL14" s="2977"/>
      <c r="DM14" s="2977"/>
      <c r="DN14" s="2977"/>
      <c r="DO14" s="2977"/>
      <c r="DP14" s="2977"/>
      <c r="DQ14" s="2977"/>
      <c r="DR14" s="2977"/>
      <c r="DS14" s="2977"/>
      <c r="DT14" s="2977"/>
      <c r="DU14" s="2977"/>
      <c r="DV14" s="2977"/>
      <c r="DW14" s="2977"/>
      <c r="DX14" s="2977"/>
      <c r="DY14" s="2977"/>
      <c r="DZ14" s="2977"/>
      <c r="EA14" s="2977"/>
      <c r="EB14" s="2977"/>
      <c r="EC14" s="2977"/>
      <c r="ED14" s="2977"/>
      <c r="EE14" s="2977"/>
      <c r="EF14" s="2977"/>
      <c r="EG14" s="2977"/>
      <c r="EH14" s="2977"/>
      <c r="EI14" s="2977"/>
      <c r="EJ14" s="2977"/>
      <c r="EK14" s="2977"/>
      <c r="EL14" s="2977"/>
      <c r="EM14" s="2977"/>
      <c r="EN14" s="2977"/>
      <c r="EO14" s="2977"/>
      <c r="EP14" s="2977"/>
      <c r="EQ14" s="2977"/>
      <c r="ER14" s="2977"/>
      <c r="ES14" s="2977"/>
      <c r="ET14" s="2977"/>
      <c r="EU14" s="2977"/>
      <c r="EV14" s="2977"/>
      <c r="EW14" s="2977"/>
      <c r="EX14" s="2977"/>
      <c r="EY14" s="2977"/>
      <c r="EZ14" s="2977"/>
      <c r="FA14" s="2977"/>
      <c r="FB14" s="2977"/>
      <c r="FC14" s="2977"/>
      <c r="FD14" s="2977"/>
      <c r="FE14" s="2977"/>
      <c r="FF14" s="2977"/>
      <c r="FG14" s="2977"/>
      <c r="FH14" s="2977"/>
      <c r="FI14" s="2977"/>
      <c r="FJ14" s="2977"/>
      <c r="FK14" s="2977"/>
      <c r="FL14" s="2977"/>
      <c r="FM14" s="2977"/>
      <c r="FN14" s="2977"/>
      <c r="FO14" s="2977"/>
      <c r="FP14" s="2977"/>
      <c r="FQ14" s="2977"/>
      <c r="FR14" s="2977"/>
      <c r="FS14" s="2977"/>
      <c r="FT14" s="2977"/>
      <c r="FU14" s="2977"/>
      <c r="FV14" s="2977"/>
      <c r="FW14" s="2977"/>
      <c r="FX14" s="2977"/>
      <c r="FY14" s="2977"/>
      <c r="FZ14" s="2977"/>
      <c r="GA14" s="2977"/>
      <c r="GB14" s="2977"/>
      <c r="GC14" s="2977"/>
      <c r="GD14" s="2977"/>
      <c r="GE14" s="2977"/>
      <c r="GF14" s="2977"/>
      <c r="GG14" s="2977"/>
      <c r="GH14" s="2977"/>
      <c r="GI14" s="2977"/>
      <c r="GJ14" s="2977"/>
      <c r="GK14" s="2977"/>
      <c r="GL14" s="2977"/>
      <c r="GM14" s="2977"/>
      <c r="GN14" s="2977"/>
      <c r="GO14" s="2977"/>
      <c r="GP14" s="2977"/>
      <c r="GQ14" s="2977"/>
      <c r="GR14" s="2977"/>
      <c r="GS14" s="2977"/>
      <c r="GT14" s="2977"/>
      <c r="GU14" s="2977"/>
      <c r="GV14" s="2977"/>
      <c r="GW14" s="2977"/>
      <c r="GX14" s="2977"/>
      <c r="GY14" s="2977"/>
      <c r="GZ14" s="2977"/>
      <c r="HA14" s="2977"/>
      <c r="HB14" s="2977"/>
      <c r="HC14" s="2977"/>
      <c r="HD14" s="2977"/>
      <c r="HE14" s="2977"/>
      <c r="HF14" s="2977"/>
      <c r="HG14" s="2977"/>
      <c r="HH14" s="2977"/>
      <c r="HI14" s="2977"/>
      <c r="HJ14" s="2977"/>
      <c r="HK14" s="2977"/>
      <c r="HL14" s="2977"/>
      <c r="HM14" s="2977"/>
      <c r="HN14" s="2977"/>
      <c r="HO14" s="2977"/>
      <c r="HP14" s="2977"/>
      <c r="HQ14" s="2977"/>
      <c r="HR14" s="2977"/>
      <c r="HS14" s="2977"/>
      <c r="HT14" s="2977"/>
      <c r="HU14" s="2977"/>
      <c r="HV14" s="2977"/>
      <c r="HW14" s="2977"/>
      <c r="HX14" s="2977"/>
      <c r="HY14" s="2977"/>
      <c r="HZ14" s="2977"/>
      <c r="IA14" s="2977"/>
      <c r="IB14" s="2977"/>
      <c r="IC14" s="2977"/>
      <c r="ID14" s="2977"/>
      <c r="IE14" s="2977"/>
      <c r="IF14" s="2977"/>
      <c r="IG14" s="2977"/>
      <c r="IH14" s="2977"/>
      <c r="II14" s="2977"/>
      <c r="IJ14" s="2977"/>
      <c r="IK14" s="2977"/>
      <c r="IL14" s="2977"/>
    </row>
    <row r="15" spans="1:246">
      <c r="A15" s="1638" t="s">
        <v>3242</v>
      </c>
      <c r="B15" s="1638" t="s">
        <v>3046</v>
      </c>
      <c r="C15" s="1638" t="s">
        <v>3174</v>
      </c>
      <c r="D15" s="1638" t="s">
        <v>3175</v>
      </c>
      <c r="E15" s="1638" t="s">
        <v>1327</v>
      </c>
      <c r="F15" s="1638" t="s">
        <v>3242</v>
      </c>
      <c r="G15" s="1638" t="s">
        <v>3177</v>
      </c>
      <c r="H15" s="1638" t="s">
        <v>3243</v>
      </c>
      <c r="I15" s="1638" t="s">
        <v>3174</v>
      </c>
      <c r="J15" s="1638">
        <v>103751.8</v>
      </c>
      <c r="K15" s="1638">
        <v>155627.70000000001</v>
      </c>
      <c r="L15" s="1638" t="s">
        <v>3236</v>
      </c>
      <c r="M15" s="1638" t="s">
        <v>3208</v>
      </c>
      <c r="N15" s="1638" t="s">
        <v>3270</v>
      </c>
      <c r="O15" s="1638" t="s">
        <v>3271</v>
      </c>
      <c r="P15" s="1638" t="s">
        <v>3272</v>
      </c>
      <c r="Q15" s="1638" t="s">
        <v>3272</v>
      </c>
      <c r="R15" s="1638" t="s">
        <v>3243</v>
      </c>
      <c r="S15" s="1638" t="s">
        <v>3193</v>
      </c>
      <c r="T15" s="1638" t="s">
        <v>3273</v>
      </c>
      <c r="U15" s="1638">
        <v>3400</v>
      </c>
      <c r="V15" s="1638">
        <v>16807.79</v>
      </c>
      <c r="W15" s="1638">
        <v>16807.79</v>
      </c>
      <c r="X15" s="1638">
        <v>108</v>
      </c>
      <c r="Y15" s="1638">
        <v>108</v>
      </c>
      <c r="Z15" s="1638">
        <v>1079.99</v>
      </c>
      <c r="AA15" s="1638">
        <v>1080</v>
      </c>
      <c r="AB15" s="1638">
        <f t="shared" si="0"/>
        <v>1620</v>
      </c>
      <c r="AC15" s="1638" t="s">
        <v>1327</v>
      </c>
      <c r="AD15" s="1638">
        <v>0</v>
      </c>
      <c r="AE15" s="1638" t="s">
        <v>3220</v>
      </c>
      <c r="AF15" s="1638" t="s">
        <v>1327</v>
      </c>
      <c r="AG15" s="1638" t="s">
        <v>1327</v>
      </c>
      <c r="AH15" s="1638" t="s">
        <v>1327</v>
      </c>
      <c r="AI15" s="1638" t="s">
        <v>3196</v>
      </c>
      <c r="AJ15" s="1638"/>
      <c r="AK15" s="1638"/>
      <c r="AL15" s="1638"/>
      <c r="AM15" s="1638"/>
      <c r="AN15" s="1638"/>
      <c r="AO15" s="1638"/>
      <c r="AP15" s="1638"/>
      <c r="AQ15" s="1638"/>
      <c r="AR15" s="1638"/>
      <c r="AS15" s="1638"/>
      <c r="AT15" s="1638"/>
      <c r="AU15" s="1638"/>
      <c r="AV15" s="1638"/>
      <c r="AW15" s="1638"/>
      <c r="AX15" s="1638"/>
      <c r="AY15" s="1638"/>
      <c r="AZ15" s="1638"/>
      <c r="BA15" s="1638"/>
      <c r="BB15" s="1638"/>
      <c r="BC15" s="1638"/>
      <c r="BD15" s="1638"/>
      <c r="BE15" s="1638"/>
      <c r="BF15" s="1638"/>
      <c r="BG15" s="1638"/>
      <c r="BH15" s="1638"/>
      <c r="BI15" s="1638"/>
      <c r="BJ15" s="1638"/>
      <c r="BK15" s="1638"/>
      <c r="BL15" s="1638"/>
      <c r="BM15" s="1638"/>
      <c r="BN15" s="1638"/>
      <c r="BO15" s="1638"/>
      <c r="BP15" s="1638"/>
      <c r="BQ15" s="1638"/>
      <c r="BR15" s="1638"/>
      <c r="BS15" s="1638"/>
      <c r="BT15" s="1638"/>
      <c r="BU15" s="1638"/>
      <c r="BV15" s="1638"/>
      <c r="BW15" s="1638"/>
      <c r="BX15" s="1638"/>
      <c r="BY15" s="1638"/>
      <c r="BZ15" s="1638"/>
      <c r="CA15" s="1638"/>
      <c r="CB15" s="1638"/>
      <c r="CC15" s="1638"/>
      <c r="CD15" s="1638"/>
      <c r="CE15" s="1638"/>
      <c r="CF15" s="1638"/>
      <c r="CG15" s="1638"/>
      <c r="CH15" s="1638"/>
      <c r="CI15" s="1638"/>
      <c r="CJ15" s="1638"/>
      <c r="CK15" s="1638"/>
      <c r="CL15" s="1638"/>
      <c r="CM15" s="1638"/>
      <c r="CN15" s="1638"/>
      <c r="CO15" s="1638"/>
      <c r="CP15" s="1638"/>
      <c r="CQ15" s="1638"/>
      <c r="CR15" s="1638"/>
      <c r="CS15" s="1638"/>
      <c r="CT15" s="1638"/>
      <c r="CU15" s="1638"/>
      <c r="CV15" s="1638"/>
      <c r="CW15" s="1638"/>
      <c r="CX15" s="1638"/>
      <c r="CY15" s="1638"/>
      <c r="CZ15" s="1638"/>
      <c r="DA15" s="1638"/>
      <c r="DB15" s="1638"/>
      <c r="DC15" s="1638"/>
      <c r="DD15" s="1638"/>
      <c r="DE15" s="1638"/>
      <c r="DF15" s="1638"/>
      <c r="DG15" s="1638"/>
      <c r="DH15" s="1638"/>
      <c r="DI15" s="1638"/>
      <c r="DJ15" s="1638"/>
      <c r="DK15" s="1638"/>
      <c r="DL15" s="1638"/>
      <c r="DM15" s="1638"/>
      <c r="DN15" s="1638"/>
      <c r="DO15" s="1638"/>
      <c r="DP15" s="1638"/>
      <c r="DQ15" s="1638"/>
      <c r="DR15" s="1638"/>
      <c r="DS15" s="1638"/>
      <c r="DT15" s="1638"/>
      <c r="DU15" s="1638"/>
      <c r="DV15" s="1638"/>
      <c r="DW15" s="1638"/>
      <c r="DX15" s="1638"/>
      <c r="DY15" s="1638"/>
      <c r="DZ15" s="1638"/>
      <c r="EA15" s="1638"/>
      <c r="EB15" s="1638"/>
      <c r="EC15" s="1638"/>
      <c r="ED15" s="1638"/>
      <c r="EE15" s="1638"/>
      <c r="EF15" s="1638"/>
      <c r="EG15" s="1638"/>
      <c r="EH15" s="1638"/>
      <c r="EI15" s="1638"/>
      <c r="EJ15" s="1638"/>
      <c r="EK15" s="1638"/>
      <c r="EL15" s="1638"/>
      <c r="EM15" s="1638"/>
      <c r="EN15" s="1638"/>
      <c r="EO15" s="1638"/>
      <c r="EP15" s="1638"/>
      <c r="EQ15" s="1638"/>
      <c r="ER15" s="1638"/>
      <c r="ES15" s="1638"/>
      <c r="ET15" s="1638"/>
      <c r="EU15" s="1638"/>
      <c r="EV15" s="1638"/>
      <c r="EW15" s="1638"/>
      <c r="EX15" s="1638"/>
      <c r="EY15" s="1638"/>
      <c r="EZ15" s="1638"/>
      <c r="FA15" s="1638"/>
      <c r="FB15" s="1638"/>
      <c r="FC15" s="1638"/>
      <c r="FD15" s="1638"/>
      <c r="FE15" s="1638"/>
      <c r="FF15" s="1638"/>
      <c r="FG15" s="1638"/>
      <c r="FH15" s="1638"/>
      <c r="FI15" s="1638"/>
      <c r="FJ15" s="1638"/>
      <c r="FK15" s="1638"/>
      <c r="FL15" s="1638"/>
      <c r="FM15" s="1638"/>
      <c r="FN15" s="1638"/>
      <c r="FO15" s="1638"/>
      <c r="FP15" s="1638"/>
      <c r="FQ15" s="1638"/>
      <c r="FR15" s="1638"/>
      <c r="FS15" s="1638"/>
      <c r="FT15" s="1638"/>
      <c r="FU15" s="1638"/>
      <c r="FV15" s="1638"/>
      <c r="FW15" s="1638"/>
      <c r="FX15" s="1638"/>
      <c r="FY15" s="1638"/>
      <c r="FZ15" s="1638"/>
      <c r="GA15" s="1638"/>
      <c r="GB15" s="1638"/>
      <c r="GC15" s="1638"/>
      <c r="GD15" s="1638"/>
      <c r="GE15" s="1638"/>
      <c r="GF15" s="1638"/>
      <c r="GG15" s="1638"/>
      <c r="GH15" s="1638"/>
      <c r="GI15" s="1638"/>
      <c r="GJ15" s="1638"/>
      <c r="GK15" s="1638"/>
      <c r="GL15" s="1638"/>
      <c r="GM15" s="1638"/>
      <c r="GN15" s="1638"/>
      <c r="GO15" s="1638"/>
      <c r="GP15" s="1638"/>
      <c r="GQ15" s="1638"/>
      <c r="GR15" s="1638"/>
      <c r="GS15" s="1638"/>
      <c r="GT15" s="1638"/>
      <c r="GU15" s="1638"/>
      <c r="GV15" s="1638"/>
      <c r="GW15" s="1638"/>
      <c r="GX15" s="1638"/>
      <c r="GY15" s="1638"/>
      <c r="GZ15" s="1638"/>
      <c r="HA15" s="1638"/>
      <c r="HB15" s="1638"/>
      <c r="HC15" s="1638"/>
      <c r="HD15" s="1638"/>
      <c r="HE15" s="1638"/>
      <c r="HF15" s="1638"/>
      <c r="HG15" s="1638"/>
      <c r="HH15" s="1638"/>
      <c r="HI15" s="1638"/>
      <c r="HJ15" s="1638"/>
      <c r="HK15" s="1638"/>
      <c r="HL15" s="1638"/>
      <c r="HM15" s="1638"/>
      <c r="HN15" s="1638"/>
      <c r="HO15" s="1638"/>
      <c r="HP15" s="1638"/>
      <c r="HQ15" s="1638"/>
      <c r="HR15" s="1638"/>
      <c r="HS15" s="1638"/>
      <c r="HT15" s="1638"/>
      <c r="HU15" s="1638"/>
      <c r="HV15" s="1638"/>
      <c r="HW15" s="1638"/>
      <c r="HX15" s="1638"/>
      <c r="HY15" s="1638"/>
      <c r="HZ15" s="1638"/>
      <c r="IA15" s="1638"/>
      <c r="IB15" s="1638"/>
      <c r="IC15" s="1638"/>
      <c r="ID15" s="1638"/>
      <c r="IE15" s="1638"/>
      <c r="IF15" s="1638"/>
      <c r="IG15" s="1638"/>
      <c r="IH15" s="1638"/>
      <c r="II15" s="1638"/>
      <c r="IJ15" s="1638"/>
      <c r="IK15" s="1638"/>
      <c r="IL15" s="1638"/>
    </row>
    <row r="16" spans="1:246" s="2962" customFormat="1">
      <c r="A16" s="2978" t="s">
        <v>3244</v>
      </c>
      <c r="B16" s="2978" t="s">
        <v>3046</v>
      </c>
      <c r="C16" s="2978" t="s">
        <v>3174</v>
      </c>
      <c r="D16" s="2978" t="s">
        <v>3175</v>
      </c>
      <c r="E16" s="2978" t="s">
        <v>1327</v>
      </c>
      <c r="F16" s="2978" t="s">
        <v>3244</v>
      </c>
      <c r="G16" s="2978" t="s">
        <v>3177</v>
      </c>
      <c r="H16" s="2978" t="s">
        <v>3245</v>
      </c>
      <c r="I16" s="2978" t="s">
        <v>3174</v>
      </c>
      <c r="J16" s="2978">
        <v>61106.9</v>
      </c>
      <c r="K16" s="2978">
        <v>122213.8</v>
      </c>
      <c r="L16" s="2978" t="s">
        <v>3246</v>
      </c>
      <c r="M16" s="2978" t="s">
        <v>3208</v>
      </c>
      <c r="N16" s="2978" t="s">
        <v>3274</v>
      </c>
      <c r="O16" s="2978" t="s">
        <v>3275</v>
      </c>
      <c r="P16" s="2978" t="s">
        <v>3276</v>
      </c>
      <c r="Q16" s="2978" t="s">
        <v>3276</v>
      </c>
      <c r="R16" s="2978" t="s">
        <v>3245</v>
      </c>
      <c r="S16" s="2978" t="s">
        <v>3193</v>
      </c>
      <c r="T16" s="2978" t="s">
        <v>3277</v>
      </c>
      <c r="U16" s="2978">
        <v>2700</v>
      </c>
      <c r="V16" s="2978">
        <v>13199.09</v>
      </c>
      <c r="W16" s="2978">
        <v>13199.09</v>
      </c>
      <c r="X16" s="2978">
        <v>144</v>
      </c>
      <c r="Y16" s="2978">
        <v>144</v>
      </c>
      <c r="Z16" s="2978">
        <v>1080</v>
      </c>
      <c r="AA16" s="2978">
        <v>1080</v>
      </c>
      <c r="AB16" s="1638">
        <f t="shared" si="0"/>
        <v>2160</v>
      </c>
      <c r="AC16" s="2978" t="s">
        <v>1327</v>
      </c>
      <c r="AD16" s="2978">
        <v>0</v>
      </c>
      <c r="AE16" s="2978" t="s">
        <v>3220</v>
      </c>
      <c r="AF16" s="2978" t="s">
        <v>1327</v>
      </c>
      <c r="AG16" s="2978" t="s">
        <v>1327</v>
      </c>
      <c r="AH16" s="2978" t="s">
        <v>1327</v>
      </c>
      <c r="AI16" s="2978" t="s">
        <v>3196</v>
      </c>
      <c r="AJ16" s="2978"/>
      <c r="AK16" s="2978"/>
      <c r="AL16" s="2978"/>
      <c r="AM16" s="2978"/>
      <c r="AN16" s="2978"/>
      <c r="AO16" s="2978"/>
      <c r="AP16" s="2978"/>
      <c r="AQ16" s="2978"/>
      <c r="AR16" s="2978"/>
      <c r="AS16" s="2978"/>
      <c r="AT16" s="2978"/>
      <c r="AU16" s="2978"/>
      <c r="AV16" s="2978"/>
      <c r="AW16" s="2978"/>
      <c r="AX16" s="2978"/>
      <c r="AY16" s="2978"/>
      <c r="AZ16" s="2978"/>
      <c r="BA16" s="2978"/>
      <c r="BB16" s="2978"/>
      <c r="BC16" s="2978"/>
      <c r="BD16" s="2978"/>
      <c r="BE16" s="2978"/>
      <c r="BF16" s="2978"/>
      <c r="BG16" s="2978"/>
      <c r="BH16" s="2978"/>
      <c r="BI16" s="2978"/>
      <c r="BJ16" s="2978"/>
      <c r="BK16" s="2978"/>
      <c r="BL16" s="2978"/>
      <c r="BM16" s="2978"/>
      <c r="BN16" s="2978"/>
      <c r="BO16" s="2978"/>
      <c r="BP16" s="2978"/>
      <c r="BQ16" s="2978"/>
      <c r="BR16" s="2978"/>
      <c r="BS16" s="2978"/>
      <c r="BT16" s="2978"/>
      <c r="BU16" s="2978"/>
      <c r="BV16" s="2978"/>
      <c r="BW16" s="2978"/>
      <c r="BX16" s="2978"/>
      <c r="BY16" s="2978"/>
      <c r="BZ16" s="2978"/>
      <c r="CA16" s="2978"/>
      <c r="CB16" s="2978"/>
      <c r="CC16" s="2978"/>
      <c r="CD16" s="2978"/>
      <c r="CE16" s="2978"/>
      <c r="CF16" s="2978"/>
      <c r="CG16" s="2978"/>
      <c r="CH16" s="2978"/>
      <c r="CI16" s="2978"/>
      <c r="CJ16" s="2978"/>
      <c r="CK16" s="2978"/>
      <c r="CL16" s="2978"/>
      <c r="CM16" s="2978"/>
      <c r="CN16" s="2978"/>
      <c r="CO16" s="2978"/>
      <c r="CP16" s="2978"/>
      <c r="CQ16" s="2978"/>
      <c r="CR16" s="2978"/>
      <c r="CS16" s="2978"/>
      <c r="CT16" s="2978"/>
      <c r="CU16" s="2978"/>
      <c r="CV16" s="2978"/>
      <c r="CW16" s="2978"/>
      <c r="CX16" s="2978"/>
      <c r="CY16" s="2978"/>
      <c r="CZ16" s="2978"/>
      <c r="DA16" s="2978"/>
      <c r="DB16" s="2978"/>
      <c r="DC16" s="2978"/>
      <c r="DD16" s="2978"/>
      <c r="DE16" s="2978"/>
      <c r="DF16" s="2978"/>
      <c r="DG16" s="2978"/>
      <c r="DH16" s="2978"/>
      <c r="DI16" s="2978"/>
      <c r="DJ16" s="2978"/>
      <c r="DK16" s="2978"/>
      <c r="DL16" s="2978"/>
      <c r="DM16" s="2978"/>
      <c r="DN16" s="2978"/>
      <c r="DO16" s="2978"/>
      <c r="DP16" s="2978"/>
      <c r="DQ16" s="2978"/>
      <c r="DR16" s="2978"/>
      <c r="DS16" s="2978"/>
      <c r="DT16" s="2978"/>
      <c r="DU16" s="2978"/>
      <c r="DV16" s="2978"/>
      <c r="DW16" s="2978"/>
      <c r="DX16" s="2978"/>
      <c r="DY16" s="2978"/>
      <c r="DZ16" s="2978"/>
      <c r="EA16" s="2978"/>
      <c r="EB16" s="2978"/>
      <c r="EC16" s="2978"/>
      <c r="ED16" s="2978"/>
      <c r="EE16" s="2978"/>
      <c r="EF16" s="2978"/>
      <c r="EG16" s="2978"/>
      <c r="EH16" s="2978"/>
      <c r="EI16" s="2978"/>
      <c r="EJ16" s="2978"/>
      <c r="EK16" s="2978"/>
      <c r="EL16" s="2978"/>
      <c r="EM16" s="2978"/>
      <c r="EN16" s="2978"/>
      <c r="EO16" s="2978"/>
      <c r="EP16" s="2978"/>
      <c r="EQ16" s="2978"/>
      <c r="ER16" s="2978"/>
      <c r="ES16" s="2978"/>
      <c r="ET16" s="2978"/>
      <c r="EU16" s="2978"/>
      <c r="EV16" s="2978"/>
      <c r="EW16" s="2978"/>
      <c r="EX16" s="2978"/>
      <c r="EY16" s="2978"/>
      <c r="EZ16" s="2978"/>
      <c r="FA16" s="2978"/>
      <c r="FB16" s="2978"/>
      <c r="FC16" s="2978"/>
      <c r="FD16" s="2978"/>
      <c r="FE16" s="2978"/>
      <c r="FF16" s="2978"/>
      <c r="FG16" s="2978"/>
      <c r="FH16" s="2978"/>
      <c r="FI16" s="2978"/>
      <c r="FJ16" s="2978"/>
      <c r="FK16" s="2978"/>
      <c r="FL16" s="2978"/>
      <c r="FM16" s="2978"/>
      <c r="FN16" s="2978"/>
      <c r="FO16" s="2978"/>
      <c r="FP16" s="2978"/>
      <c r="FQ16" s="2978"/>
      <c r="FR16" s="2978"/>
      <c r="FS16" s="2978"/>
      <c r="FT16" s="2978"/>
      <c r="FU16" s="2978"/>
      <c r="FV16" s="2978"/>
      <c r="FW16" s="2978"/>
      <c r="FX16" s="2978"/>
      <c r="FY16" s="2978"/>
      <c r="FZ16" s="2978"/>
      <c r="GA16" s="2978"/>
      <c r="GB16" s="2978"/>
      <c r="GC16" s="2978"/>
      <c r="GD16" s="2978"/>
      <c r="GE16" s="2978"/>
      <c r="GF16" s="2978"/>
      <c r="GG16" s="2978"/>
      <c r="GH16" s="2978"/>
      <c r="GI16" s="2978"/>
      <c r="GJ16" s="2978"/>
      <c r="GK16" s="2978"/>
      <c r="GL16" s="2978"/>
      <c r="GM16" s="2978"/>
      <c r="GN16" s="2978"/>
      <c r="GO16" s="2978"/>
      <c r="GP16" s="2978"/>
      <c r="GQ16" s="2978"/>
      <c r="GR16" s="2978"/>
      <c r="GS16" s="2978"/>
      <c r="GT16" s="2978"/>
      <c r="GU16" s="2978"/>
      <c r="GV16" s="2978"/>
      <c r="GW16" s="2978"/>
      <c r="GX16" s="2978"/>
      <c r="GY16" s="2978"/>
      <c r="GZ16" s="2978"/>
      <c r="HA16" s="2978"/>
      <c r="HB16" s="2978"/>
      <c r="HC16" s="2978"/>
      <c r="HD16" s="2978"/>
      <c r="HE16" s="2978"/>
      <c r="HF16" s="2978"/>
      <c r="HG16" s="2978"/>
      <c r="HH16" s="2978"/>
      <c r="HI16" s="2978"/>
      <c r="HJ16" s="2978"/>
      <c r="HK16" s="2978"/>
      <c r="HL16" s="2978"/>
      <c r="HM16" s="2978"/>
      <c r="HN16" s="2978"/>
      <c r="HO16" s="2978"/>
      <c r="HP16" s="2978"/>
      <c r="HQ16" s="2978"/>
      <c r="HR16" s="2978"/>
      <c r="HS16" s="2978"/>
      <c r="HT16" s="2978"/>
      <c r="HU16" s="2978"/>
      <c r="HV16" s="2978"/>
      <c r="HW16" s="2978"/>
      <c r="HX16" s="2978"/>
      <c r="HY16" s="2978"/>
      <c r="HZ16" s="2978"/>
      <c r="IA16" s="2978"/>
      <c r="IB16" s="2978"/>
      <c r="IC16" s="2978"/>
      <c r="ID16" s="2978"/>
      <c r="IE16" s="2978"/>
      <c r="IF16" s="2978"/>
      <c r="IG16" s="2978"/>
      <c r="IH16" s="2978"/>
      <c r="II16" s="2978"/>
      <c r="IJ16" s="2978"/>
      <c r="IK16" s="2978"/>
      <c r="IL16" s="2978"/>
    </row>
    <row r="17" spans="1:246" s="2980" customFormat="1">
      <c r="A17" s="2988" t="s">
        <v>3335</v>
      </c>
      <c r="B17" s="2979" t="s">
        <v>3046</v>
      </c>
      <c r="C17" s="2979" t="s">
        <v>3174</v>
      </c>
      <c r="D17" s="2979" t="s">
        <v>3175</v>
      </c>
      <c r="E17" s="2979" t="s">
        <v>1327</v>
      </c>
      <c r="F17" s="2979" t="s">
        <v>3247</v>
      </c>
      <c r="G17" s="2979" t="s">
        <v>3177</v>
      </c>
      <c r="H17" s="2979" t="s">
        <v>3248</v>
      </c>
      <c r="I17" s="2979" t="s">
        <v>3174</v>
      </c>
      <c r="J17" s="2979">
        <v>2718.4</v>
      </c>
      <c r="K17" s="2979">
        <v>4077.6</v>
      </c>
      <c r="L17" s="2979" t="s">
        <v>3239</v>
      </c>
      <c r="M17" s="2979" t="s">
        <v>3208</v>
      </c>
      <c r="N17" s="2979" t="s">
        <v>3278</v>
      </c>
      <c r="O17" s="2979" t="s">
        <v>3279</v>
      </c>
      <c r="P17" s="2979" t="s">
        <v>3280</v>
      </c>
      <c r="Q17" s="2979" t="s">
        <v>3280</v>
      </c>
      <c r="R17" s="2979" t="s">
        <v>3248</v>
      </c>
      <c r="S17" s="2979" t="s">
        <v>3193</v>
      </c>
      <c r="T17" s="2979" t="s">
        <v>3281</v>
      </c>
      <c r="U17" s="2979">
        <v>150</v>
      </c>
      <c r="V17" s="2979">
        <v>611.63</v>
      </c>
      <c r="W17" s="2979">
        <v>611.63</v>
      </c>
      <c r="X17" s="2979">
        <v>150</v>
      </c>
      <c r="Y17" s="2979">
        <v>150</v>
      </c>
      <c r="Z17" s="2979">
        <v>1500</v>
      </c>
      <c r="AA17" s="2979">
        <v>1500</v>
      </c>
      <c r="AB17" s="2979">
        <f t="shared" si="0"/>
        <v>2250</v>
      </c>
      <c r="AC17" s="2979" t="s">
        <v>1327</v>
      </c>
      <c r="AD17" s="2979">
        <v>0</v>
      </c>
      <c r="AE17" s="2979" t="s">
        <v>3220</v>
      </c>
      <c r="AF17" s="2979" t="s">
        <v>1327</v>
      </c>
      <c r="AG17" s="2979" t="s">
        <v>1327</v>
      </c>
      <c r="AH17" s="2979" t="s">
        <v>1327</v>
      </c>
      <c r="AI17" s="2979" t="s">
        <v>3196</v>
      </c>
      <c r="AJ17" s="2979"/>
      <c r="AK17" s="2979"/>
      <c r="AL17" s="2979"/>
      <c r="AM17" s="2979"/>
      <c r="AN17" s="2979"/>
      <c r="AO17" s="2979"/>
      <c r="AP17" s="2979"/>
      <c r="AQ17" s="2979"/>
      <c r="AR17" s="2979"/>
      <c r="AS17" s="2979"/>
      <c r="AT17" s="2979"/>
      <c r="AU17" s="2979"/>
      <c r="AV17" s="2979"/>
      <c r="AW17" s="2979"/>
      <c r="AX17" s="2979"/>
      <c r="AY17" s="2979"/>
      <c r="AZ17" s="2979"/>
      <c r="BA17" s="2979"/>
      <c r="BB17" s="2979"/>
      <c r="BC17" s="2979"/>
      <c r="BD17" s="2979"/>
      <c r="BE17" s="2979"/>
      <c r="BF17" s="2979"/>
      <c r="BG17" s="2979"/>
      <c r="BH17" s="2979"/>
      <c r="BI17" s="2979"/>
      <c r="BJ17" s="2979"/>
      <c r="BK17" s="2979"/>
      <c r="BL17" s="2979"/>
      <c r="BM17" s="2979"/>
      <c r="BN17" s="2979"/>
      <c r="BO17" s="2979"/>
      <c r="BP17" s="2979"/>
      <c r="BQ17" s="2979"/>
      <c r="BR17" s="2979"/>
      <c r="BS17" s="2979"/>
      <c r="BT17" s="2979"/>
      <c r="BU17" s="2979"/>
      <c r="BV17" s="2979"/>
      <c r="BW17" s="2979"/>
      <c r="BX17" s="2979"/>
      <c r="BY17" s="2979"/>
      <c r="BZ17" s="2979"/>
      <c r="CA17" s="2979"/>
      <c r="CB17" s="2979"/>
      <c r="CC17" s="2979"/>
      <c r="CD17" s="2979"/>
      <c r="CE17" s="2979"/>
      <c r="CF17" s="2979"/>
      <c r="CG17" s="2979"/>
      <c r="CH17" s="2979"/>
      <c r="CI17" s="2979"/>
      <c r="CJ17" s="2979"/>
      <c r="CK17" s="2979"/>
      <c r="CL17" s="2979"/>
      <c r="CM17" s="2979"/>
      <c r="CN17" s="2979"/>
      <c r="CO17" s="2979"/>
      <c r="CP17" s="2979"/>
      <c r="CQ17" s="2979"/>
      <c r="CR17" s="2979"/>
      <c r="CS17" s="2979"/>
      <c r="CT17" s="2979"/>
      <c r="CU17" s="2979"/>
      <c r="CV17" s="2979"/>
      <c r="CW17" s="2979"/>
      <c r="CX17" s="2979"/>
      <c r="CY17" s="2979"/>
      <c r="CZ17" s="2979"/>
      <c r="DA17" s="2979"/>
      <c r="DB17" s="2979"/>
      <c r="DC17" s="2979"/>
      <c r="DD17" s="2979"/>
      <c r="DE17" s="2979"/>
      <c r="DF17" s="2979"/>
      <c r="DG17" s="2979"/>
      <c r="DH17" s="2979"/>
      <c r="DI17" s="2979"/>
      <c r="DJ17" s="2979"/>
      <c r="DK17" s="2979"/>
      <c r="DL17" s="2979"/>
      <c r="DM17" s="2979"/>
      <c r="DN17" s="2979"/>
      <c r="DO17" s="2979"/>
      <c r="DP17" s="2979"/>
      <c r="DQ17" s="2979"/>
      <c r="DR17" s="2979"/>
      <c r="DS17" s="2979"/>
      <c r="DT17" s="2979"/>
      <c r="DU17" s="2979"/>
      <c r="DV17" s="2979"/>
      <c r="DW17" s="2979"/>
      <c r="DX17" s="2979"/>
      <c r="DY17" s="2979"/>
      <c r="DZ17" s="2979"/>
      <c r="EA17" s="2979"/>
      <c r="EB17" s="2979"/>
      <c r="EC17" s="2979"/>
      <c r="ED17" s="2979"/>
      <c r="EE17" s="2979"/>
      <c r="EF17" s="2979"/>
      <c r="EG17" s="2979"/>
      <c r="EH17" s="2979"/>
      <c r="EI17" s="2979"/>
      <c r="EJ17" s="2979"/>
      <c r="EK17" s="2979"/>
      <c r="EL17" s="2979"/>
      <c r="EM17" s="2979"/>
      <c r="EN17" s="2979"/>
      <c r="EO17" s="2979"/>
      <c r="EP17" s="2979"/>
      <c r="EQ17" s="2979"/>
      <c r="ER17" s="2979"/>
      <c r="ES17" s="2979"/>
      <c r="ET17" s="2979"/>
      <c r="EU17" s="2979"/>
      <c r="EV17" s="2979"/>
      <c r="EW17" s="2979"/>
      <c r="EX17" s="2979"/>
      <c r="EY17" s="2979"/>
      <c r="EZ17" s="2979"/>
      <c r="FA17" s="2979"/>
      <c r="FB17" s="2979"/>
      <c r="FC17" s="2979"/>
      <c r="FD17" s="2979"/>
      <c r="FE17" s="2979"/>
      <c r="FF17" s="2979"/>
      <c r="FG17" s="2979"/>
      <c r="FH17" s="2979"/>
      <c r="FI17" s="2979"/>
      <c r="FJ17" s="2979"/>
      <c r="FK17" s="2979"/>
      <c r="FL17" s="2979"/>
      <c r="FM17" s="2979"/>
      <c r="FN17" s="2979"/>
      <c r="FO17" s="2979"/>
      <c r="FP17" s="2979"/>
      <c r="FQ17" s="2979"/>
      <c r="FR17" s="2979"/>
      <c r="FS17" s="2979"/>
      <c r="FT17" s="2979"/>
      <c r="FU17" s="2979"/>
      <c r="FV17" s="2979"/>
      <c r="FW17" s="2979"/>
      <c r="FX17" s="2979"/>
      <c r="FY17" s="2979"/>
      <c r="FZ17" s="2979"/>
      <c r="GA17" s="2979"/>
      <c r="GB17" s="2979"/>
      <c r="GC17" s="2979"/>
      <c r="GD17" s="2979"/>
      <c r="GE17" s="2979"/>
      <c r="GF17" s="2979"/>
      <c r="GG17" s="2979"/>
      <c r="GH17" s="2979"/>
      <c r="GI17" s="2979"/>
      <c r="GJ17" s="2979"/>
      <c r="GK17" s="2979"/>
      <c r="GL17" s="2979"/>
      <c r="GM17" s="2979"/>
      <c r="GN17" s="2979"/>
      <c r="GO17" s="2979"/>
      <c r="GP17" s="2979"/>
      <c r="GQ17" s="2979"/>
      <c r="GR17" s="2979"/>
      <c r="GS17" s="2979"/>
      <c r="GT17" s="2979"/>
      <c r="GU17" s="2979"/>
      <c r="GV17" s="2979"/>
      <c r="GW17" s="2979"/>
      <c r="GX17" s="2979"/>
      <c r="GY17" s="2979"/>
      <c r="GZ17" s="2979"/>
      <c r="HA17" s="2979"/>
      <c r="HB17" s="2979"/>
      <c r="HC17" s="2979"/>
      <c r="HD17" s="2979"/>
      <c r="HE17" s="2979"/>
      <c r="HF17" s="2979"/>
      <c r="HG17" s="2979"/>
      <c r="HH17" s="2979"/>
      <c r="HI17" s="2979"/>
      <c r="HJ17" s="2979"/>
      <c r="HK17" s="2979"/>
      <c r="HL17" s="2979"/>
      <c r="HM17" s="2979"/>
      <c r="HN17" s="2979"/>
      <c r="HO17" s="2979"/>
      <c r="HP17" s="2979"/>
      <c r="HQ17" s="2979"/>
      <c r="HR17" s="2979"/>
      <c r="HS17" s="2979"/>
      <c r="HT17" s="2979"/>
      <c r="HU17" s="2979"/>
      <c r="HV17" s="2979"/>
      <c r="HW17" s="2979"/>
      <c r="HX17" s="2979"/>
      <c r="HY17" s="2979"/>
      <c r="HZ17" s="2979"/>
      <c r="IA17" s="2979"/>
      <c r="IB17" s="2979"/>
      <c r="IC17" s="2979"/>
      <c r="ID17" s="2979"/>
      <c r="IE17" s="2979"/>
      <c r="IF17" s="2979"/>
      <c r="IG17" s="2979"/>
      <c r="IH17" s="2979"/>
      <c r="II17" s="2979"/>
      <c r="IJ17" s="2979"/>
      <c r="IK17" s="2979"/>
      <c r="IL17" s="2979"/>
    </row>
    <row r="18" spans="1:246" s="2980" customFormat="1">
      <c r="A18" s="2988" t="s">
        <v>3336</v>
      </c>
      <c r="B18" s="2979" t="s">
        <v>3046</v>
      </c>
      <c r="C18" s="2979" t="s">
        <v>3174</v>
      </c>
      <c r="D18" s="2979" t="s">
        <v>3175</v>
      </c>
      <c r="E18" s="2979" t="s">
        <v>1327</v>
      </c>
      <c r="F18" s="2988" t="s">
        <v>3336</v>
      </c>
      <c r="G18" s="2979" t="s">
        <v>3177</v>
      </c>
      <c r="H18" s="2979" t="s">
        <v>3249</v>
      </c>
      <c r="I18" s="2979" t="s">
        <v>3174</v>
      </c>
      <c r="J18" s="2979">
        <v>11807.8</v>
      </c>
      <c r="K18" s="2979">
        <v>17711.7</v>
      </c>
      <c r="L18" s="2979" t="s">
        <v>3236</v>
      </c>
      <c r="M18" s="2979" t="s">
        <v>3208</v>
      </c>
      <c r="N18" s="2979" t="s">
        <v>3278</v>
      </c>
      <c r="O18" s="2979" t="s">
        <v>3279</v>
      </c>
      <c r="P18" s="2979" t="s">
        <v>3282</v>
      </c>
      <c r="Q18" s="2979" t="s">
        <v>3282</v>
      </c>
      <c r="R18" s="2979" t="s">
        <v>3249</v>
      </c>
      <c r="S18" s="2979" t="s">
        <v>3193</v>
      </c>
      <c r="T18" s="2979" t="s">
        <v>3283</v>
      </c>
      <c r="U18" s="2979">
        <v>540</v>
      </c>
      <c r="V18" s="2979">
        <v>2656.76</v>
      </c>
      <c r="W18" s="2979">
        <v>2656.76</v>
      </c>
      <c r="X18" s="2979">
        <v>150</v>
      </c>
      <c r="Y18" s="2979">
        <v>150</v>
      </c>
      <c r="Z18" s="2979">
        <v>1500</v>
      </c>
      <c r="AA18" s="2979">
        <v>1500</v>
      </c>
      <c r="AB18" s="2979">
        <f t="shared" si="0"/>
        <v>2250</v>
      </c>
      <c r="AC18" s="2979" t="s">
        <v>1327</v>
      </c>
      <c r="AD18" s="2979">
        <v>0</v>
      </c>
      <c r="AE18" s="2979" t="s">
        <v>3220</v>
      </c>
      <c r="AF18" s="2979" t="s">
        <v>1327</v>
      </c>
      <c r="AG18" s="2979" t="s">
        <v>1327</v>
      </c>
      <c r="AH18" s="2979" t="s">
        <v>1327</v>
      </c>
      <c r="AI18" s="2979" t="s">
        <v>3196</v>
      </c>
      <c r="AJ18" s="2979"/>
      <c r="AK18" s="2979"/>
      <c r="AL18" s="2979"/>
      <c r="AM18" s="2979"/>
      <c r="AN18" s="2979"/>
      <c r="AO18" s="2979"/>
      <c r="AP18" s="2979"/>
      <c r="AQ18" s="2979"/>
      <c r="AR18" s="2979"/>
      <c r="AS18" s="2979"/>
      <c r="AT18" s="2979"/>
      <c r="AU18" s="2979"/>
      <c r="AV18" s="2979"/>
      <c r="AW18" s="2979"/>
      <c r="AX18" s="2979"/>
      <c r="AY18" s="2979"/>
      <c r="AZ18" s="2979"/>
      <c r="BA18" s="2979"/>
      <c r="BB18" s="2979"/>
      <c r="BC18" s="2979"/>
      <c r="BD18" s="2979"/>
      <c r="BE18" s="2979"/>
      <c r="BF18" s="2979"/>
      <c r="BG18" s="2979"/>
      <c r="BH18" s="2979"/>
      <c r="BI18" s="2979"/>
      <c r="BJ18" s="2979"/>
      <c r="BK18" s="2979"/>
      <c r="BL18" s="2979"/>
      <c r="BM18" s="2979"/>
      <c r="BN18" s="2979"/>
      <c r="BO18" s="2979"/>
      <c r="BP18" s="2979"/>
      <c r="BQ18" s="2979"/>
      <c r="BR18" s="2979"/>
      <c r="BS18" s="2979"/>
      <c r="BT18" s="2979"/>
      <c r="BU18" s="2979"/>
      <c r="BV18" s="2979"/>
      <c r="BW18" s="2979"/>
      <c r="BX18" s="2979"/>
      <c r="BY18" s="2979"/>
      <c r="BZ18" s="2979"/>
      <c r="CA18" s="2979"/>
      <c r="CB18" s="2979"/>
      <c r="CC18" s="2979"/>
      <c r="CD18" s="2979"/>
      <c r="CE18" s="2979"/>
      <c r="CF18" s="2979"/>
      <c r="CG18" s="2979"/>
      <c r="CH18" s="2979"/>
      <c r="CI18" s="2979"/>
      <c r="CJ18" s="2979"/>
      <c r="CK18" s="2979"/>
      <c r="CL18" s="2979"/>
      <c r="CM18" s="2979"/>
      <c r="CN18" s="2979"/>
      <c r="CO18" s="2979"/>
      <c r="CP18" s="2979"/>
      <c r="CQ18" s="2979"/>
      <c r="CR18" s="2979"/>
      <c r="CS18" s="2979"/>
      <c r="CT18" s="2979"/>
      <c r="CU18" s="2979"/>
      <c r="CV18" s="2979"/>
      <c r="CW18" s="2979"/>
      <c r="CX18" s="2979"/>
      <c r="CY18" s="2979"/>
      <c r="CZ18" s="2979"/>
      <c r="DA18" s="2979"/>
      <c r="DB18" s="2979"/>
      <c r="DC18" s="2979"/>
      <c r="DD18" s="2979"/>
      <c r="DE18" s="2979"/>
      <c r="DF18" s="2979"/>
      <c r="DG18" s="2979"/>
      <c r="DH18" s="2979"/>
      <c r="DI18" s="2979"/>
      <c r="DJ18" s="2979"/>
      <c r="DK18" s="2979"/>
      <c r="DL18" s="2979"/>
      <c r="DM18" s="2979"/>
      <c r="DN18" s="2979"/>
      <c r="DO18" s="2979"/>
      <c r="DP18" s="2979"/>
      <c r="DQ18" s="2979"/>
      <c r="DR18" s="2979"/>
      <c r="DS18" s="2979"/>
      <c r="DT18" s="2979"/>
      <c r="DU18" s="2979"/>
      <c r="DV18" s="2979"/>
      <c r="DW18" s="2979"/>
      <c r="DX18" s="2979"/>
      <c r="DY18" s="2979"/>
      <c r="DZ18" s="2979"/>
      <c r="EA18" s="2979"/>
      <c r="EB18" s="2979"/>
      <c r="EC18" s="2979"/>
      <c r="ED18" s="2979"/>
      <c r="EE18" s="2979"/>
      <c r="EF18" s="2979"/>
      <c r="EG18" s="2979"/>
      <c r="EH18" s="2979"/>
      <c r="EI18" s="2979"/>
      <c r="EJ18" s="2979"/>
      <c r="EK18" s="2979"/>
      <c r="EL18" s="2979"/>
      <c r="EM18" s="2979"/>
      <c r="EN18" s="2979"/>
      <c r="EO18" s="2979"/>
      <c r="EP18" s="2979"/>
      <c r="EQ18" s="2979"/>
      <c r="ER18" s="2979"/>
      <c r="ES18" s="2979"/>
      <c r="ET18" s="2979"/>
      <c r="EU18" s="2979"/>
      <c r="EV18" s="2979"/>
      <c r="EW18" s="2979"/>
      <c r="EX18" s="2979"/>
      <c r="EY18" s="2979"/>
      <c r="EZ18" s="2979"/>
      <c r="FA18" s="2979"/>
      <c r="FB18" s="2979"/>
      <c r="FC18" s="2979"/>
      <c r="FD18" s="2979"/>
      <c r="FE18" s="2979"/>
      <c r="FF18" s="2979"/>
      <c r="FG18" s="2979"/>
      <c r="FH18" s="2979"/>
      <c r="FI18" s="2979"/>
      <c r="FJ18" s="2979"/>
      <c r="FK18" s="2979"/>
      <c r="FL18" s="2979"/>
      <c r="FM18" s="2979"/>
      <c r="FN18" s="2979"/>
      <c r="FO18" s="2979"/>
      <c r="FP18" s="2979"/>
      <c r="FQ18" s="2979"/>
      <c r="FR18" s="2979"/>
      <c r="FS18" s="2979"/>
      <c r="FT18" s="2979"/>
      <c r="FU18" s="2979"/>
      <c r="FV18" s="2979"/>
      <c r="FW18" s="2979"/>
      <c r="FX18" s="2979"/>
      <c r="FY18" s="2979"/>
      <c r="FZ18" s="2979"/>
      <c r="GA18" s="2979"/>
      <c r="GB18" s="2979"/>
      <c r="GC18" s="2979"/>
      <c r="GD18" s="2979"/>
      <c r="GE18" s="2979"/>
      <c r="GF18" s="2979"/>
      <c r="GG18" s="2979"/>
      <c r="GH18" s="2979"/>
      <c r="GI18" s="2979"/>
      <c r="GJ18" s="2979"/>
      <c r="GK18" s="2979"/>
      <c r="GL18" s="2979"/>
      <c r="GM18" s="2979"/>
      <c r="GN18" s="2979"/>
      <c r="GO18" s="2979"/>
      <c r="GP18" s="2979"/>
      <c r="GQ18" s="2979"/>
      <c r="GR18" s="2979"/>
      <c r="GS18" s="2979"/>
      <c r="GT18" s="2979"/>
      <c r="GU18" s="2979"/>
      <c r="GV18" s="2979"/>
      <c r="GW18" s="2979"/>
      <c r="GX18" s="2979"/>
      <c r="GY18" s="2979"/>
      <c r="GZ18" s="2979"/>
      <c r="HA18" s="2979"/>
      <c r="HB18" s="2979"/>
      <c r="HC18" s="2979"/>
      <c r="HD18" s="2979"/>
      <c r="HE18" s="2979"/>
      <c r="HF18" s="2979"/>
      <c r="HG18" s="2979"/>
      <c r="HH18" s="2979"/>
      <c r="HI18" s="2979"/>
      <c r="HJ18" s="2979"/>
      <c r="HK18" s="2979"/>
      <c r="HL18" s="2979"/>
      <c r="HM18" s="2979"/>
      <c r="HN18" s="2979"/>
      <c r="HO18" s="2979"/>
      <c r="HP18" s="2979"/>
      <c r="HQ18" s="2979"/>
      <c r="HR18" s="2979"/>
      <c r="HS18" s="2979"/>
      <c r="HT18" s="2979"/>
      <c r="HU18" s="2979"/>
      <c r="HV18" s="2979"/>
      <c r="HW18" s="2979"/>
      <c r="HX18" s="2979"/>
      <c r="HY18" s="2979"/>
      <c r="HZ18" s="2979"/>
      <c r="IA18" s="2979"/>
      <c r="IB18" s="2979"/>
      <c r="IC18" s="2979"/>
      <c r="ID18" s="2979"/>
      <c r="IE18" s="2979"/>
      <c r="IF18" s="2979"/>
      <c r="IG18" s="2979"/>
      <c r="IH18" s="2979"/>
      <c r="II18" s="2979"/>
      <c r="IJ18" s="2979"/>
      <c r="IK18" s="2979"/>
      <c r="IL18" s="2979"/>
    </row>
    <row r="19" spans="1:246">
      <c r="A19" s="1638" t="s">
        <v>3250</v>
      </c>
      <c r="B19" s="1638" t="s">
        <v>3046</v>
      </c>
      <c r="C19" s="1638" t="s">
        <v>3174</v>
      </c>
      <c r="D19" s="1638" t="s">
        <v>3175</v>
      </c>
      <c r="E19" s="1638" t="s">
        <v>1327</v>
      </c>
      <c r="F19" s="1638" t="s">
        <v>3250</v>
      </c>
      <c r="G19" s="1638" t="s">
        <v>3177</v>
      </c>
      <c r="H19" s="1638" t="s">
        <v>3251</v>
      </c>
      <c r="I19" s="1638" t="s">
        <v>3174</v>
      </c>
      <c r="J19" s="1638">
        <v>40514.6</v>
      </c>
      <c r="K19" s="1638">
        <v>81029.2</v>
      </c>
      <c r="L19" s="1638" t="s">
        <v>3246</v>
      </c>
      <c r="M19" s="1638" t="s">
        <v>3208</v>
      </c>
      <c r="N19" s="1638" t="s">
        <v>3278</v>
      </c>
      <c r="O19" s="1638" t="s">
        <v>3279</v>
      </c>
      <c r="P19" s="1638" t="s">
        <v>3282</v>
      </c>
      <c r="Q19" s="1638" t="s">
        <v>3282</v>
      </c>
      <c r="R19" s="1638" t="s">
        <v>3251</v>
      </c>
      <c r="S19" s="1638" t="s">
        <v>3193</v>
      </c>
      <c r="T19" s="1638" t="s">
        <v>3284</v>
      </c>
      <c r="U19" s="1638">
        <v>1500</v>
      </c>
      <c r="V19" s="1638">
        <v>7049.53</v>
      </c>
      <c r="W19" s="1638">
        <v>7049.53</v>
      </c>
      <c r="X19" s="1638">
        <v>116</v>
      </c>
      <c r="Y19" s="1638">
        <v>116</v>
      </c>
      <c r="Z19" s="1638">
        <v>869.99</v>
      </c>
      <c r="AA19" s="1638">
        <v>870</v>
      </c>
      <c r="AB19" s="1638">
        <f t="shared" si="0"/>
        <v>1740</v>
      </c>
      <c r="AC19" s="1638" t="s">
        <v>1327</v>
      </c>
      <c r="AD19" s="1638">
        <v>0</v>
      </c>
      <c r="AE19" s="1638" t="s">
        <v>3220</v>
      </c>
      <c r="AF19" s="1638" t="s">
        <v>1327</v>
      </c>
      <c r="AG19" s="1638" t="s">
        <v>1327</v>
      </c>
      <c r="AH19" s="1638" t="s">
        <v>1327</v>
      </c>
      <c r="AI19" s="1638" t="s">
        <v>3196</v>
      </c>
      <c r="AJ19" s="1638"/>
      <c r="AK19" s="1638"/>
      <c r="AL19" s="1638"/>
      <c r="AM19" s="1638"/>
      <c r="AN19" s="1638"/>
      <c r="AO19" s="1638"/>
      <c r="AP19" s="1638"/>
      <c r="AQ19" s="1638"/>
      <c r="AR19" s="1638"/>
      <c r="AS19" s="1638"/>
      <c r="AT19" s="1638"/>
      <c r="AU19" s="1638"/>
      <c r="AV19" s="1638"/>
      <c r="AW19" s="1638"/>
      <c r="AX19" s="1638"/>
      <c r="AY19" s="1638"/>
      <c r="AZ19" s="1638"/>
      <c r="BA19" s="1638"/>
      <c r="BB19" s="1638"/>
      <c r="BC19" s="1638"/>
      <c r="BD19" s="1638"/>
      <c r="BE19" s="1638"/>
      <c r="BF19" s="1638"/>
      <c r="BG19" s="1638"/>
      <c r="BH19" s="1638"/>
      <c r="BI19" s="1638"/>
      <c r="BJ19" s="1638"/>
      <c r="BK19" s="1638"/>
      <c r="BL19" s="1638"/>
      <c r="BM19" s="1638"/>
      <c r="BN19" s="1638"/>
      <c r="BO19" s="1638"/>
      <c r="BP19" s="1638"/>
      <c r="BQ19" s="1638"/>
      <c r="BR19" s="1638"/>
      <c r="BS19" s="1638"/>
      <c r="BT19" s="1638"/>
      <c r="BU19" s="1638"/>
      <c r="BV19" s="1638"/>
      <c r="BW19" s="1638"/>
      <c r="BX19" s="1638"/>
      <c r="BY19" s="1638"/>
      <c r="BZ19" s="1638"/>
      <c r="CA19" s="1638"/>
      <c r="CB19" s="1638"/>
      <c r="CC19" s="1638"/>
      <c r="CD19" s="1638"/>
      <c r="CE19" s="1638"/>
      <c r="CF19" s="1638"/>
      <c r="CG19" s="1638"/>
      <c r="CH19" s="1638"/>
      <c r="CI19" s="1638"/>
      <c r="CJ19" s="1638"/>
      <c r="CK19" s="1638"/>
      <c r="CL19" s="1638"/>
      <c r="CM19" s="1638"/>
      <c r="CN19" s="1638"/>
      <c r="CO19" s="1638"/>
      <c r="CP19" s="1638"/>
      <c r="CQ19" s="1638"/>
      <c r="CR19" s="1638"/>
      <c r="CS19" s="1638"/>
      <c r="CT19" s="1638"/>
      <c r="CU19" s="1638"/>
      <c r="CV19" s="1638"/>
      <c r="CW19" s="1638"/>
      <c r="CX19" s="1638"/>
      <c r="CY19" s="1638"/>
      <c r="CZ19" s="1638"/>
      <c r="DA19" s="1638"/>
      <c r="DB19" s="1638"/>
      <c r="DC19" s="1638"/>
      <c r="DD19" s="1638"/>
      <c r="DE19" s="1638"/>
      <c r="DF19" s="1638"/>
      <c r="DG19" s="1638"/>
      <c r="DH19" s="1638"/>
      <c r="DI19" s="1638"/>
      <c r="DJ19" s="1638"/>
      <c r="DK19" s="1638"/>
      <c r="DL19" s="1638"/>
      <c r="DM19" s="1638"/>
      <c r="DN19" s="1638"/>
      <c r="DO19" s="1638"/>
      <c r="DP19" s="1638"/>
      <c r="DQ19" s="1638"/>
      <c r="DR19" s="1638"/>
      <c r="DS19" s="1638"/>
      <c r="DT19" s="1638"/>
      <c r="DU19" s="1638"/>
      <c r="DV19" s="1638"/>
      <c r="DW19" s="1638"/>
      <c r="DX19" s="1638"/>
      <c r="DY19" s="1638"/>
      <c r="DZ19" s="1638"/>
      <c r="EA19" s="1638"/>
      <c r="EB19" s="1638"/>
      <c r="EC19" s="1638"/>
      <c r="ED19" s="1638"/>
      <c r="EE19" s="1638"/>
      <c r="EF19" s="1638"/>
      <c r="EG19" s="1638"/>
      <c r="EH19" s="1638"/>
      <c r="EI19" s="1638"/>
      <c r="EJ19" s="1638"/>
      <c r="EK19" s="1638"/>
      <c r="EL19" s="1638"/>
      <c r="EM19" s="1638"/>
      <c r="EN19" s="1638"/>
      <c r="EO19" s="1638"/>
      <c r="EP19" s="1638"/>
      <c r="EQ19" s="1638"/>
      <c r="ER19" s="1638"/>
      <c r="ES19" s="1638"/>
      <c r="ET19" s="1638"/>
      <c r="EU19" s="1638"/>
      <c r="EV19" s="1638"/>
      <c r="EW19" s="1638"/>
      <c r="EX19" s="1638"/>
      <c r="EY19" s="1638"/>
      <c r="EZ19" s="1638"/>
      <c r="FA19" s="1638"/>
      <c r="FB19" s="1638"/>
      <c r="FC19" s="1638"/>
      <c r="FD19" s="1638"/>
      <c r="FE19" s="1638"/>
      <c r="FF19" s="1638"/>
      <c r="FG19" s="1638"/>
      <c r="FH19" s="1638"/>
      <c r="FI19" s="1638"/>
      <c r="FJ19" s="1638"/>
      <c r="FK19" s="1638"/>
      <c r="FL19" s="1638"/>
      <c r="FM19" s="1638"/>
      <c r="FN19" s="1638"/>
      <c r="FO19" s="1638"/>
      <c r="FP19" s="1638"/>
      <c r="FQ19" s="1638"/>
      <c r="FR19" s="1638"/>
      <c r="FS19" s="1638"/>
      <c r="FT19" s="1638"/>
      <c r="FU19" s="1638"/>
      <c r="FV19" s="1638"/>
      <c r="FW19" s="1638"/>
      <c r="FX19" s="1638"/>
      <c r="FY19" s="1638"/>
      <c r="FZ19" s="1638"/>
      <c r="GA19" s="1638"/>
      <c r="GB19" s="1638"/>
      <c r="GC19" s="1638"/>
      <c r="GD19" s="1638"/>
      <c r="GE19" s="1638"/>
      <c r="GF19" s="1638"/>
      <c r="GG19" s="1638"/>
      <c r="GH19" s="1638"/>
      <c r="GI19" s="1638"/>
      <c r="GJ19" s="1638"/>
      <c r="GK19" s="1638"/>
      <c r="GL19" s="1638"/>
      <c r="GM19" s="1638"/>
      <c r="GN19" s="1638"/>
      <c r="GO19" s="1638"/>
      <c r="GP19" s="1638"/>
      <c r="GQ19" s="1638"/>
      <c r="GR19" s="1638"/>
      <c r="GS19" s="1638"/>
      <c r="GT19" s="1638"/>
      <c r="GU19" s="1638"/>
      <c r="GV19" s="1638"/>
      <c r="GW19" s="1638"/>
      <c r="GX19" s="1638"/>
      <c r="GY19" s="1638"/>
      <c r="GZ19" s="1638"/>
      <c r="HA19" s="1638"/>
      <c r="HB19" s="1638"/>
      <c r="HC19" s="1638"/>
      <c r="HD19" s="1638"/>
      <c r="HE19" s="1638"/>
      <c r="HF19" s="1638"/>
      <c r="HG19" s="1638"/>
      <c r="HH19" s="1638"/>
      <c r="HI19" s="1638"/>
      <c r="HJ19" s="1638"/>
      <c r="HK19" s="1638"/>
      <c r="HL19" s="1638"/>
      <c r="HM19" s="1638"/>
      <c r="HN19" s="1638"/>
      <c r="HO19" s="1638"/>
      <c r="HP19" s="1638"/>
      <c r="HQ19" s="1638"/>
      <c r="HR19" s="1638"/>
      <c r="HS19" s="1638"/>
      <c r="HT19" s="1638"/>
      <c r="HU19" s="1638"/>
      <c r="HV19" s="1638"/>
      <c r="HW19" s="1638"/>
      <c r="HX19" s="1638"/>
      <c r="HY19" s="1638"/>
      <c r="HZ19" s="1638"/>
      <c r="IA19" s="1638"/>
      <c r="IB19" s="1638"/>
      <c r="IC19" s="1638"/>
      <c r="ID19" s="1638"/>
      <c r="IE19" s="1638"/>
      <c r="IF19" s="1638"/>
      <c r="IG19" s="1638"/>
      <c r="IH19" s="1638"/>
      <c r="II19" s="1638"/>
      <c r="IJ19" s="1638"/>
      <c r="IK19" s="1638"/>
      <c r="IL19" s="1638"/>
    </row>
    <row r="20" spans="1:246">
      <c r="A20" s="1638" t="s">
        <v>3252</v>
      </c>
      <c r="B20" s="1638" t="s">
        <v>3046</v>
      </c>
      <c r="C20" s="1638" t="s">
        <v>3174</v>
      </c>
      <c r="D20" s="1638" t="s">
        <v>3175</v>
      </c>
      <c r="E20" s="1638" t="s">
        <v>1327</v>
      </c>
      <c r="F20" s="1638" t="s">
        <v>3253</v>
      </c>
      <c r="G20" s="1638" t="s">
        <v>3177</v>
      </c>
      <c r="H20" s="1638" t="s">
        <v>3254</v>
      </c>
      <c r="I20" s="1638" t="s">
        <v>3174</v>
      </c>
      <c r="J20" s="1638">
        <v>31860</v>
      </c>
      <c r="K20" s="1638">
        <v>63720</v>
      </c>
      <c r="L20" s="1638" t="s">
        <v>3246</v>
      </c>
      <c r="M20" s="1638" t="s">
        <v>3208</v>
      </c>
      <c r="N20" s="1638" t="s">
        <v>3285</v>
      </c>
      <c r="O20" s="1638" t="s">
        <v>3286</v>
      </c>
      <c r="P20" s="1638" t="s">
        <v>3287</v>
      </c>
      <c r="Q20" s="1638" t="s">
        <v>3287</v>
      </c>
      <c r="R20" s="1638" t="s">
        <v>3254</v>
      </c>
      <c r="S20" s="1638" t="s">
        <v>3193</v>
      </c>
      <c r="T20" s="1638" t="s">
        <v>3288</v>
      </c>
      <c r="U20" s="1638">
        <v>1200</v>
      </c>
      <c r="V20" s="1638">
        <v>5543.64</v>
      </c>
      <c r="W20" s="1638">
        <v>5543.64</v>
      </c>
      <c r="X20" s="1638">
        <v>116</v>
      </c>
      <c r="Y20" s="1638">
        <v>116</v>
      </c>
      <c r="Z20" s="1638">
        <v>870</v>
      </c>
      <c r="AA20" s="1638">
        <v>870</v>
      </c>
      <c r="AB20" s="1638">
        <f t="shared" si="0"/>
        <v>1740</v>
      </c>
      <c r="AC20" s="1638" t="s">
        <v>1327</v>
      </c>
      <c r="AD20" s="1638">
        <v>0</v>
      </c>
      <c r="AE20" s="1638" t="s">
        <v>3220</v>
      </c>
      <c r="AF20" s="1638" t="s">
        <v>1327</v>
      </c>
      <c r="AG20" s="1638" t="s">
        <v>1327</v>
      </c>
      <c r="AH20" s="1638" t="s">
        <v>1327</v>
      </c>
      <c r="AI20" s="1638" t="s">
        <v>3196</v>
      </c>
      <c r="AJ20" s="1638"/>
      <c r="AK20" s="1638"/>
      <c r="AL20" s="1638"/>
      <c r="AM20" s="1638"/>
      <c r="AN20" s="1638"/>
      <c r="AO20" s="1638"/>
      <c r="AP20" s="1638"/>
      <c r="AQ20" s="1638"/>
      <c r="AR20" s="1638"/>
      <c r="AS20" s="1638"/>
      <c r="AT20" s="1638"/>
      <c r="AU20" s="1638"/>
      <c r="AV20" s="1638"/>
      <c r="AW20" s="1638"/>
      <c r="AX20" s="1638"/>
      <c r="AY20" s="1638"/>
      <c r="AZ20" s="1638"/>
      <c r="BA20" s="1638"/>
      <c r="BB20" s="1638"/>
      <c r="BC20" s="1638"/>
      <c r="BD20" s="1638"/>
      <c r="BE20" s="1638"/>
      <c r="BF20" s="1638"/>
      <c r="BG20" s="1638"/>
      <c r="BH20" s="1638"/>
      <c r="BI20" s="1638"/>
      <c r="BJ20" s="1638"/>
      <c r="BK20" s="1638"/>
      <c r="BL20" s="1638"/>
      <c r="BM20" s="1638"/>
      <c r="BN20" s="1638"/>
      <c r="BO20" s="1638"/>
      <c r="BP20" s="1638"/>
      <c r="BQ20" s="1638"/>
      <c r="BR20" s="1638"/>
      <c r="BS20" s="1638"/>
      <c r="BT20" s="1638"/>
      <c r="BU20" s="1638"/>
      <c r="BV20" s="1638"/>
      <c r="BW20" s="1638"/>
      <c r="BX20" s="1638"/>
      <c r="BY20" s="1638"/>
      <c r="BZ20" s="1638"/>
      <c r="CA20" s="1638"/>
      <c r="CB20" s="1638"/>
      <c r="CC20" s="1638"/>
      <c r="CD20" s="1638"/>
      <c r="CE20" s="1638"/>
      <c r="CF20" s="1638"/>
      <c r="CG20" s="1638"/>
      <c r="CH20" s="1638"/>
      <c r="CI20" s="1638"/>
      <c r="CJ20" s="1638"/>
      <c r="CK20" s="1638"/>
      <c r="CL20" s="1638"/>
      <c r="CM20" s="1638"/>
      <c r="CN20" s="1638"/>
      <c r="CO20" s="1638"/>
      <c r="CP20" s="1638"/>
      <c r="CQ20" s="1638"/>
      <c r="CR20" s="1638"/>
      <c r="CS20" s="1638"/>
      <c r="CT20" s="1638"/>
      <c r="CU20" s="1638"/>
      <c r="CV20" s="1638"/>
      <c r="CW20" s="1638"/>
      <c r="CX20" s="1638"/>
      <c r="CY20" s="1638"/>
      <c r="CZ20" s="1638"/>
      <c r="DA20" s="1638"/>
      <c r="DB20" s="1638"/>
      <c r="DC20" s="1638"/>
      <c r="DD20" s="1638"/>
      <c r="DE20" s="1638"/>
      <c r="DF20" s="1638"/>
      <c r="DG20" s="1638"/>
      <c r="DH20" s="1638"/>
      <c r="DI20" s="1638"/>
      <c r="DJ20" s="1638"/>
      <c r="DK20" s="1638"/>
      <c r="DL20" s="1638"/>
      <c r="DM20" s="1638"/>
      <c r="DN20" s="1638"/>
      <c r="DO20" s="1638"/>
      <c r="DP20" s="1638"/>
      <c r="DQ20" s="1638"/>
      <c r="DR20" s="1638"/>
      <c r="DS20" s="1638"/>
      <c r="DT20" s="1638"/>
      <c r="DU20" s="1638"/>
      <c r="DV20" s="1638"/>
      <c r="DW20" s="1638"/>
      <c r="DX20" s="1638"/>
      <c r="DY20" s="1638"/>
      <c r="DZ20" s="1638"/>
      <c r="EA20" s="1638"/>
      <c r="EB20" s="1638"/>
      <c r="EC20" s="1638"/>
      <c r="ED20" s="1638"/>
      <c r="EE20" s="1638"/>
      <c r="EF20" s="1638"/>
      <c r="EG20" s="1638"/>
      <c r="EH20" s="1638"/>
      <c r="EI20" s="1638"/>
      <c r="EJ20" s="1638"/>
      <c r="EK20" s="1638"/>
      <c r="EL20" s="1638"/>
      <c r="EM20" s="1638"/>
      <c r="EN20" s="1638"/>
      <c r="EO20" s="1638"/>
      <c r="EP20" s="1638"/>
      <c r="EQ20" s="1638"/>
      <c r="ER20" s="1638"/>
      <c r="ES20" s="1638"/>
      <c r="ET20" s="1638"/>
      <c r="EU20" s="1638"/>
      <c r="EV20" s="1638"/>
      <c r="EW20" s="1638"/>
      <c r="EX20" s="1638"/>
      <c r="EY20" s="1638"/>
      <c r="EZ20" s="1638"/>
      <c r="FA20" s="1638"/>
      <c r="FB20" s="1638"/>
      <c r="FC20" s="1638"/>
      <c r="FD20" s="1638"/>
      <c r="FE20" s="1638"/>
      <c r="FF20" s="1638"/>
      <c r="FG20" s="1638"/>
      <c r="FH20" s="1638"/>
      <c r="FI20" s="1638"/>
      <c r="FJ20" s="1638"/>
      <c r="FK20" s="1638"/>
      <c r="FL20" s="1638"/>
      <c r="FM20" s="1638"/>
      <c r="FN20" s="1638"/>
      <c r="FO20" s="1638"/>
      <c r="FP20" s="1638"/>
      <c r="FQ20" s="1638"/>
      <c r="FR20" s="1638"/>
      <c r="FS20" s="1638"/>
      <c r="FT20" s="1638"/>
      <c r="FU20" s="1638"/>
      <c r="FV20" s="1638"/>
      <c r="FW20" s="1638"/>
      <c r="FX20" s="1638"/>
      <c r="FY20" s="1638"/>
      <c r="FZ20" s="1638"/>
      <c r="GA20" s="1638"/>
      <c r="GB20" s="1638"/>
      <c r="GC20" s="1638"/>
      <c r="GD20" s="1638"/>
      <c r="GE20" s="1638"/>
      <c r="GF20" s="1638"/>
      <c r="GG20" s="1638"/>
      <c r="GH20" s="1638"/>
      <c r="GI20" s="1638"/>
      <c r="GJ20" s="1638"/>
      <c r="GK20" s="1638"/>
      <c r="GL20" s="1638"/>
      <c r="GM20" s="1638"/>
      <c r="GN20" s="1638"/>
      <c r="GO20" s="1638"/>
      <c r="GP20" s="1638"/>
      <c r="GQ20" s="1638"/>
      <c r="GR20" s="1638"/>
      <c r="GS20" s="1638"/>
      <c r="GT20" s="1638"/>
      <c r="GU20" s="1638"/>
      <c r="GV20" s="1638"/>
      <c r="GW20" s="1638"/>
      <c r="GX20" s="1638"/>
      <c r="GY20" s="1638"/>
      <c r="GZ20" s="1638"/>
      <c r="HA20" s="1638"/>
      <c r="HB20" s="1638"/>
      <c r="HC20" s="1638"/>
      <c r="HD20" s="1638"/>
      <c r="HE20" s="1638"/>
      <c r="HF20" s="1638"/>
      <c r="HG20" s="1638"/>
      <c r="HH20" s="1638"/>
      <c r="HI20" s="1638"/>
      <c r="HJ20" s="1638"/>
      <c r="HK20" s="1638"/>
      <c r="HL20" s="1638"/>
      <c r="HM20" s="1638"/>
      <c r="HN20" s="1638"/>
      <c r="HO20" s="1638"/>
      <c r="HP20" s="1638"/>
      <c r="HQ20" s="1638"/>
      <c r="HR20" s="1638"/>
      <c r="HS20" s="1638"/>
      <c r="HT20" s="1638"/>
      <c r="HU20" s="1638"/>
      <c r="HV20" s="1638"/>
      <c r="HW20" s="1638"/>
      <c r="HX20" s="1638"/>
      <c r="HY20" s="1638"/>
      <c r="HZ20" s="1638"/>
      <c r="IA20" s="1638"/>
      <c r="IB20" s="1638"/>
      <c r="IC20" s="1638"/>
      <c r="ID20" s="1638"/>
      <c r="IE20" s="1638"/>
      <c r="IF20" s="1638"/>
      <c r="IG20" s="1638"/>
      <c r="IH20" s="1638"/>
      <c r="II20" s="1638"/>
      <c r="IJ20" s="1638"/>
      <c r="IK20" s="1638"/>
      <c r="IL20" s="1638"/>
    </row>
    <row r="21" spans="1:246">
      <c r="A21" s="1638" t="s">
        <v>3255</v>
      </c>
      <c r="B21" s="1638" t="s">
        <v>3046</v>
      </c>
      <c r="C21" s="1638" t="s">
        <v>3174</v>
      </c>
      <c r="D21" s="1638" t="s">
        <v>3175</v>
      </c>
      <c r="E21" s="1638" t="s">
        <v>1327</v>
      </c>
      <c r="F21" s="1638" t="s">
        <v>3255</v>
      </c>
      <c r="G21" s="1638" t="s">
        <v>3177</v>
      </c>
      <c r="H21" s="1638" t="s">
        <v>3256</v>
      </c>
      <c r="I21" s="1638" t="s">
        <v>3174</v>
      </c>
      <c r="J21" s="1638">
        <v>233050</v>
      </c>
      <c r="K21" s="1638">
        <v>279660</v>
      </c>
      <c r="L21" s="1638" t="s">
        <v>3257</v>
      </c>
      <c r="M21" s="1638" t="s">
        <v>3289</v>
      </c>
      <c r="N21" s="1638" t="s">
        <v>3290</v>
      </c>
      <c r="O21" s="1638" t="s">
        <v>3291</v>
      </c>
      <c r="P21" s="1638" t="s">
        <v>3292</v>
      </c>
      <c r="Q21" s="1638" t="s">
        <v>3292</v>
      </c>
      <c r="R21" s="1638" t="s">
        <v>3256</v>
      </c>
      <c r="S21" s="1638" t="s">
        <v>3193</v>
      </c>
      <c r="T21" s="1638" t="s">
        <v>3229</v>
      </c>
      <c r="U21" s="1638">
        <v>4400</v>
      </c>
      <c r="V21" s="1638">
        <v>21533.81</v>
      </c>
      <c r="W21" s="1638">
        <v>21533.81</v>
      </c>
      <c r="X21" s="1638">
        <v>61.6</v>
      </c>
      <c r="Y21" s="1638">
        <v>61.6</v>
      </c>
      <c r="Z21" s="1638">
        <v>770</v>
      </c>
      <c r="AA21" s="1638">
        <v>770</v>
      </c>
      <c r="AB21" s="1638">
        <f t="shared" si="0"/>
        <v>924</v>
      </c>
      <c r="AC21" s="1638" t="s">
        <v>1327</v>
      </c>
      <c r="AD21" s="1638">
        <v>0</v>
      </c>
      <c r="AE21" s="1638" t="s">
        <v>3220</v>
      </c>
      <c r="AF21" s="1638" t="s">
        <v>1327</v>
      </c>
      <c r="AG21" s="1638" t="s">
        <v>1327</v>
      </c>
      <c r="AH21" s="1638" t="s">
        <v>1327</v>
      </c>
      <c r="AI21" s="1638" t="s">
        <v>3196</v>
      </c>
      <c r="AJ21" s="1638"/>
      <c r="AK21" s="1638"/>
      <c r="AL21" s="1638"/>
      <c r="AM21" s="1638"/>
      <c r="AN21" s="1638"/>
      <c r="AO21" s="1638"/>
      <c r="AP21" s="1638"/>
      <c r="AQ21" s="1638"/>
      <c r="AR21" s="1638"/>
      <c r="AS21" s="1638"/>
      <c r="AT21" s="1638"/>
      <c r="AU21" s="1638"/>
      <c r="AV21" s="1638"/>
      <c r="AW21" s="1638"/>
      <c r="AX21" s="1638"/>
      <c r="AY21" s="1638"/>
      <c r="AZ21" s="1638"/>
      <c r="BA21" s="1638"/>
      <c r="BB21" s="1638"/>
      <c r="BC21" s="1638"/>
      <c r="BD21" s="1638"/>
      <c r="BE21" s="1638"/>
      <c r="BF21" s="1638"/>
      <c r="BG21" s="1638"/>
      <c r="BH21" s="1638"/>
      <c r="BI21" s="1638"/>
      <c r="BJ21" s="1638"/>
      <c r="BK21" s="1638"/>
      <c r="BL21" s="1638"/>
      <c r="BM21" s="1638"/>
      <c r="BN21" s="1638"/>
      <c r="BO21" s="1638"/>
      <c r="BP21" s="1638"/>
      <c r="BQ21" s="1638"/>
      <c r="BR21" s="1638"/>
      <c r="BS21" s="1638"/>
      <c r="BT21" s="1638"/>
      <c r="BU21" s="1638"/>
      <c r="BV21" s="1638"/>
      <c r="BW21" s="1638"/>
      <c r="BX21" s="1638"/>
      <c r="BY21" s="1638"/>
      <c r="BZ21" s="1638"/>
      <c r="CA21" s="1638"/>
      <c r="CB21" s="1638"/>
      <c r="CC21" s="1638"/>
      <c r="CD21" s="1638"/>
      <c r="CE21" s="1638"/>
      <c r="CF21" s="1638"/>
      <c r="CG21" s="1638"/>
      <c r="CH21" s="1638"/>
      <c r="CI21" s="1638"/>
      <c r="CJ21" s="1638"/>
      <c r="CK21" s="1638"/>
      <c r="CL21" s="1638"/>
      <c r="CM21" s="1638"/>
      <c r="CN21" s="1638"/>
      <c r="CO21" s="1638"/>
      <c r="CP21" s="1638"/>
      <c r="CQ21" s="1638"/>
      <c r="CR21" s="1638"/>
      <c r="CS21" s="1638"/>
      <c r="CT21" s="1638"/>
      <c r="CU21" s="1638"/>
      <c r="CV21" s="1638"/>
      <c r="CW21" s="1638"/>
      <c r="CX21" s="1638"/>
      <c r="CY21" s="1638"/>
      <c r="CZ21" s="1638"/>
      <c r="DA21" s="1638"/>
      <c r="DB21" s="1638"/>
      <c r="DC21" s="1638"/>
      <c r="DD21" s="1638"/>
      <c r="DE21" s="1638"/>
      <c r="DF21" s="1638"/>
      <c r="DG21" s="1638"/>
      <c r="DH21" s="1638"/>
      <c r="DI21" s="1638"/>
      <c r="DJ21" s="1638"/>
      <c r="DK21" s="1638"/>
      <c r="DL21" s="1638"/>
      <c r="DM21" s="1638"/>
      <c r="DN21" s="1638"/>
      <c r="DO21" s="1638"/>
      <c r="DP21" s="1638"/>
      <c r="DQ21" s="1638"/>
      <c r="DR21" s="1638"/>
      <c r="DS21" s="1638"/>
      <c r="DT21" s="1638"/>
      <c r="DU21" s="1638"/>
      <c r="DV21" s="1638"/>
      <c r="DW21" s="1638"/>
      <c r="DX21" s="1638"/>
      <c r="DY21" s="1638"/>
      <c r="DZ21" s="1638"/>
      <c r="EA21" s="1638"/>
      <c r="EB21" s="1638"/>
      <c r="EC21" s="1638"/>
      <c r="ED21" s="1638"/>
      <c r="EE21" s="1638"/>
      <c r="EF21" s="1638"/>
      <c r="EG21" s="1638"/>
      <c r="EH21" s="1638"/>
      <c r="EI21" s="1638"/>
      <c r="EJ21" s="1638"/>
      <c r="EK21" s="1638"/>
      <c r="EL21" s="1638"/>
      <c r="EM21" s="1638"/>
      <c r="EN21" s="1638"/>
      <c r="EO21" s="1638"/>
      <c r="EP21" s="1638"/>
      <c r="EQ21" s="1638"/>
      <c r="ER21" s="1638"/>
      <c r="ES21" s="1638"/>
      <c r="ET21" s="1638"/>
      <c r="EU21" s="1638"/>
      <c r="EV21" s="1638"/>
      <c r="EW21" s="1638"/>
      <c r="EX21" s="1638"/>
      <c r="EY21" s="1638"/>
      <c r="EZ21" s="1638"/>
      <c r="FA21" s="1638"/>
      <c r="FB21" s="1638"/>
      <c r="FC21" s="1638"/>
      <c r="FD21" s="1638"/>
      <c r="FE21" s="1638"/>
      <c r="FF21" s="1638"/>
      <c r="FG21" s="1638"/>
      <c r="FH21" s="1638"/>
      <c r="FI21" s="1638"/>
      <c r="FJ21" s="1638"/>
      <c r="FK21" s="1638"/>
      <c r="FL21" s="1638"/>
      <c r="FM21" s="1638"/>
      <c r="FN21" s="1638"/>
      <c r="FO21" s="1638"/>
      <c r="FP21" s="1638"/>
      <c r="FQ21" s="1638"/>
      <c r="FR21" s="1638"/>
      <c r="FS21" s="1638"/>
      <c r="FT21" s="1638"/>
      <c r="FU21" s="1638"/>
      <c r="FV21" s="1638"/>
      <c r="FW21" s="1638"/>
      <c r="FX21" s="1638"/>
      <c r="FY21" s="1638"/>
      <c r="FZ21" s="1638"/>
      <c r="GA21" s="1638"/>
      <c r="GB21" s="1638"/>
      <c r="GC21" s="1638"/>
      <c r="GD21" s="1638"/>
      <c r="GE21" s="1638"/>
      <c r="GF21" s="1638"/>
      <c r="GG21" s="1638"/>
      <c r="GH21" s="1638"/>
      <c r="GI21" s="1638"/>
      <c r="GJ21" s="1638"/>
      <c r="GK21" s="1638"/>
      <c r="GL21" s="1638"/>
      <c r="GM21" s="1638"/>
      <c r="GN21" s="1638"/>
      <c r="GO21" s="1638"/>
      <c r="GP21" s="1638"/>
      <c r="GQ21" s="1638"/>
      <c r="GR21" s="1638"/>
      <c r="GS21" s="1638"/>
      <c r="GT21" s="1638"/>
      <c r="GU21" s="1638"/>
      <c r="GV21" s="1638"/>
      <c r="GW21" s="1638"/>
      <c r="GX21" s="1638"/>
      <c r="GY21" s="1638"/>
      <c r="GZ21" s="1638"/>
      <c r="HA21" s="1638"/>
      <c r="HB21" s="1638"/>
      <c r="HC21" s="1638"/>
      <c r="HD21" s="1638"/>
      <c r="HE21" s="1638"/>
      <c r="HF21" s="1638"/>
      <c r="HG21" s="1638"/>
      <c r="HH21" s="1638"/>
      <c r="HI21" s="1638"/>
      <c r="HJ21" s="1638"/>
      <c r="HK21" s="1638"/>
      <c r="HL21" s="1638"/>
      <c r="HM21" s="1638"/>
      <c r="HN21" s="1638"/>
      <c r="HO21" s="1638"/>
      <c r="HP21" s="1638"/>
      <c r="HQ21" s="1638"/>
      <c r="HR21" s="1638"/>
      <c r="HS21" s="1638"/>
      <c r="HT21" s="1638"/>
      <c r="HU21" s="1638"/>
      <c r="HV21" s="1638"/>
      <c r="HW21" s="1638"/>
      <c r="HX21" s="1638"/>
      <c r="HY21" s="1638"/>
      <c r="HZ21" s="1638"/>
      <c r="IA21" s="1638"/>
      <c r="IB21" s="1638"/>
      <c r="IC21" s="1638"/>
      <c r="ID21" s="1638"/>
      <c r="IE21" s="1638"/>
      <c r="IF21" s="1638"/>
      <c r="IG21" s="1638"/>
      <c r="IH21" s="1638"/>
      <c r="II21" s="1638"/>
      <c r="IJ21" s="1638"/>
      <c r="IK21" s="1638"/>
      <c r="IL21" s="1638"/>
    </row>
    <row r="22" spans="1:246">
      <c r="A22" s="1638" t="s">
        <v>3258</v>
      </c>
      <c r="B22" s="1638" t="s">
        <v>3046</v>
      </c>
      <c r="C22" s="1638" t="s">
        <v>3174</v>
      </c>
      <c r="D22" s="1638" t="s">
        <v>3175</v>
      </c>
      <c r="E22" s="1638" t="s">
        <v>1327</v>
      </c>
      <c r="F22" s="1638" t="s">
        <v>3259</v>
      </c>
      <c r="G22" s="1638" t="s">
        <v>3177</v>
      </c>
      <c r="H22" s="1638" t="s">
        <v>3260</v>
      </c>
      <c r="I22" s="1638" t="s">
        <v>3174</v>
      </c>
      <c r="J22" s="1638">
        <v>10922.9</v>
      </c>
      <c r="K22" s="1638">
        <v>16384.349999999999</v>
      </c>
      <c r="L22" s="1638" t="s">
        <v>3236</v>
      </c>
      <c r="M22" s="1638" t="s">
        <v>1327</v>
      </c>
      <c r="N22" s="1638" t="s">
        <v>3293</v>
      </c>
      <c r="O22" s="1638" t="s">
        <v>3294</v>
      </c>
      <c r="P22" s="1638" t="s">
        <v>3295</v>
      </c>
      <c r="Q22" s="1638" t="s">
        <v>1327</v>
      </c>
      <c r="R22" s="1638" t="s">
        <v>3260</v>
      </c>
      <c r="S22" s="1638" t="s">
        <v>3296</v>
      </c>
      <c r="T22" s="1638" t="s">
        <v>1327</v>
      </c>
      <c r="U22" s="1638">
        <v>450</v>
      </c>
      <c r="V22" s="1638">
        <v>2228.2600000000002</v>
      </c>
      <c r="W22" s="1638" t="s">
        <v>1327</v>
      </c>
      <c r="X22" s="1638">
        <v>136</v>
      </c>
      <c r="Y22" s="1638" t="s">
        <v>1327</v>
      </c>
      <c r="Z22" s="1638">
        <v>1359.99</v>
      </c>
      <c r="AA22" s="1638" t="s">
        <v>1327</v>
      </c>
      <c r="AB22" s="1638" t="e">
        <f t="shared" si="0"/>
        <v>#VALUE!</v>
      </c>
      <c r="AC22" s="1638" t="s">
        <v>1327</v>
      </c>
      <c r="AD22" s="1638" t="s">
        <v>1327</v>
      </c>
      <c r="AE22" s="1638" t="s">
        <v>3220</v>
      </c>
      <c r="AF22" s="1638" t="s">
        <v>1327</v>
      </c>
      <c r="AG22" s="1638" t="s">
        <v>1327</v>
      </c>
      <c r="AH22" s="1638" t="s">
        <v>1327</v>
      </c>
      <c r="AI22" s="1638" t="s">
        <v>3196</v>
      </c>
      <c r="AJ22" s="1638"/>
      <c r="AK22" s="1638"/>
      <c r="AL22" s="1638"/>
      <c r="AM22" s="1638"/>
      <c r="AN22" s="1638"/>
      <c r="AO22" s="1638"/>
      <c r="AP22" s="1638"/>
      <c r="AQ22" s="1638"/>
      <c r="AR22" s="1638"/>
      <c r="AS22" s="1638"/>
      <c r="AT22" s="1638"/>
      <c r="AU22" s="1638"/>
      <c r="AV22" s="1638"/>
      <c r="AW22" s="1638"/>
      <c r="AX22" s="1638"/>
      <c r="AY22" s="1638"/>
      <c r="AZ22" s="1638"/>
      <c r="BA22" s="1638"/>
      <c r="BB22" s="1638"/>
      <c r="BC22" s="1638"/>
      <c r="BD22" s="1638"/>
      <c r="BE22" s="1638"/>
      <c r="BF22" s="1638"/>
      <c r="BG22" s="1638"/>
      <c r="BH22" s="1638"/>
      <c r="BI22" s="1638"/>
      <c r="BJ22" s="1638"/>
      <c r="BK22" s="1638"/>
      <c r="BL22" s="1638"/>
      <c r="BM22" s="1638"/>
      <c r="BN22" s="1638"/>
      <c r="BO22" s="1638"/>
      <c r="BP22" s="1638"/>
      <c r="BQ22" s="1638"/>
      <c r="BR22" s="1638"/>
      <c r="BS22" s="1638"/>
      <c r="BT22" s="1638"/>
      <c r="BU22" s="1638"/>
      <c r="BV22" s="1638"/>
      <c r="BW22" s="1638"/>
      <c r="BX22" s="1638"/>
      <c r="BY22" s="1638"/>
      <c r="BZ22" s="1638"/>
      <c r="CA22" s="1638"/>
      <c r="CB22" s="1638"/>
      <c r="CC22" s="1638"/>
      <c r="CD22" s="1638"/>
      <c r="CE22" s="1638"/>
      <c r="CF22" s="1638"/>
      <c r="CG22" s="1638"/>
      <c r="CH22" s="1638"/>
      <c r="CI22" s="1638"/>
      <c r="CJ22" s="1638"/>
      <c r="CK22" s="1638"/>
      <c r="CL22" s="1638"/>
      <c r="CM22" s="1638"/>
      <c r="CN22" s="1638"/>
      <c r="CO22" s="1638"/>
      <c r="CP22" s="1638"/>
      <c r="CQ22" s="1638"/>
      <c r="CR22" s="1638"/>
      <c r="CS22" s="1638"/>
      <c r="CT22" s="1638"/>
      <c r="CU22" s="1638"/>
      <c r="CV22" s="1638"/>
      <c r="CW22" s="1638"/>
      <c r="CX22" s="1638"/>
      <c r="CY22" s="1638"/>
      <c r="CZ22" s="1638"/>
      <c r="DA22" s="1638"/>
      <c r="DB22" s="1638"/>
      <c r="DC22" s="1638"/>
      <c r="DD22" s="1638"/>
      <c r="DE22" s="1638"/>
      <c r="DF22" s="1638"/>
      <c r="DG22" s="1638"/>
      <c r="DH22" s="1638"/>
      <c r="DI22" s="1638"/>
      <c r="DJ22" s="1638"/>
      <c r="DK22" s="1638"/>
      <c r="DL22" s="1638"/>
      <c r="DM22" s="1638"/>
      <c r="DN22" s="1638"/>
      <c r="DO22" s="1638"/>
      <c r="DP22" s="1638"/>
      <c r="DQ22" s="1638"/>
      <c r="DR22" s="1638"/>
      <c r="DS22" s="1638"/>
      <c r="DT22" s="1638"/>
      <c r="DU22" s="1638"/>
      <c r="DV22" s="1638"/>
      <c r="DW22" s="1638"/>
      <c r="DX22" s="1638"/>
      <c r="DY22" s="1638"/>
      <c r="DZ22" s="1638"/>
      <c r="EA22" s="1638"/>
      <c r="EB22" s="1638"/>
      <c r="EC22" s="1638"/>
      <c r="ED22" s="1638"/>
      <c r="EE22" s="1638"/>
      <c r="EF22" s="1638"/>
      <c r="EG22" s="1638"/>
      <c r="EH22" s="1638"/>
      <c r="EI22" s="1638"/>
      <c r="EJ22" s="1638"/>
      <c r="EK22" s="1638"/>
      <c r="EL22" s="1638"/>
      <c r="EM22" s="1638"/>
      <c r="EN22" s="1638"/>
      <c r="EO22" s="1638"/>
      <c r="EP22" s="1638"/>
      <c r="EQ22" s="1638"/>
      <c r="ER22" s="1638"/>
      <c r="ES22" s="1638"/>
      <c r="ET22" s="1638"/>
      <c r="EU22" s="1638"/>
      <c r="EV22" s="1638"/>
      <c r="EW22" s="1638"/>
      <c r="EX22" s="1638"/>
      <c r="EY22" s="1638"/>
      <c r="EZ22" s="1638"/>
      <c r="FA22" s="1638"/>
      <c r="FB22" s="1638"/>
      <c r="FC22" s="1638"/>
      <c r="FD22" s="1638"/>
      <c r="FE22" s="1638"/>
      <c r="FF22" s="1638"/>
      <c r="FG22" s="1638"/>
      <c r="FH22" s="1638"/>
      <c r="FI22" s="1638"/>
      <c r="FJ22" s="1638"/>
      <c r="FK22" s="1638"/>
      <c r="FL22" s="1638"/>
      <c r="FM22" s="1638"/>
      <c r="FN22" s="1638"/>
      <c r="FO22" s="1638"/>
      <c r="FP22" s="1638"/>
      <c r="FQ22" s="1638"/>
      <c r="FR22" s="1638"/>
      <c r="FS22" s="1638"/>
      <c r="FT22" s="1638"/>
      <c r="FU22" s="1638"/>
      <c r="FV22" s="1638"/>
      <c r="FW22" s="1638"/>
      <c r="FX22" s="1638"/>
      <c r="FY22" s="1638"/>
      <c r="FZ22" s="1638"/>
      <c r="GA22" s="1638"/>
      <c r="GB22" s="1638"/>
      <c r="GC22" s="1638"/>
      <c r="GD22" s="1638"/>
      <c r="GE22" s="1638"/>
      <c r="GF22" s="1638"/>
      <c r="GG22" s="1638"/>
      <c r="GH22" s="1638"/>
      <c r="GI22" s="1638"/>
      <c r="GJ22" s="1638"/>
      <c r="GK22" s="1638"/>
      <c r="GL22" s="1638"/>
      <c r="GM22" s="1638"/>
      <c r="GN22" s="1638"/>
      <c r="GO22" s="1638"/>
      <c r="GP22" s="1638"/>
      <c r="GQ22" s="1638"/>
      <c r="GR22" s="1638"/>
      <c r="GS22" s="1638"/>
      <c r="GT22" s="1638"/>
      <c r="GU22" s="1638"/>
      <c r="GV22" s="1638"/>
      <c r="GW22" s="1638"/>
      <c r="GX22" s="1638"/>
      <c r="GY22" s="1638"/>
      <c r="GZ22" s="1638"/>
      <c r="HA22" s="1638"/>
      <c r="HB22" s="1638"/>
      <c r="HC22" s="1638"/>
      <c r="HD22" s="1638"/>
      <c r="HE22" s="1638"/>
      <c r="HF22" s="1638"/>
      <c r="HG22" s="1638"/>
      <c r="HH22" s="1638"/>
      <c r="HI22" s="1638"/>
      <c r="HJ22" s="1638"/>
      <c r="HK22" s="1638"/>
      <c r="HL22" s="1638"/>
      <c r="HM22" s="1638"/>
      <c r="HN22" s="1638"/>
      <c r="HO22" s="1638"/>
      <c r="HP22" s="1638"/>
      <c r="HQ22" s="1638"/>
      <c r="HR22" s="1638"/>
      <c r="HS22" s="1638"/>
      <c r="HT22" s="1638"/>
      <c r="HU22" s="1638"/>
      <c r="HV22" s="1638"/>
      <c r="HW22" s="1638"/>
      <c r="HX22" s="1638"/>
      <c r="HY22" s="1638"/>
      <c r="HZ22" s="1638"/>
      <c r="IA22" s="1638"/>
      <c r="IB22" s="1638"/>
      <c r="IC22" s="1638"/>
      <c r="ID22" s="1638"/>
      <c r="IE22" s="1638"/>
      <c r="IF22" s="1638"/>
      <c r="IG22" s="1638"/>
      <c r="IH22" s="1638"/>
      <c r="II22" s="1638"/>
      <c r="IJ22" s="1638"/>
      <c r="IK22" s="1638"/>
      <c r="IL22" s="1638"/>
    </row>
    <row r="23" spans="1:246">
      <c r="A23" s="1638" t="s">
        <v>3297</v>
      </c>
      <c r="B23" s="1638" t="s">
        <v>3046</v>
      </c>
      <c r="C23" s="1638" t="s">
        <v>3174</v>
      </c>
      <c r="D23" s="1638" t="s">
        <v>3175</v>
      </c>
      <c r="E23" s="1638" t="s">
        <v>1327</v>
      </c>
      <c r="F23" s="1638" t="s">
        <v>3297</v>
      </c>
      <c r="G23" s="1638" t="s">
        <v>3177</v>
      </c>
      <c r="H23" s="1638" t="s">
        <v>3298</v>
      </c>
      <c r="I23" s="1638" t="s">
        <v>3174</v>
      </c>
      <c r="J23" s="1638">
        <v>49648.1</v>
      </c>
      <c r="K23" s="1638">
        <v>99296.2</v>
      </c>
      <c r="L23" s="1638" t="s">
        <v>3246</v>
      </c>
      <c r="M23" s="1638" t="s">
        <v>3289</v>
      </c>
      <c r="N23" s="1638" t="s">
        <v>3299</v>
      </c>
      <c r="O23" s="1638" t="s">
        <v>3300</v>
      </c>
      <c r="P23" s="1638" t="s">
        <v>3301</v>
      </c>
      <c r="Q23" s="1638" t="s">
        <v>3301</v>
      </c>
      <c r="R23" s="1638" t="s">
        <v>3298</v>
      </c>
      <c r="S23" s="1638" t="s">
        <v>3193</v>
      </c>
      <c r="T23" s="1638" t="s">
        <v>3302</v>
      </c>
      <c r="U23" s="1638">
        <v>1800</v>
      </c>
      <c r="V23" s="1638">
        <v>8638.77</v>
      </c>
      <c r="W23" s="1638">
        <v>8638.77</v>
      </c>
      <c r="X23" s="1638">
        <v>116</v>
      </c>
      <c r="Y23" s="1638">
        <v>116</v>
      </c>
      <c r="Z23" s="1638">
        <v>870</v>
      </c>
      <c r="AA23" s="1638">
        <v>870</v>
      </c>
      <c r="AB23" s="1638">
        <f t="shared" si="0"/>
        <v>1740</v>
      </c>
      <c r="AC23" s="1638" t="s">
        <v>1327</v>
      </c>
      <c r="AD23" s="1638">
        <v>0</v>
      </c>
      <c r="AE23" s="1638" t="s">
        <v>3220</v>
      </c>
      <c r="AF23" s="1638" t="s">
        <v>1327</v>
      </c>
      <c r="AG23" s="1638" t="s">
        <v>1327</v>
      </c>
      <c r="AH23" s="1638" t="s">
        <v>1327</v>
      </c>
      <c r="AI23" s="1638" t="s">
        <v>3196</v>
      </c>
      <c r="AJ23" s="1638"/>
      <c r="AK23" s="1638"/>
      <c r="AL23" s="1638"/>
      <c r="AM23" s="1638"/>
      <c r="AN23" s="1638"/>
      <c r="AO23" s="1638"/>
      <c r="AP23" s="1638"/>
      <c r="AQ23" s="1638"/>
      <c r="AR23" s="1638"/>
      <c r="AS23" s="1638"/>
      <c r="AT23" s="1638"/>
      <c r="AU23" s="1638"/>
      <c r="AV23" s="1638"/>
      <c r="AW23" s="1638"/>
      <c r="AX23" s="1638"/>
      <c r="AY23" s="1638"/>
      <c r="AZ23" s="1638"/>
      <c r="BA23" s="1638"/>
      <c r="BB23" s="1638"/>
      <c r="BC23" s="1638"/>
      <c r="BD23" s="1638"/>
      <c r="BE23" s="1638"/>
      <c r="BF23" s="1638"/>
      <c r="BG23" s="1638"/>
      <c r="BH23" s="1638"/>
      <c r="BI23" s="1638"/>
      <c r="BJ23" s="1638"/>
      <c r="BK23" s="1638"/>
      <c r="BL23" s="1638"/>
      <c r="BM23" s="1638"/>
      <c r="BN23" s="1638"/>
      <c r="BO23" s="1638"/>
      <c r="BP23" s="1638"/>
      <c r="BQ23" s="1638"/>
      <c r="BR23" s="1638"/>
      <c r="BS23" s="1638"/>
      <c r="BT23" s="1638"/>
      <c r="BU23" s="1638"/>
      <c r="BV23" s="1638"/>
      <c r="BW23" s="1638"/>
      <c r="BX23" s="1638"/>
      <c r="BY23" s="1638"/>
      <c r="BZ23" s="1638"/>
      <c r="CA23" s="1638"/>
      <c r="CB23" s="1638"/>
      <c r="CC23" s="1638"/>
      <c r="CD23" s="1638"/>
      <c r="CE23" s="1638"/>
      <c r="CF23" s="1638"/>
      <c r="CG23" s="1638"/>
      <c r="CH23" s="1638"/>
      <c r="CI23" s="1638"/>
      <c r="CJ23" s="1638"/>
      <c r="CK23" s="1638"/>
      <c r="CL23" s="1638"/>
      <c r="CM23" s="1638"/>
      <c r="CN23" s="1638"/>
      <c r="CO23" s="1638"/>
      <c r="CP23" s="1638"/>
      <c r="CQ23" s="1638"/>
      <c r="CR23" s="1638"/>
      <c r="CS23" s="1638"/>
      <c r="CT23" s="1638"/>
      <c r="CU23" s="1638"/>
      <c r="CV23" s="1638"/>
      <c r="CW23" s="1638"/>
      <c r="CX23" s="1638"/>
      <c r="CY23" s="1638"/>
      <c r="CZ23" s="1638"/>
      <c r="DA23" s="1638"/>
      <c r="DB23" s="1638"/>
      <c r="DC23" s="1638"/>
      <c r="DD23" s="1638"/>
      <c r="DE23" s="1638"/>
      <c r="DF23" s="1638"/>
      <c r="DG23" s="1638"/>
      <c r="DH23" s="1638"/>
      <c r="DI23" s="1638"/>
      <c r="DJ23" s="1638"/>
      <c r="DK23" s="1638"/>
      <c r="DL23" s="1638"/>
      <c r="DM23" s="1638"/>
      <c r="DN23" s="1638"/>
      <c r="DO23" s="1638"/>
      <c r="DP23" s="1638"/>
      <c r="DQ23" s="1638"/>
      <c r="DR23" s="1638"/>
      <c r="DS23" s="1638"/>
      <c r="DT23" s="1638"/>
      <c r="DU23" s="1638"/>
      <c r="DV23" s="1638"/>
      <c r="DW23" s="1638"/>
      <c r="DX23" s="1638"/>
      <c r="DY23" s="1638"/>
      <c r="DZ23" s="1638"/>
      <c r="EA23" s="1638"/>
      <c r="EB23" s="1638"/>
      <c r="EC23" s="1638"/>
      <c r="ED23" s="1638"/>
      <c r="EE23" s="1638"/>
      <c r="EF23" s="1638"/>
      <c r="EG23" s="1638"/>
      <c r="EH23" s="1638"/>
      <c r="EI23" s="1638"/>
      <c r="EJ23" s="1638"/>
      <c r="EK23" s="1638"/>
      <c r="EL23" s="1638"/>
      <c r="EM23" s="1638"/>
      <c r="EN23" s="1638"/>
      <c r="EO23" s="1638"/>
      <c r="EP23" s="1638"/>
      <c r="EQ23" s="1638"/>
      <c r="ER23" s="1638"/>
      <c r="ES23" s="1638"/>
      <c r="ET23" s="1638"/>
      <c r="EU23" s="1638"/>
      <c r="EV23" s="1638"/>
      <c r="EW23" s="1638"/>
      <c r="EX23" s="1638"/>
      <c r="EY23" s="1638"/>
      <c r="EZ23" s="1638"/>
      <c r="FA23" s="1638"/>
      <c r="FB23" s="1638"/>
      <c r="FC23" s="1638"/>
      <c r="FD23" s="1638"/>
      <c r="FE23" s="1638"/>
      <c r="FF23" s="1638"/>
      <c r="FG23" s="1638"/>
      <c r="FH23" s="1638"/>
      <c r="FI23" s="1638"/>
      <c r="FJ23" s="1638"/>
      <c r="FK23" s="1638"/>
      <c r="FL23" s="1638"/>
      <c r="FM23" s="1638"/>
      <c r="FN23" s="1638"/>
      <c r="FO23" s="1638"/>
      <c r="FP23" s="1638"/>
      <c r="FQ23" s="1638"/>
      <c r="FR23" s="1638"/>
      <c r="FS23" s="1638"/>
      <c r="FT23" s="1638"/>
      <c r="FU23" s="1638"/>
      <c r="FV23" s="1638"/>
      <c r="FW23" s="1638"/>
      <c r="FX23" s="1638"/>
      <c r="FY23" s="1638"/>
      <c r="FZ23" s="1638"/>
      <c r="GA23" s="1638"/>
      <c r="GB23" s="1638"/>
      <c r="GC23" s="1638"/>
      <c r="GD23" s="1638"/>
      <c r="GE23" s="1638"/>
      <c r="GF23" s="1638"/>
      <c r="GG23" s="1638"/>
      <c r="GH23" s="1638"/>
      <c r="GI23" s="1638"/>
      <c r="GJ23" s="1638"/>
      <c r="GK23" s="1638"/>
      <c r="GL23" s="1638"/>
      <c r="GM23" s="1638"/>
      <c r="GN23" s="1638"/>
      <c r="GO23" s="1638"/>
      <c r="GP23" s="1638"/>
      <c r="GQ23" s="1638"/>
      <c r="GR23" s="1638"/>
      <c r="GS23" s="1638"/>
      <c r="GT23" s="1638"/>
      <c r="GU23" s="1638"/>
      <c r="GV23" s="1638"/>
      <c r="GW23" s="1638"/>
      <c r="GX23" s="1638"/>
      <c r="GY23" s="1638"/>
      <c r="GZ23" s="1638"/>
      <c r="HA23" s="1638"/>
      <c r="HB23" s="1638"/>
      <c r="HC23" s="1638"/>
      <c r="HD23" s="1638"/>
      <c r="HE23" s="1638"/>
      <c r="HF23" s="1638"/>
      <c r="HG23" s="1638"/>
      <c r="HH23" s="1638"/>
      <c r="HI23" s="1638"/>
      <c r="HJ23" s="1638"/>
      <c r="HK23" s="1638"/>
      <c r="HL23" s="1638"/>
      <c r="HM23" s="1638"/>
      <c r="HN23" s="1638"/>
      <c r="HO23" s="1638"/>
      <c r="HP23" s="1638"/>
      <c r="HQ23" s="1638"/>
      <c r="HR23" s="1638"/>
      <c r="HS23" s="1638"/>
      <c r="HT23" s="1638"/>
      <c r="HU23" s="1638"/>
      <c r="HV23" s="1638"/>
      <c r="HW23" s="1638"/>
      <c r="HX23" s="1638"/>
      <c r="HY23" s="1638"/>
      <c r="HZ23" s="1638"/>
      <c r="IA23" s="1638"/>
      <c r="IB23" s="1638"/>
      <c r="IC23" s="1638"/>
      <c r="ID23" s="1638"/>
      <c r="IE23" s="1638"/>
      <c r="IF23" s="1638"/>
      <c r="IG23" s="1638"/>
      <c r="IH23" s="1638"/>
      <c r="II23" s="1638"/>
      <c r="IJ23" s="1638"/>
      <c r="IK23" s="1638"/>
      <c r="IL23" s="1638"/>
    </row>
    <row r="24" spans="1:246">
      <c r="A24" s="1638" t="s">
        <v>3303</v>
      </c>
      <c r="B24" s="1638" t="s">
        <v>3046</v>
      </c>
      <c r="C24" s="1638" t="s">
        <v>3174</v>
      </c>
      <c r="D24" s="1638" t="s">
        <v>3175</v>
      </c>
      <c r="E24" s="1638" t="s">
        <v>1327</v>
      </c>
      <c r="F24" s="1638" t="s">
        <v>3304</v>
      </c>
      <c r="G24" s="1638" t="s">
        <v>3177</v>
      </c>
      <c r="H24" s="1638" t="s">
        <v>3305</v>
      </c>
      <c r="I24" s="1638" t="s">
        <v>3174</v>
      </c>
      <c r="J24" s="1638">
        <v>106517.9</v>
      </c>
      <c r="K24" s="1638">
        <v>213035.8</v>
      </c>
      <c r="L24" s="1638" t="s">
        <v>3246</v>
      </c>
      <c r="M24" s="1638" t="s">
        <v>3289</v>
      </c>
      <c r="N24" s="1638" t="s">
        <v>3309</v>
      </c>
      <c r="O24" s="1638" t="s">
        <v>3310</v>
      </c>
      <c r="P24" s="1638" t="s">
        <v>3311</v>
      </c>
      <c r="Q24" s="1638" t="s">
        <v>3311</v>
      </c>
      <c r="R24" s="1638" t="s">
        <v>3305</v>
      </c>
      <c r="S24" s="1638" t="s">
        <v>3193</v>
      </c>
      <c r="T24" s="1638" t="s">
        <v>3312</v>
      </c>
      <c r="U24" s="1638">
        <v>3800</v>
      </c>
      <c r="V24" s="1638">
        <v>18534.11</v>
      </c>
      <c r="W24" s="1638">
        <v>18534.11</v>
      </c>
      <c r="X24" s="1638">
        <v>116</v>
      </c>
      <c r="Y24" s="1638">
        <v>116</v>
      </c>
      <c r="Z24" s="1638">
        <v>869.99</v>
      </c>
      <c r="AA24" s="1638">
        <v>870</v>
      </c>
      <c r="AB24" s="1638">
        <f t="shared" si="0"/>
        <v>1740</v>
      </c>
      <c r="AC24" s="1638" t="s">
        <v>1327</v>
      </c>
      <c r="AD24" s="1638">
        <v>0</v>
      </c>
      <c r="AE24" s="1638" t="s">
        <v>3220</v>
      </c>
      <c r="AF24" s="1638" t="s">
        <v>1327</v>
      </c>
      <c r="AG24" s="1638" t="s">
        <v>1327</v>
      </c>
      <c r="AH24" s="1638" t="s">
        <v>1327</v>
      </c>
      <c r="AI24" s="1638" t="s">
        <v>3196</v>
      </c>
      <c r="AJ24" s="1638"/>
      <c r="AK24" s="1638"/>
      <c r="AL24" s="1638"/>
      <c r="AM24" s="1638"/>
      <c r="AN24" s="1638"/>
      <c r="AO24" s="1638"/>
      <c r="AP24" s="1638"/>
      <c r="AQ24" s="1638"/>
      <c r="AR24" s="1638"/>
      <c r="AS24" s="1638"/>
      <c r="AT24" s="1638"/>
      <c r="AU24" s="1638"/>
      <c r="AV24" s="1638"/>
      <c r="AW24" s="1638"/>
      <c r="AX24" s="1638"/>
      <c r="AY24" s="1638"/>
      <c r="AZ24" s="1638"/>
      <c r="BA24" s="1638"/>
      <c r="BB24" s="1638"/>
      <c r="BC24" s="1638"/>
      <c r="BD24" s="1638"/>
      <c r="BE24" s="1638"/>
      <c r="BF24" s="1638"/>
      <c r="BG24" s="1638"/>
      <c r="BH24" s="1638"/>
      <c r="BI24" s="1638"/>
      <c r="BJ24" s="1638"/>
      <c r="BK24" s="1638"/>
      <c r="BL24" s="1638"/>
      <c r="BM24" s="1638"/>
      <c r="BN24" s="1638"/>
      <c r="BO24" s="1638"/>
      <c r="BP24" s="1638"/>
      <c r="BQ24" s="1638"/>
      <c r="BR24" s="1638"/>
      <c r="BS24" s="1638"/>
      <c r="BT24" s="1638"/>
      <c r="BU24" s="1638"/>
      <c r="BV24" s="1638"/>
      <c r="BW24" s="1638"/>
      <c r="BX24" s="1638"/>
      <c r="BY24" s="1638"/>
      <c r="BZ24" s="1638"/>
      <c r="CA24" s="1638"/>
      <c r="CB24" s="1638"/>
      <c r="CC24" s="1638"/>
      <c r="CD24" s="1638"/>
      <c r="CE24" s="1638"/>
      <c r="CF24" s="1638"/>
      <c r="CG24" s="1638"/>
      <c r="CH24" s="1638"/>
      <c r="CI24" s="1638"/>
      <c r="CJ24" s="1638"/>
      <c r="CK24" s="1638"/>
      <c r="CL24" s="1638"/>
      <c r="CM24" s="1638"/>
      <c r="CN24" s="1638"/>
      <c r="CO24" s="1638"/>
      <c r="CP24" s="1638"/>
      <c r="CQ24" s="1638"/>
      <c r="CR24" s="1638"/>
      <c r="CS24" s="1638"/>
      <c r="CT24" s="1638"/>
      <c r="CU24" s="1638"/>
      <c r="CV24" s="1638"/>
      <c r="CW24" s="1638"/>
      <c r="CX24" s="1638"/>
      <c r="CY24" s="1638"/>
      <c r="CZ24" s="1638"/>
      <c r="DA24" s="1638"/>
      <c r="DB24" s="1638"/>
      <c r="DC24" s="1638"/>
      <c r="DD24" s="1638"/>
      <c r="DE24" s="1638"/>
      <c r="DF24" s="1638"/>
      <c r="DG24" s="1638"/>
      <c r="DH24" s="1638"/>
      <c r="DI24" s="1638"/>
      <c r="DJ24" s="1638"/>
      <c r="DK24" s="1638"/>
      <c r="DL24" s="1638"/>
      <c r="DM24" s="1638"/>
      <c r="DN24" s="1638"/>
      <c r="DO24" s="1638"/>
      <c r="DP24" s="1638"/>
      <c r="DQ24" s="1638"/>
      <c r="DR24" s="1638"/>
      <c r="DS24" s="1638"/>
      <c r="DT24" s="1638"/>
      <c r="DU24" s="1638"/>
      <c r="DV24" s="1638"/>
      <c r="DW24" s="1638"/>
      <c r="DX24" s="1638"/>
      <c r="DY24" s="1638"/>
      <c r="DZ24" s="1638"/>
      <c r="EA24" s="1638"/>
      <c r="EB24" s="1638"/>
      <c r="EC24" s="1638"/>
      <c r="ED24" s="1638"/>
      <c r="EE24" s="1638"/>
      <c r="EF24" s="1638"/>
      <c r="EG24" s="1638"/>
      <c r="EH24" s="1638"/>
      <c r="EI24" s="1638"/>
      <c r="EJ24" s="1638"/>
      <c r="EK24" s="1638"/>
      <c r="EL24" s="1638"/>
      <c r="EM24" s="1638"/>
      <c r="EN24" s="1638"/>
      <c r="EO24" s="1638"/>
      <c r="EP24" s="1638"/>
      <c r="EQ24" s="1638"/>
      <c r="ER24" s="1638"/>
      <c r="ES24" s="1638"/>
      <c r="ET24" s="1638"/>
      <c r="EU24" s="1638"/>
      <c r="EV24" s="1638"/>
      <c r="EW24" s="1638"/>
      <c r="EX24" s="1638"/>
      <c r="EY24" s="1638"/>
      <c r="EZ24" s="1638"/>
      <c r="FA24" s="1638"/>
      <c r="FB24" s="1638"/>
      <c r="FC24" s="1638"/>
      <c r="FD24" s="1638"/>
      <c r="FE24" s="1638"/>
      <c r="FF24" s="1638"/>
      <c r="FG24" s="1638"/>
      <c r="FH24" s="1638"/>
      <c r="FI24" s="1638"/>
      <c r="FJ24" s="1638"/>
      <c r="FK24" s="1638"/>
      <c r="FL24" s="1638"/>
      <c r="FM24" s="1638"/>
      <c r="FN24" s="1638"/>
      <c r="FO24" s="1638"/>
      <c r="FP24" s="1638"/>
      <c r="FQ24" s="1638"/>
      <c r="FR24" s="1638"/>
      <c r="FS24" s="1638"/>
      <c r="FT24" s="1638"/>
      <c r="FU24" s="1638"/>
      <c r="FV24" s="1638"/>
      <c r="FW24" s="1638"/>
      <c r="FX24" s="1638"/>
      <c r="FY24" s="1638"/>
      <c r="FZ24" s="1638"/>
      <c r="GA24" s="1638"/>
      <c r="GB24" s="1638"/>
      <c r="GC24" s="1638"/>
      <c r="GD24" s="1638"/>
      <c r="GE24" s="1638"/>
      <c r="GF24" s="1638"/>
      <c r="GG24" s="1638"/>
      <c r="GH24" s="1638"/>
      <c r="GI24" s="1638"/>
      <c r="GJ24" s="1638"/>
      <c r="GK24" s="1638"/>
      <c r="GL24" s="1638"/>
      <c r="GM24" s="1638"/>
      <c r="GN24" s="1638"/>
      <c r="GO24" s="1638"/>
      <c r="GP24" s="1638"/>
      <c r="GQ24" s="1638"/>
      <c r="GR24" s="1638"/>
      <c r="GS24" s="1638"/>
      <c r="GT24" s="1638"/>
      <c r="GU24" s="1638"/>
      <c r="GV24" s="1638"/>
      <c r="GW24" s="1638"/>
      <c r="GX24" s="1638"/>
      <c r="GY24" s="1638"/>
      <c r="GZ24" s="1638"/>
      <c r="HA24" s="1638"/>
      <c r="HB24" s="1638"/>
      <c r="HC24" s="1638"/>
      <c r="HD24" s="1638"/>
      <c r="HE24" s="1638"/>
      <c r="HF24" s="1638"/>
      <c r="HG24" s="1638"/>
      <c r="HH24" s="1638"/>
      <c r="HI24" s="1638"/>
      <c r="HJ24" s="1638"/>
      <c r="HK24" s="1638"/>
      <c r="HL24" s="1638"/>
      <c r="HM24" s="1638"/>
      <c r="HN24" s="1638"/>
      <c r="HO24" s="1638"/>
      <c r="HP24" s="1638"/>
      <c r="HQ24" s="1638"/>
      <c r="HR24" s="1638"/>
      <c r="HS24" s="1638"/>
      <c r="HT24" s="1638"/>
      <c r="HU24" s="1638"/>
      <c r="HV24" s="1638"/>
      <c r="HW24" s="1638"/>
      <c r="HX24" s="1638"/>
      <c r="HY24" s="1638"/>
      <c r="HZ24" s="1638"/>
      <c r="IA24" s="1638"/>
      <c r="IB24" s="1638"/>
      <c r="IC24" s="1638"/>
      <c r="ID24" s="1638"/>
      <c r="IE24" s="1638"/>
      <c r="IF24" s="1638"/>
      <c r="IG24" s="1638"/>
      <c r="IH24" s="1638"/>
      <c r="II24" s="1638"/>
      <c r="IJ24" s="1638"/>
      <c r="IK24" s="1638"/>
      <c r="IL24" s="1638"/>
    </row>
    <row r="25" spans="1:246">
      <c r="A25" s="1638" t="s">
        <v>3306</v>
      </c>
      <c r="B25" s="1638" t="s">
        <v>3046</v>
      </c>
      <c r="C25" s="1638" t="s">
        <v>3174</v>
      </c>
      <c r="D25" s="1638" t="s">
        <v>3175</v>
      </c>
      <c r="E25" s="1638" t="s">
        <v>1327</v>
      </c>
      <c r="F25" s="1638" t="s">
        <v>3307</v>
      </c>
      <c r="G25" s="1638" t="s">
        <v>3177</v>
      </c>
      <c r="H25" s="1638" t="s">
        <v>3308</v>
      </c>
      <c r="I25" s="1638" t="s">
        <v>3174</v>
      </c>
      <c r="J25" s="1638">
        <v>19503.599999999999</v>
      </c>
      <c r="K25" s="1638">
        <v>29255.4</v>
      </c>
      <c r="L25" s="1638" t="s">
        <v>3236</v>
      </c>
      <c r="M25" s="1638" t="s">
        <v>3289</v>
      </c>
      <c r="N25" s="1638" t="s">
        <v>3313</v>
      </c>
      <c r="O25" s="1638" t="s">
        <v>3314</v>
      </c>
      <c r="P25" s="1638" t="s">
        <v>3315</v>
      </c>
      <c r="Q25" s="1638" t="s">
        <v>3315</v>
      </c>
      <c r="R25" s="1638" t="s">
        <v>3308</v>
      </c>
      <c r="S25" s="1638" t="s">
        <v>3193</v>
      </c>
      <c r="T25" s="1638" t="s">
        <v>3316</v>
      </c>
      <c r="U25" s="1638">
        <v>500</v>
      </c>
      <c r="V25" s="1638">
        <v>2145.4</v>
      </c>
      <c r="W25" s="1638">
        <v>2145.4</v>
      </c>
      <c r="X25" s="1638">
        <v>73.33</v>
      </c>
      <c r="Y25" s="1638">
        <v>73.33</v>
      </c>
      <c r="Z25" s="1638">
        <v>733.33</v>
      </c>
      <c r="AA25" s="1638">
        <v>733.33</v>
      </c>
      <c r="AB25" s="1638">
        <f t="shared" si="0"/>
        <v>1100</v>
      </c>
      <c r="AC25" s="1638" t="s">
        <v>1327</v>
      </c>
      <c r="AD25" s="1638">
        <v>0</v>
      </c>
      <c r="AE25" s="1638" t="s">
        <v>3220</v>
      </c>
      <c r="AF25" s="1638" t="s">
        <v>1327</v>
      </c>
      <c r="AG25" s="1638" t="s">
        <v>1327</v>
      </c>
      <c r="AH25" s="1638" t="s">
        <v>1327</v>
      </c>
      <c r="AI25" s="1638" t="s">
        <v>3196</v>
      </c>
      <c r="AJ25" s="1638"/>
      <c r="AK25" s="1638"/>
      <c r="AL25" s="1638"/>
      <c r="AM25" s="1638"/>
      <c r="AN25" s="1638"/>
      <c r="AO25" s="1638"/>
      <c r="AP25" s="1638"/>
      <c r="AQ25" s="1638"/>
      <c r="AR25" s="1638"/>
      <c r="AS25" s="1638"/>
      <c r="AT25" s="1638"/>
      <c r="AU25" s="1638"/>
      <c r="AV25" s="1638"/>
      <c r="AW25" s="1638"/>
      <c r="AX25" s="1638"/>
      <c r="AY25" s="1638"/>
      <c r="AZ25" s="1638"/>
      <c r="BA25" s="1638"/>
      <c r="BB25" s="1638"/>
      <c r="BC25" s="1638"/>
      <c r="BD25" s="1638"/>
      <c r="BE25" s="1638"/>
      <c r="BF25" s="1638"/>
      <c r="BG25" s="1638"/>
      <c r="BH25" s="1638"/>
      <c r="BI25" s="1638"/>
      <c r="BJ25" s="1638"/>
      <c r="BK25" s="1638"/>
      <c r="BL25" s="1638"/>
      <c r="BM25" s="1638"/>
      <c r="BN25" s="1638"/>
      <c r="BO25" s="1638"/>
      <c r="BP25" s="1638"/>
      <c r="BQ25" s="1638"/>
      <c r="BR25" s="1638"/>
      <c r="BS25" s="1638"/>
      <c r="BT25" s="1638"/>
      <c r="BU25" s="1638"/>
      <c r="BV25" s="1638"/>
      <c r="BW25" s="1638"/>
      <c r="BX25" s="1638"/>
      <c r="BY25" s="1638"/>
      <c r="BZ25" s="1638"/>
      <c r="CA25" s="1638"/>
      <c r="CB25" s="1638"/>
      <c r="CC25" s="1638"/>
      <c r="CD25" s="1638"/>
      <c r="CE25" s="1638"/>
      <c r="CF25" s="1638"/>
      <c r="CG25" s="1638"/>
      <c r="CH25" s="1638"/>
      <c r="CI25" s="1638"/>
      <c r="CJ25" s="1638"/>
      <c r="CK25" s="1638"/>
      <c r="CL25" s="1638"/>
      <c r="CM25" s="1638"/>
      <c r="CN25" s="1638"/>
      <c r="CO25" s="1638"/>
      <c r="CP25" s="1638"/>
      <c r="CQ25" s="1638"/>
      <c r="CR25" s="1638"/>
      <c r="CS25" s="1638"/>
      <c r="CT25" s="1638"/>
      <c r="CU25" s="1638"/>
      <c r="CV25" s="1638"/>
      <c r="CW25" s="1638"/>
      <c r="CX25" s="1638"/>
      <c r="CY25" s="1638"/>
      <c r="CZ25" s="1638"/>
      <c r="DA25" s="1638"/>
      <c r="DB25" s="1638"/>
      <c r="DC25" s="1638"/>
      <c r="DD25" s="1638"/>
      <c r="DE25" s="1638"/>
      <c r="DF25" s="1638"/>
      <c r="DG25" s="1638"/>
      <c r="DH25" s="1638"/>
      <c r="DI25" s="1638"/>
      <c r="DJ25" s="1638"/>
      <c r="DK25" s="1638"/>
      <c r="DL25" s="1638"/>
      <c r="DM25" s="1638"/>
      <c r="DN25" s="1638"/>
      <c r="DO25" s="1638"/>
      <c r="DP25" s="1638"/>
      <c r="DQ25" s="1638"/>
      <c r="DR25" s="1638"/>
      <c r="DS25" s="1638"/>
      <c r="DT25" s="1638"/>
      <c r="DU25" s="1638"/>
      <c r="DV25" s="1638"/>
      <c r="DW25" s="1638"/>
      <c r="DX25" s="1638"/>
      <c r="DY25" s="1638"/>
      <c r="DZ25" s="1638"/>
      <c r="EA25" s="1638"/>
      <c r="EB25" s="1638"/>
      <c r="EC25" s="1638"/>
      <c r="ED25" s="1638"/>
      <c r="EE25" s="1638"/>
      <c r="EF25" s="1638"/>
      <c r="EG25" s="1638"/>
      <c r="EH25" s="1638"/>
      <c r="EI25" s="1638"/>
      <c r="EJ25" s="1638"/>
      <c r="EK25" s="1638"/>
      <c r="EL25" s="1638"/>
      <c r="EM25" s="1638"/>
      <c r="EN25" s="1638"/>
      <c r="EO25" s="1638"/>
      <c r="EP25" s="1638"/>
      <c r="EQ25" s="1638"/>
      <c r="ER25" s="1638"/>
      <c r="ES25" s="1638"/>
      <c r="ET25" s="1638"/>
      <c r="EU25" s="1638"/>
      <c r="EV25" s="1638"/>
      <c r="EW25" s="1638"/>
      <c r="EX25" s="1638"/>
      <c r="EY25" s="1638"/>
      <c r="EZ25" s="1638"/>
      <c r="FA25" s="1638"/>
      <c r="FB25" s="1638"/>
      <c r="FC25" s="1638"/>
      <c r="FD25" s="1638"/>
      <c r="FE25" s="1638"/>
      <c r="FF25" s="1638"/>
      <c r="FG25" s="1638"/>
      <c r="FH25" s="1638"/>
      <c r="FI25" s="1638"/>
      <c r="FJ25" s="1638"/>
      <c r="FK25" s="1638"/>
      <c r="FL25" s="1638"/>
      <c r="FM25" s="1638"/>
      <c r="FN25" s="1638"/>
      <c r="FO25" s="1638"/>
      <c r="FP25" s="1638"/>
      <c r="FQ25" s="1638"/>
      <c r="FR25" s="1638"/>
      <c r="FS25" s="1638"/>
      <c r="FT25" s="1638"/>
      <c r="FU25" s="1638"/>
      <c r="FV25" s="1638"/>
      <c r="FW25" s="1638"/>
      <c r="FX25" s="1638"/>
      <c r="FY25" s="1638"/>
      <c r="FZ25" s="1638"/>
      <c r="GA25" s="1638"/>
      <c r="GB25" s="1638"/>
      <c r="GC25" s="1638"/>
      <c r="GD25" s="1638"/>
      <c r="GE25" s="1638"/>
      <c r="GF25" s="1638"/>
      <c r="GG25" s="1638"/>
      <c r="GH25" s="1638"/>
      <c r="GI25" s="1638"/>
      <c r="GJ25" s="1638"/>
      <c r="GK25" s="1638"/>
      <c r="GL25" s="1638"/>
      <c r="GM25" s="1638"/>
      <c r="GN25" s="1638"/>
      <c r="GO25" s="1638"/>
      <c r="GP25" s="1638"/>
      <c r="GQ25" s="1638"/>
      <c r="GR25" s="1638"/>
      <c r="GS25" s="1638"/>
      <c r="GT25" s="1638"/>
      <c r="GU25" s="1638"/>
      <c r="GV25" s="1638"/>
      <c r="GW25" s="1638"/>
      <c r="GX25" s="1638"/>
      <c r="GY25" s="1638"/>
      <c r="GZ25" s="1638"/>
      <c r="HA25" s="1638"/>
      <c r="HB25" s="1638"/>
      <c r="HC25" s="1638"/>
      <c r="HD25" s="1638"/>
      <c r="HE25" s="1638"/>
      <c r="HF25" s="1638"/>
      <c r="HG25" s="1638"/>
      <c r="HH25" s="1638"/>
      <c r="HI25" s="1638"/>
      <c r="HJ25" s="1638"/>
      <c r="HK25" s="1638"/>
      <c r="HL25" s="1638"/>
      <c r="HM25" s="1638"/>
      <c r="HN25" s="1638"/>
      <c r="HO25" s="1638"/>
      <c r="HP25" s="1638"/>
      <c r="HQ25" s="1638"/>
      <c r="HR25" s="1638"/>
      <c r="HS25" s="1638"/>
      <c r="HT25" s="1638"/>
      <c r="HU25" s="1638"/>
      <c r="HV25" s="1638"/>
      <c r="HW25" s="1638"/>
      <c r="HX25" s="1638"/>
      <c r="HY25" s="1638"/>
      <c r="HZ25" s="1638"/>
      <c r="IA25" s="1638"/>
      <c r="IB25" s="1638"/>
      <c r="IC25" s="1638"/>
      <c r="ID25" s="1638"/>
      <c r="IE25" s="1638"/>
      <c r="IF25" s="1638"/>
      <c r="IG25" s="1638"/>
      <c r="IH25" s="1638"/>
      <c r="II25" s="1638"/>
      <c r="IJ25" s="1638"/>
      <c r="IK25" s="1638"/>
      <c r="IL25" s="1638"/>
    </row>
    <row r="26" spans="1:246">
      <c r="A26" s="1638" t="s">
        <v>3317</v>
      </c>
      <c r="B26" s="1638" t="s">
        <v>3046</v>
      </c>
      <c r="C26" s="1638" t="s">
        <v>3174</v>
      </c>
      <c r="D26" s="1638" t="s">
        <v>3175</v>
      </c>
      <c r="E26" s="1638" t="s">
        <v>1327</v>
      </c>
      <c r="F26" s="1638" t="s">
        <v>3318</v>
      </c>
      <c r="G26" s="1638" t="s">
        <v>3177</v>
      </c>
      <c r="H26" s="1638" t="s">
        <v>3319</v>
      </c>
      <c r="I26" s="1638" t="s">
        <v>3174</v>
      </c>
      <c r="J26" s="1638">
        <v>5513.1</v>
      </c>
      <c r="K26" s="1638">
        <v>8269.65</v>
      </c>
      <c r="L26" s="1638" t="s">
        <v>3236</v>
      </c>
      <c r="M26" s="1638" t="s">
        <v>3289</v>
      </c>
      <c r="N26" s="1638" t="s">
        <v>3327</v>
      </c>
      <c r="O26" s="1638" t="s">
        <v>3328</v>
      </c>
      <c r="P26" s="1638" t="s">
        <v>3329</v>
      </c>
      <c r="Q26" s="1638" t="s">
        <v>3329</v>
      </c>
      <c r="R26" s="1638" t="s">
        <v>3319</v>
      </c>
      <c r="S26" s="1638" t="s">
        <v>3193</v>
      </c>
      <c r="T26" s="1638" t="s">
        <v>3330</v>
      </c>
      <c r="U26" s="1638">
        <v>170</v>
      </c>
      <c r="V26" s="1638">
        <v>826.97</v>
      </c>
      <c r="W26" s="1638">
        <v>826.97</v>
      </c>
      <c r="X26" s="1638">
        <v>100</v>
      </c>
      <c r="Y26" s="1638">
        <v>100</v>
      </c>
      <c r="Z26" s="1638">
        <v>1000</v>
      </c>
      <c r="AA26" s="1638">
        <v>1000</v>
      </c>
      <c r="AB26" s="1638">
        <f t="shared" si="0"/>
        <v>1500</v>
      </c>
      <c r="AC26" s="1638" t="s">
        <v>1327</v>
      </c>
      <c r="AD26" s="1638">
        <v>0</v>
      </c>
      <c r="AE26" s="1638" t="s">
        <v>3220</v>
      </c>
      <c r="AF26" s="1638" t="s">
        <v>1327</v>
      </c>
      <c r="AG26" s="1638" t="s">
        <v>1327</v>
      </c>
      <c r="AH26" s="1638" t="s">
        <v>1327</v>
      </c>
      <c r="AI26" s="1638" t="s">
        <v>3196</v>
      </c>
      <c r="AJ26" s="1638"/>
      <c r="AK26" s="1638"/>
      <c r="AL26" s="1638"/>
      <c r="AM26" s="1638"/>
      <c r="AN26" s="1638"/>
      <c r="AO26" s="1638"/>
      <c r="AP26" s="1638"/>
      <c r="AQ26" s="1638"/>
      <c r="AR26" s="1638"/>
      <c r="AS26" s="1638"/>
      <c r="AT26" s="1638"/>
      <c r="AU26" s="1638"/>
      <c r="AV26" s="1638"/>
      <c r="AW26" s="1638"/>
      <c r="AX26" s="1638"/>
      <c r="AY26" s="1638"/>
      <c r="AZ26" s="1638"/>
      <c r="BA26" s="1638"/>
      <c r="BB26" s="1638"/>
      <c r="BC26" s="1638"/>
      <c r="BD26" s="1638"/>
      <c r="BE26" s="1638"/>
      <c r="BF26" s="1638"/>
      <c r="BG26" s="1638"/>
      <c r="BH26" s="1638"/>
      <c r="BI26" s="1638"/>
      <c r="BJ26" s="1638"/>
      <c r="BK26" s="1638"/>
      <c r="BL26" s="1638"/>
      <c r="BM26" s="1638"/>
      <c r="BN26" s="1638"/>
      <c r="BO26" s="1638"/>
      <c r="BP26" s="1638"/>
      <c r="BQ26" s="1638"/>
      <c r="BR26" s="1638"/>
      <c r="BS26" s="1638"/>
      <c r="BT26" s="1638"/>
      <c r="BU26" s="1638"/>
      <c r="BV26" s="1638"/>
      <c r="BW26" s="1638"/>
      <c r="BX26" s="1638"/>
      <c r="BY26" s="1638"/>
      <c r="BZ26" s="1638"/>
      <c r="CA26" s="1638"/>
      <c r="CB26" s="1638"/>
      <c r="CC26" s="1638"/>
      <c r="CD26" s="1638"/>
      <c r="CE26" s="1638"/>
      <c r="CF26" s="1638"/>
      <c r="CG26" s="1638"/>
      <c r="CH26" s="1638"/>
      <c r="CI26" s="1638"/>
      <c r="CJ26" s="1638"/>
      <c r="CK26" s="1638"/>
      <c r="CL26" s="1638"/>
      <c r="CM26" s="1638"/>
      <c r="CN26" s="1638"/>
      <c r="CO26" s="1638"/>
      <c r="CP26" s="1638"/>
      <c r="CQ26" s="1638"/>
      <c r="CR26" s="1638"/>
      <c r="CS26" s="1638"/>
      <c r="CT26" s="1638"/>
      <c r="CU26" s="1638"/>
      <c r="CV26" s="1638"/>
      <c r="CW26" s="1638"/>
      <c r="CX26" s="1638"/>
      <c r="CY26" s="1638"/>
      <c r="CZ26" s="1638"/>
      <c r="DA26" s="1638"/>
      <c r="DB26" s="1638"/>
      <c r="DC26" s="1638"/>
      <c r="DD26" s="1638"/>
      <c r="DE26" s="1638"/>
      <c r="DF26" s="1638"/>
      <c r="DG26" s="1638"/>
      <c r="DH26" s="1638"/>
      <c r="DI26" s="1638"/>
      <c r="DJ26" s="1638"/>
      <c r="DK26" s="1638"/>
      <c r="DL26" s="1638"/>
      <c r="DM26" s="1638"/>
      <c r="DN26" s="1638"/>
      <c r="DO26" s="1638"/>
      <c r="DP26" s="1638"/>
      <c r="DQ26" s="1638"/>
      <c r="DR26" s="1638"/>
      <c r="DS26" s="1638"/>
      <c r="DT26" s="1638"/>
      <c r="DU26" s="1638"/>
      <c r="DV26" s="1638"/>
      <c r="DW26" s="1638"/>
      <c r="DX26" s="1638"/>
      <c r="DY26" s="1638"/>
      <c r="DZ26" s="1638"/>
      <c r="EA26" s="1638"/>
      <c r="EB26" s="1638"/>
      <c r="EC26" s="1638"/>
      <c r="ED26" s="1638"/>
      <c r="EE26" s="1638"/>
      <c r="EF26" s="1638"/>
      <c r="EG26" s="1638"/>
      <c r="EH26" s="1638"/>
      <c r="EI26" s="1638"/>
      <c r="EJ26" s="1638"/>
      <c r="EK26" s="1638"/>
      <c r="EL26" s="1638"/>
      <c r="EM26" s="1638"/>
      <c r="EN26" s="1638"/>
      <c r="EO26" s="1638"/>
      <c r="EP26" s="1638"/>
      <c r="EQ26" s="1638"/>
      <c r="ER26" s="1638"/>
      <c r="ES26" s="1638"/>
      <c r="ET26" s="1638"/>
      <c r="EU26" s="1638"/>
      <c r="EV26" s="1638"/>
      <c r="EW26" s="1638"/>
      <c r="EX26" s="1638"/>
      <c r="EY26" s="1638"/>
      <c r="EZ26" s="1638"/>
      <c r="FA26" s="1638"/>
      <c r="FB26" s="1638"/>
      <c r="FC26" s="1638"/>
      <c r="FD26" s="1638"/>
      <c r="FE26" s="1638"/>
      <c r="FF26" s="1638"/>
      <c r="FG26" s="1638"/>
      <c r="FH26" s="1638"/>
      <c r="FI26" s="1638"/>
      <c r="FJ26" s="1638"/>
      <c r="FK26" s="1638"/>
      <c r="FL26" s="1638"/>
      <c r="FM26" s="1638"/>
      <c r="FN26" s="1638"/>
      <c r="FO26" s="1638"/>
      <c r="FP26" s="1638"/>
      <c r="FQ26" s="1638"/>
      <c r="FR26" s="1638"/>
      <c r="FS26" s="1638"/>
      <c r="FT26" s="1638"/>
      <c r="FU26" s="1638"/>
      <c r="FV26" s="1638"/>
      <c r="FW26" s="1638"/>
      <c r="FX26" s="1638"/>
      <c r="FY26" s="1638"/>
      <c r="FZ26" s="1638"/>
      <c r="GA26" s="1638"/>
      <c r="GB26" s="1638"/>
      <c r="GC26" s="1638"/>
      <c r="GD26" s="1638"/>
      <c r="GE26" s="1638"/>
      <c r="GF26" s="1638"/>
      <c r="GG26" s="1638"/>
      <c r="GH26" s="1638"/>
      <c r="GI26" s="1638"/>
      <c r="GJ26" s="1638"/>
      <c r="GK26" s="1638"/>
      <c r="GL26" s="1638"/>
      <c r="GM26" s="1638"/>
      <c r="GN26" s="1638"/>
      <c r="GO26" s="1638"/>
      <c r="GP26" s="1638"/>
      <c r="GQ26" s="1638"/>
      <c r="GR26" s="1638"/>
      <c r="GS26" s="1638"/>
      <c r="GT26" s="1638"/>
      <c r="GU26" s="1638"/>
      <c r="GV26" s="1638"/>
      <c r="GW26" s="1638"/>
      <c r="GX26" s="1638"/>
      <c r="GY26" s="1638"/>
      <c r="GZ26" s="1638"/>
      <c r="HA26" s="1638"/>
      <c r="HB26" s="1638"/>
      <c r="HC26" s="1638"/>
      <c r="HD26" s="1638"/>
      <c r="HE26" s="1638"/>
      <c r="HF26" s="1638"/>
      <c r="HG26" s="1638"/>
      <c r="HH26" s="1638"/>
      <c r="HI26" s="1638"/>
      <c r="HJ26" s="1638"/>
      <c r="HK26" s="1638"/>
      <c r="HL26" s="1638"/>
      <c r="HM26" s="1638"/>
      <c r="HN26" s="1638"/>
      <c r="HO26" s="1638"/>
      <c r="HP26" s="1638"/>
      <c r="HQ26" s="1638"/>
      <c r="HR26" s="1638"/>
      <c r="HS26" s="1638"/>
      <c r="HT26" s="1638"/>
      <c r="HU26" s="1638"/>
      <c r="HV26" s="1638"/>
      <c r="HW26" s="1638"/>
      <c r="HX26" s="1638"/>
      <c r="HY26" s="1638"/>
      <c r="HZ26" s="1638"/>
      <c r="IA26" s="1638"/>
      <c r="IB26" s="1638"/>
      <c r="IC26" s="1638"/>
      <c r="ID26" s="1638"/>
      <c r="IE26" s="1638"/>
      <c r="IF26" s="1638"/>
      <c r="IG26" s="1638"/>
      <c r="IH26" s="1638"/>
      <c r="II26" s="1638"/>
      <c r="IJ26" s="1638"/>
      <c r="IK26" s="1638"/>
      <c r="IL26" s="1638"/>
    </row>
    <row r="27" spans="1:246">
      <c r="A27" s="1638" t="s">
        <v>3320</v>
      </c>
      <c r="B27" s="1638" t="s">
        <v>3046</v>
      </c>
      <c r="C27" s="1638" t="s">
        <v>3174</v>
      </c>
      <c r="D27" s="1638" t="s">
        <v>3175</v>
      </c>
      <c r="E27" s="1638" t="s">
        <v>1327</v>
      </c>
      <c r="F27" s="1638" t="s">
        <v>3321</v>
      </c>
      <c r="G27" s="1638" t="s">
        <v>3177</v>
      </c>
      <c r="H27" s="1638" t="s">
        <v>3322</v>
      </c>
      <c r="I27" s="1638" t="s">
        <v>3174</v>
      </c>
      <c r="J27" s="1638">
        <v>8849.2000000000007</v>
      </c>
      <c r="K27" s="1638">
        <v>17698.400000000001</v>
      </c>
      <c r="L27" s="1638" t="s">
        <v>3323</v>
      </c>
      <c r="M27" s="1638" t="s">
        <v>3289</v>
      </c>
      <c r="N27" s="1638" t="s">
        <v>3327</v>
      </c>
      <c r="O27" s="1638" t="s">
        <v>3328</v>
      </c>
      <c r="P27" s="1638" t="s">
        <v>3329</v>
      </c>
      <c r="Q27" s="1638" t="s">
        <v>3329</v>
      </c>
      <c r="R27" s="1638" t="s">
        <v>3322</v>
      </c>
      <c r="S27" s="1638" t="s">
        <v>3193</v>
      </c>
      <c r="T27" s="1638" t="s">
        <v>3331</v>
      </c>
      <c r="U27" s="1638">
        <v>300</v>
      </c>
      <c r="V27" s="1638">
        <v>1327.38</v>
      </c>
      <c r="W27" s="1638">
        <v>1327.38</v>
      </c>
      <c r="X27" s="1638">
        <v>100</v>
      </c>
      <c r="Y27" s="1638">
        <v>100</v>
      </c>
      <c r="Z27" s="1638">
        <v>750</v>
      </c>
      <c r="AA27" s="1638">
        <v>750</v>
      </c>
      <c r="AB27" s="1638">
        <f t="shared" si="0"/>
        <v>1500</v>
      </c>
      <c r="AC27" s="1638" t="s">
        <v>1327</v>
      </c>
      <c r="AD27" s="1638">
        <v>0</v>
      </c>
      <c r="AE27" s="1638" t="s">
        <v>3220</v>
      </c>
      <c r="AF27" s="1638" t="s">
        <v>1327</v>
      </c>
      <c r="AG27" s="1638" t="s">
        <v>1327</v>
      </c>
      <c r="AH27" s="1638" t="s">
        <v>1327</v>
      </c>
      <c r="AI27" s="1638" t="s">
        <v>3196</v>
      </c>
      <c r="AJ27" s="1638"/>
      <c r="AK27" s="1638"/>
      <c r="AL27" s="1638"/>
      <c r="AM27" s="1638"/>
      <c r="AN27" s="1638"/>
      <c r="AO27" s="1638"/>
      <c r="AP27" s="1638"/>
      <c r="AQ27" s="1638"/>
      <c r="AR27" s="1638"/>
      <c r="AS27" s="1638"/>
      <c r="AT27" s="1638"/>
      <c r="AU27" s="1638"/>
      <c r="AV27" s="1638"/>
      <c r="AW27" s="1638"/>
      <c r="AX27" s="1638"/>
      <c r="AY27" s="1638"/>
      <c r="AZ27" s="1638"/>
      <c r="BA27" s="1638"/>
      <c r="BB27" s="1638"/>
      <c r="BC27" s="1638"/>
      <c r="BD27" s="1638"/>
      <c r="BE27" s="1638"/>
      <c r="BF27" s="1638"/>
      <c r="BG27" s="1638"/>
      <c r="BH27" s="1638"/>
      <c r="BI27" s="1638"/>
      <c r="BJ27" s="1638"/>
      <c r="BK27" s="1638"/>
      <c r="BL27" s="1638"/>
      <c r="BM27" s="1638"/>
      <c r="BN27" s="1638"/>
      <c r="BO27" s="1638"/>
      <c r="BP27" s="1638"/>
      <c r="BQ27" s="1638"/>
      <c r="BR27" s="1638"/>
      <c r="BS27" s="1638"/>
      <c r="BT27" s="1638"/>
      <c r="BU27" s="1638"/>
      <c r="BV27" s="1638"/>
      <c r="BW27" s="1638"/>
      <c r="BX27" s="1638"/>
      <c r="BY27" s="1638"/>
      <c r="BZ27" s="1638"/>
      <c r="CA27" s="1638"/>
      <c r="CB27" s="1638"/>
      <c r="CC27" s="1638"/>
      <c r="CD27" s="1638"/>
      <c r="CE27" s="1638"/>
      <c r="CF27" s="1638"/>
      <c r="CG27" s="1638"/>
      <c r="CH27" s="1638"/>
      <c r="CI27" s="1638"/>
      <c r="CJ27" s="1638"/>
      <c r="CK27" s="1638"/>
      <c r="CL27" s="1638"/>
      <c r="CM27" s="1638"/>
      <c r="CN27" s="1638"/>
      <c r="CO27" s="1638"/>
      <c r="CP27" s="1638"/>
      <c r="CQ27" s="1638"/>
      <c r="CR27" s="1638"/>
      <c r="CS27" s="1638"/>
      <c r="CT27" s="1638"/>
      <c r="CU27" s="1638"/>
      <c r="CV27" s="1638"/>
      <c r="CW27" s="1638"/>
      <c r="CX27" s="1638"/>
      <c r="CY27" s="1638"/>
      <c r="CZ27" s="1638"/>
      <c r="DA27" s="1638"/>
      <c r="DB27" s="1638"/>
      <c r="DC27" s="1638"/>
      <c r="DD27" s="1638"/>
      <c r="DE27" s="1638"/>
      <c r="DF27" s="1638"/>
      <c r="DG27" s="1638"/>
      <c r="DH27" s="1638"/>
      <c r="DI27" s="1638"/>
      <c r="DJ27" s="1638"/>
      <c r="DK27" s="1638"/>
      <c r="DL27" s="1638"/>
      <c r="DM27" s="1638"/>
      <c r="DN27" s="1638"/>
      <c r="DO27" s="1638"/>
      <c r="DP27" s="1638"/>
      <c r="DQ27" s="1638"/>
      <c r="DR27" s="1638"/>
      <c r="DS27" s="1638"/>
      <c r="DT27" s="1638"/>
      <c r="DU27" s="1638"/>
      <c r="DV27" s="1638"/>
      <c r="DW27" s="1638"/>
      <c r="DX27" s="1638"/>
      <c r="DY27" s="1638"/>
      <c r="DZ27" s="1638"/>
      <c r="EA27" s="1638"/>
      <c r="EB27" s="1638"/>
      <c r="EC27" s="1638"/>
      <c r="ED27" s="1638"/>
      <c r="EE27" s="1638"/>
      <c r="EF27" s="1638"/>
      <c r="EG27" s="1638"/>
      <c r="EH27" s="1638"/>
      <c r="EI27" s="1638"/>
      <c r="EJ27" s="1638"/>
      <c r="EK27" s="1638"/>
      <c r="EL27" s="1638"/>
      <c r="EM27" s="1638"/>
      <c r="EN27" s="1638"/>
      <c r="EO27" s="1638"/>
      <c r="EP27" s="1638"/>
      <c r="EQ27" s="1638"/>
      <c r="ER27" s="1638"/>
      <c r="ES27" s="1638"/>
      <c r="ET27" s="1638"/>
      <c r="EU27" s="1638"/>
      <c r="EV27" s="1638"/>
      <c r="EW27" s="1638"/>
      <c r="EX27" s="1638"/>
      <c r="EY27" s="1638"/>
      <c r="EZ27" s="1638"/>
      <c r="FA27" s="1638"/>
      <c r="FB27" s="1638"/>
      <c r="FC27" s="1638"/>
      <c r="FD27" s="1638"/>
      <c r="FE27" s="1638"/>
      <c r="FF27" s="1638"/>
      <c r="FG27" s="1638"/>
      <c r="FH27" s="1638"/>
      <c r="FI27" s="1638"/>
      <c r="FJ27" s="1638"/>
      <c r="FK27" s="1638"/>
      <c r="FL27" s="1638"/>
      <c r="FM27" s="1638"/>
      <c r="FN27" s="1638"/>
      <c r="FO27" s="1638"/>
      <c r="FP27" s="1638"/>
      <c r="FQ27" s="1638"/>
      <c r="FR27" s="1638"/>
      <c r="FS27" s="1638"/>
      <c r="FT27" s="1638"/>
      <c r="FU27" s="1638"/>
      <c r="FV27" s="1638"/>
      <c r="FW27" s="1638"/>
      <c r="FX27" s="1638"/>
      <c r="FY27" s="1638"/>
      <c r="FZ27" s="1638"/>
      <c r="GA27" s="1638"/>
      <c r="GB27" s="1638"/>
      <c r="GC27" s="1638"/>
      <c r="GD27" s="1638"/>
      <c r="GE27" s="1638"/>
      <c r="GF27" s="1638"/>
      <c r="GG27" s="1638"/>
      <c r="GH27" s="1638"/>
      <c r="GI27" s="1638"/>
      <c r="GJ27" s="1638"/>
      <c r="GK27" s="1638"/>
      <c r="GL27" s="1638"/>
      <c r="GM27" s="1638"/>
      <c r="GN27" s="1638"/>
      <c r="GO27" s="1638"/>
      <c r="GP27" s="1638"/>
      <c r="GQ27" s="1638"/>
      <c r="GR27" s="1638"/>
      <c r="GS27" s="1638"/>
      <c r="GT27" s="1638"/>
      <c r="GU27" s="1638"/>
      <c r="GV27" s="1638"/>
      <c r="GW27" s="1638"/>
      <c r="GX27" s="1638"/>
      <c r="GY27" s="1638"/>
      <c r="GZ27" s="1638"/>
      <c r="HA27" s="1638"/>
      <c r="HB27" s="1638"/>
      <c r="HC27" s="1638"/>
      <c r="HD27" s="1638"/>
      <c r="HE27" s="1638"/>
      <c r="HF27" s="1638"/>
      <c r="HG27" s="1638"/>
      <c r="HH27" s="1638"/>
      <c r="HI27" s="1638"/>
      <c r="HJ27" s="1638"/>
      <c r="HK27" s="1638"/>
      <c r="HL27" s="1638"/>
      <c r="HM27" s="1638"/>
      <c r="HN27" s="1638"/>
      <c r="HO27" s="1638"/>
      <c r="HP27" s="1638"/>
      <c r="HQ27" s="1638"/>
      <c r="HR27" s="1638"/>
      <c r="HS27" s="1638"/>
      <c r="HT27" s="1638"/>
      <c r="HU27" s="1638"/>
      <c r="HV27" s="1638"/>
      <c r="HW27" s="1638"/>
      <c r="HX27" s="1638"/>
      <c r="HY27" s="1638"/>
      <c r="HZ27" s="1638"/>
      <c r="IA27" s="1638"/>
      <c r="IB27" s="1638"/>
      <c r="IC27" s="1638"/>
      <c r="ID27" s="1638"/>
      <c r="IE27" s="1638"/>
      <c r="IF27" s="1638"/>
      <c r="IG27" s="1638"/>
      <c r="IH27" s="1638"/>
      <c r="II27" s="1638"/>
      <c r="IJ27" s="1638"/>
      <c r="IK27" s="1638"/>
      <c r="IL27" s="1638"/>
    </row>
    <row r="28" spans="1:246">
      <c r="A28" s="1638" t="s">
        <v>3324</v>
      </c>
      <c r="B28" s="1638" t="s">
        <v>3046</v>
      </c>
      <c r="C28" s="1638" t="s">
        <v>3174</v>
      </c>
      <c r="D28" s="1638" t="s">
        <v>3175</v>
      </c>
      <c r="E28" s="1638" t="s">
        <v>1327</v>
      </c>
      <c r="F28" s="1638" t="s">
        <v>3325</v>
      </c>
      <c r="G28" s="1638" t="s">
        <v>3177</v>
      </c>
      <c r="H28" s="1638" t="s">
        <v>3326</v>
      </c>
      <c r="I28" s="1638" t="s">
        <v>3174</v>
      </c>
      <c r="J28" s="1638">
        <v>9956.2999999999993</v>
      </c>
      <c r="K28" s="1638">
        <v>14934.45</v>
      </c>
      <c r="L28" s="1638" t="s">
        <v>3239</v>
      </c>
      <c r="M28" s="1638" t="s">
        <v>3289</v>
      </c>
      <c r="N28" s="1638" t="s">
        <v>3327</v>
      </c>
      <c r="O28" s="1638" t="s">
        <v>3328</v>
      </c>
      <c r="P28" s="1638" t="s">
        <v>3329</v>
      </c>
      <c r="Q28" s="1638" t="s">
        <v>3329</v>
      </c>
      <c r="R28" s="1638" t="s">
        <v>3326</v>
      </c>
      <c r="S28" s="1638" t="s">
        <v>3193</v>
      </c>
      <c r="T28" s="1638" t="s">
        <v>3332</v>
      </c>
      <c r="U28" s="1638">
        <v>300</v>
      </c>
      <c r="V28" s="1638">
        <v>1493.45</v>
      </c>
      <c r="W28" s="1638">
        <v>1493.45</v>
      </c>
      <c r="X28" s="1638">
        <v>100</v>
      </c>
      <c r="Y28" s="1638">
        <v>100</v>
      </c>
      <c r="Z28" s="1638">
        <v>1000</v>
      </c>
      <c r="AA28" s="1638">
        <v>1000</v>
      </c>
      <c r="AB28" s="1638">
        <f t="shared" si="0"/>
        <v>1500</v>
      </c>
      <c r="AC28" s="1638" t="s">
        <v>1327</v>
      </c>
      <c r="AD28" s="1638">
        <v>0</v>
      </c>
      <c r="AE28" s="1638" t="s">
        <v>3220</v>
      </c>
      <c r="AF28" s="1638" t="s">
        <v>1327</v>
      </c>
      <c r="AG28" s="1638" t="s">
        <v>1327</v>
      </c>
      <c r="AH28" s="1638" t="s">
        <v>1327</v>
      </c>
      <c r="AI28" s="1638" t="s">
        <v>3196</v>
      </c>
      <c r="AJ28" s="1638"/>
      <c r="AK28" s="1638"/>
      <c r="AL28" s="1638"/>
      <c r="AM28" s="1638"/>
      <c r="AN28" s="1638"/>
      <c r="AO28" s="1638"/>
      <c r="AP28" s="1638"/>
      <c r="AQ28" s="1638"/>
      <c r="AR28" s="1638"/>
      <c r="AS28" s="1638"/>
      <c r="AT28" s="1638"/>
      <c r="AU28" s="1638"/>
      <c r="AV28" s="1638"/>
      <c r="AW28" s="1638"/>
      <c r="AX28" s="1638"/>
      <c r="AY28" s="1638"/>
      <c r="AZ28" s="1638"/>
      <c r="BA28" s="1638"/>
      <c r="BB28" s="1638"/>
      <c r="BC28" s="1638"/>
      <c r="BD28" s="1638"/>
      <c r="BE28" s="1638"/>
      <c r="BF28" s="1638"/>
      <c r="BG28" s="1638"/>
      <c r="BH28" s="1638"/>
      <c r="BI28" s="1638"/>
      <c r="BJ28" s="1638"/>
      <c r="BK28" s="1638"/>
      <c r="BL28" s="1638"/>
      <c r="BM28" s="1638"/>
      <c r="BN28" s="1638"/>
      <c r="BO28" s="1638"/>
      <c r="BP28" s="1638"/>
      <c r="BQ28" s="1638"/>
      <c r="BR28" s="1638"/>
      <c r="BS28" s="1638"/>
      <c r="BT28" s="1638"/>
      <c r="BU28" s="1638"/>
      <c r="BV28" s="1638"/>
      <c r="BW28" s="1638"/>
      <c r="BX28" s="1638"/>
      <c r="BY28" s="1638"/>
      <c r="BZ28" s="1638"/>
      <c r="CA28" s="1638"/>
      <c r="CB28" s="1638"/>
      <c r="CC28" s="1638"/>
      <c r="CD28" s="1638"/>
      <c r="CE28" s="1638"/>
      <c r="CF28" s="1638"/>
      <c r="CG28" s="1638"/>
      <c r="CH28" s="1638"/>
      <c r="CI28" s="1638"/>
      <c r="CJ28" s="1638"/>
      <c r="CK28" s="1638"/>
      <c r="CL28" s="1638"/>
      <c r="CM28" s="1638"/>
      <c r="CN28" s="1638"/>
      <c r="CO28" s="1638"/>
      <c r="CP28" s="1638"/>
      <c r="CQ28" s="1638"/>
      <c r="CR28" s="1638"/>
      <c r="CS28" s="1638"/>
      <c r="CT28" s="1638"/>
      <c r="CU28" s="1638"/>
      <c r="CV28" s="1638"/>
      <c r="CW28" s="1638"/>
      <c r="CX28" s="1638"/>
      <c r="CY28" s="1638"/>
      <c r="CZ28" s="1638"/>
      <c r="DA28" s="1638"/>
      <c r="DB28" s="1638"/>
      <c r="DC28" s="1638"/>
      <c r="DD28" s="1638"/>
      <c r="DE28" s="1638"/>
      <c r="DF28" s="1638"/>
      <c r="DG28" s="1638"/>
      <c r="DH28" s="1638"/>
      <c r="DI28" s="1638"/>
      <c r="DJ28" s="1638"/>
      <c r="DK28" s="1638"/>
      <c r="DL28" s="1638"/>
      <c r="DM28" s="1638"/>
      <c r="DN28" s="1638"/>
      <c r="DO28" s="1638"/>
      <c r="DP28" s="1638"/>
      <c r="DQ28" s="1638"/>
      <c r="DR28" s="1638"/>
      <c r="DS28" s="1638"/>
      <c r="DT28" s="1638"/>
      <c r="DU28" s="1638"/>
      <c r="DV28" s="1638"/>
      <c r="DW28" s="1638"/>
      <c r="DX28" s="1638"/>
      <c r="DY28" s="1638"/>
      <c r="DZ28" s="1638"/>
      <c r="EA28" s="1638"/>
      <c r="EB28" s="1638"/>
      <c r="EC28" s="1638"/>
      <c r="ED28" s="1638"/>
      <c r="EE28" s="1638"/>
      <c r="EF28" s="1638"/>
      <c r="EG28" s="1638"/>
      <c r="EH28" s="1638"/>
      <c r="EI28" s="1638"/>
      <c r="EJ28" s="1638"/>
      <c r="EK28" s="1638"/>
      <c r="EL28" s="1638"/>
      <c r="EM28" s="1638"/>
      <c r="EN28" s="1638"/>
      <c r="EO28" s="1638"/>
      <c r="EP28" s="1638"/>
      <c r="EQ28" s="1638"/>
      <c r="ER28" s="1638"/>
      <c r="ES28" s="1638"/>
      <c r="ET28" s="1638"/>
      <c r="EU28" s="1638"/>
      <c r="EV28" s="1638"/>
      <c r="EW28" s="1638"/>
      <c r="EX28" s="1638"/>
      <c r="EY28" s="1638"/>
      <c r="EZ28" s="1638"/>
      <c r="FA28" s="1638"/>
      <c r="FB28" s="1638"/>
      <c r="FC28" s="1638"/>
      <c r="FD28" s="1638"/>
      <c r="FE28" s="1638"/>
      <c r="FF28" s="1638"/>
      <c r="FG28" s="1638"/>
      <c r="FH28" s="1638"/>
      <c r="FI28" s="1638"/>
      <c r="FJ28" s="1638"/>
      <c r="FK28" s="1638"/>
      <c r="FL28" s="1638"/>
      <c r="FM28" s="1638"/>
      <c r="FN28" s="1638"/>
      <c r="FO28" s="1638"/>
      <c r="FP28" s="1638"/>
      <c r="FQ28" s="1638"/>
      <c r="FR28" s="1638"/>
      <c r="FS28" s="1638"/>
      <c r="FT28" s="1638"/>
      <c r="FU28" s="1638"/>
      <c r="FV28" s="1638"/>
      <c r="FW28" s="1638"/>
      <c r="FX28" s="1638"/>
      <c r="FY28" s="1638"/>
      <c r="FZ28" s="1638"/>
      <c r="GA28" s="1638"/>
      <c r="GB28" s="1638"/>
      <c r="GC28" s="1638"/>
      <c r="GD28" s="1638"/>
      <c r="GE28" s="1638"/>
      <c r="GF28" s="1638"/>
      <c r="GG28" s="1638"/>
      <c r="GH28" s="1638"/>
      <c r="GI28" s="1638"/>
      <c r="GJ28" s="1638"/>
      <c r="GK28" s="1638"/>
      <c r="GL28" s="1638"/>
      <c r="GM28" s="1638"/>
      <c r="GN28" s="1638"/>
      <c r="GO28" s="1638"/>
      <c r="GP28" s="1638"/>
      <c r="GQ28" s="1638"/>
      <c r="GR28" s="1638"/>
      <c r="GS28" s="1638"/>
      <c r="GT28" s="1638"/>
      <c r="GU28" s="1638"/>
      <c r="GV28" s="1638"/>
      <c r="GW28" s="1638"/>
      <c r="GX28" s="1638"/>
      <c r="GY28" s="1638"/>
      <c r="GZ28" s="1638"/>
      <c r="HA28" s="1638"/>
      <c r="HB28" s="1638"/>
      <c r="HC28" s="1638"/>
      <c r="HD28" s="1638"/>
      <c r="HE28" s="1638"/>
      <c r="HF28" s="1638"/>
      <c r="HG28" s="1638"/>
      <c r="HH28" s="1638"/>
      <c r="HI28" s="1638"/>
      <c r="HJ28" s="1638"/>
      <c r="HK28" s="1638"/>
      <c r="HL28" s="1638"/>
      <c r="HM28" s="1638"/>
      <c r="HN28" s="1638"/>
      <c r="HO28" s="1638"/>
      <c r="HP28" s="1638"/>
      <c r="HQ28" s="1638"/>
      <c r="HR28" s="1638"/>
      <c r="HS28" s="1638"/>
      <c r="HT28" s="1638"/>
      <c r="HU28" s="1638"/>
      <c r="HV28" s="1638"/>
      <c r="HW28" s="1638"/>
      <c r="HX28" s="1638"/>
      <c r="HY28" s="1638"/>
      <c r="HZ28" s="1638"/>
      <c r="IA28" s="1638"/>
      <c r="IB28" s="1638"/>
      <c r="IC28" s="1638"/>
      <c r="ID28" s="1638"/>
      <c r="IE28" s="1638"/>
      <c r="IF28" s="1638"/>
      <c r="IG28" s="1638"/>
      <c r="IH28" s="1638"/>
      <c r="II28" s="1638"/>
      <c r="IJ28" s="1638"/>
      <c r="IK28" s="1638"/>
      <c r="IL28" s="1638"/>
    </row>
  </sheetData>
  <phoneticPr fontId="143"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J30"/>
  <sheetViews>
    <sheetView workbookViewId="0">
      <selection activeCell="C32" sqref="C32"/>
    </sheetView>
  </sheetViews>
  <sheetFormatPr defaultRowHeight="13.5"/>
  <cols>
    <col min="6" max="6" width="16.5" customWidth="1"/>
    <col min="8" max="8" width="12.25" customWidth="1"/>
    <col min="9" max="9" width="14.5" customWidth="1"/>
  </cols>
  <sheetData>
    <row r="7" spans="4:10">
      <c r="D7" s="2966"/>
      <c r="E7" s="2966"/>
      <c r="F7" s="2967" t="s">
        <v>3123</v>
      </c>
      <c r="G7" s="2967" t="s">
        <v>3124</v>
      </c>
      <c r="H7" s="2967" t="s">
        <v>3125</v>
      </c>
      <c r="I7" s="2967" t="s">
        <v>3126</v>
      </c>
      <c r="J7" s="2967" t="s">
        <v>3138</v>
      </c>
    </row>
    <row r="8" spans="4:10">
      <c r="D8" s="2966">
        <v>1</v>
      </c>
      <c r="E8" s="1275">
        <v>1</v>
      </c>
      <c r="F8" s="2967" t="s">
        <v>3137</v>
      </c>
      <c r="G8" s="2967" t="s">
        <v>3128</v>
      </c>
      <c r="H8" s="2966">
        <v>8.5299999999999994</v>
      </c>
      <c r="I8" s="2968">
        <f>ROUND(1-(2019-2004)/60,2)</f>
        <v>0.75</v>
      </c>
      <c r="J8" s="2968">
        <v>0.9</v>
      </c>
    </row>
    <row r="9" spans="4:10">
      <c r="D9" s="2966">
        <v>3</v>
      </c>
      <c r="E9" s="1275" t="s">
        <v>3103</v>
      </c>
      <c r="F9" s="2967" t="s">
        <v>3137</v>
      </c>
      <c r="G9" s="2967" t="s">
        <v>3128</v>
      </c>
      <c r="H9" s="2966">
        <v>6235.05</v>
      </c>
      <c r="I9" s="2968">
        <f>ROUND(1-(2019-2004)/60,2)</f>
        <v>0.75</v>
      </c>
      <c r="J9" s="2968">
        <v>0.9</v>
      </c>
    </row>
    <row r="10" spans="4:10">
      <c r="D10" s="2966">
        <v>4</v>
      </c>
      <c r="E10" s="1275" t="s">
        <v>3105</v>
      </c>
      <c r="F10" s="2967" t="s">
        <v>3137</v>
      </c>
      <c r="G10" s="2967" t="s">
        <v>3128</v>
      </c>
      <c r="H10" s="2966">
        <v>38.450000000000003</v>
      </c>
      <c r="I10" s="2968">
        <f>ROUND(1-(2019-2004)/60,2)</f>
        <v>0.75</v>
      </c>
      <c r="J10" s="2968">
        <v>0.9</v>
      </c>
    </row>
    <row r="11" spans="4:10">
      <c r="D11" s="2966">
        <v>5</v>
      </c>
      <c r="E11" s="1275" t="s">
        <v>3106</v>
      </c>
      <c r="F11" s="2967" t="s">
        <v>3137</v>
      </c>
      <c r="G11" s="2967" t="s">
        <v>3128</v>
      </c>
      <c r="H11" s="2966">
        <v>159.74</v>
      </c>
      <c r="I11" s="2968">
        <f>ROUND(1-(2019-2004)/60,2)</f>
        <v>0.75</v>
      </c>
      <c r="J11" s="2968">
        <v>0.9</v>
      </c>
    </row>
    <row r="12" spans="4:10" ht="15" customHeight="1">
      <c r="D12" s="2966">
        <v>6</v>
      </c>
      <c r="E12" s="1275" t="s">
        <v>3107</v>
      </c>
      <c r="F12" s="2967" t="s">
        <v>3137</v>
      </c>
      <c r="G12" s="2967" t="s">
        <v>3128</v>
      </c>
      <c r="H12" s="2966">
        <v>3222.12</v>
      </c>
      <c r="I12" s="2968">
        <f>ROUND(1-(2019-2004)/60,2)</f>
        <v>0.75</v>
      </c>
      <c r="J12" s="2968">
        <v>0.9</v>
      </c>
    </row>
    <row r="13" spans="4:10" s="2963" customFormat="1">
      <c r="D13" s="2969">
        <v>7</v>
      </c>
      <c r="E13" s="2964" t="s">
        <v>3110</v>
      </c>
      <c r="F13" s="2970" t="s">
        <v>3137</v>
      </c>
      <c r="G13" s="2970" t="s">
        <v>3130</v>
      </c>
      <c r="H13" s="2969">
        <v>39806.03</v>
      </c>
      <c r="I13" s="2971">
        <f>ROUND(1-(1-2%)*(2019-2004)/70,2)</f>
        <v>0.79</v>
      </c>
      <c r="J13" s="2971">
        <v>0.9</v>
      </c>
    </row>
    <row r="14" spans="4:10" s="2963" customFormat="1">
      <c r="D14" s="2973"/>
      <c r="E14" s="2965"/>
      <c r="F14" s="2974"/>
      <c r="G14" s="2974"/>
      <c r="H14" s="2973">
        <f>SUM(H8:H13)</f>
        <v>49469.919999999998</v>
      </c>
      <c r="I14" s="2975">
        <f>AVERAGE(I8:I13)</f>
        <v>0.75666666666666671</v>
      </c>
      <c r="J14" s="2975">
        <f>AVERAGE(J8:J13)</f>
        <v>0.9</v>
      </c>
    </row>
    <row r="15" spans="4:10" s="2963" customFormat="1">
      <c r="D15" s="2973"/>
      <c r="E15" s="2973"/>
      <c r="F15" s="2973"/>
      <c r="G15" s="2973"/>
      <c r="H15" s="2973"/>
      <c r="I15" s="3323">
        <f>ROUND(I14*0.5+J14*0.5,2)</f>
        <v>0.83</v>
      </c>
      <c r="J15" s="3323"/>
    </row>
    <row r="16" spans="4:10" s="2963" customFormat="1">
      <c r="D16" s="2966">
        <v>2</v>
      </c>
      <c r="E16" s="1275" t="s">
        <v>3102</v>
      </c>
      <c r="F16" s="2967" t="s">
        <v>3137</v>
      </c>
      <c r="G16" s="2967" t="s">
        <v>3128</v>
      </c>
      <c r="H16" s="2966">
        <v>9807.08</v>
      </c>
      <c r="I16" s="2968">
        <f>ROUND(1-(2019-2004)/60,2)</f>
        <v>0.75</v>
      </c>
      <c r="J16" s="2968">
        <v>0.9</v>
      </c>
    </row>
    <row r="17" spans="4:10" s="2963" customFormat="1">
      <c r="D17" s="2969">
        <v>9</v>
      </c>
      <c r="E17" s="2964">
        <v>12</v>
      </c>
      <c r="F17" s="2970" t="s">
        <v>3132</v>
      </c>
      <c r="G17" s="2970" t="s">
        <v>3129</v>
      </c>
      <c r="H17" s="2969">
        <v>70747.490000000005</v>
      </c>
      <c r="I17" s="2971">
        <f>ROUND(1-(2019-2009)/60,2)</f>
        <v>0.83</v>
      </c>
      <c r="J17" s="2971">
        <v>0.95</v>
      </c>
    </row>
    <row r="18" spans="4:10" s="2963" customFormat="1">
      <c r="D18" s="2973"/>
      <c r="E18" s="2965"/>
      <c r="F18" s="2974"/>
      <c r="G18" s="2974"/>
      <c r="H18" s="2974">
        <f>SUM(H16:H17)</f>
        <v>80554.570000000007</v>
      </c>
      <c r="I18" s="2975">
        <f>AVERAGE(I16:I17)</f>
        <v>0.79</v>
      </c>
      <c r="J18" s="2992">
        <f>AVERAGE(J16:J17)</f>
        <v>0.92500000000000004</v>
      </c>
    </row>
    <row r="19" spans="4:10" s="2963" customFormat="1">
      <c r="D19" s="2973"/>
      <c r="E19" s="2965"/>
      <c r="F19" s="2974"/>
      <c r="G19" s="2974"/>
      <c r="H19" s="2973"/>
      <c r="I19" s="3323">
        <f>ROUND(I18*0.5+J18*0.5,2)</f>
        <v>0.86</v>
      </c>
      <c r="J19" s="3323"/>
    </row>
    <row r="20" spans="4:10" s="2963" customFormat="1">
      <c r="D20" s="2969">
        <v>8</v>
      </c>
      <c r="E20" s="2964">
        <v>11</v>
      </c>
      <c r="F20" s="2970" t="s">
        <v>3131</v>
      </c>
      <c r="G20" s="2970" t="s">
        <v>3128</v>
      </c>
      <c r="H20" s="2969">
        <v>3739.47</v>
      </c>
      <c r="I20" s="2971">
        <f>ROUND(1-(2019-2009)/60,2)</f>
        <v>0.83</v>
      </c>
      <c r="J20" s="2971">
        <v>0.9</v>
      </c>
    </row>
    <row r="21" spans="4:10" s="2963" customFormat="1">
      <c r="D21" s="2969">
        <v>10</v>
      </c>
      <c r="E21" s="2964" t="s">
        <v>3111</v>
      </c>
      <c r="F21" s="2970" t="s">
        <v>3133</v>
      </c>
      <c r="G21" s="2970" t="s">
        <v>3128</v>
      </c>
      <c r="H21" s="2969">
        <v>420.62</v>
      </c>
      <c r="I21" s="2971">
        <f>ROUND(1-(2019-2009)/60,2)</f>
        <v>0.83</v>
      </c>
      <c r="J21" s="2971">
        <v>0.9</v>
      </c>
    </row>
    <row r="22" spans="4:10" s="2963" customFormat="1" ht="14.25">
      <c r="D22" s="2969">
        <v>11</v>
      </c>
      <c r="E22" s="2972">
        <v>14</v>
      </c>
      <c r="F22" s="2970" t="s">
        <v>3134</v>
      </c>
      <c r="G22" s="2970" t="s">
        <v>3130</v>
      </c>
      <c r="H22" s="2969">
        <v>192.78</v>
      </c>
      <c r="I22" s="2971">
        <f>ROUND(1-(1-2%)*(2019-2009)/80,2)</f>
        <v>0.88</v>
      </c>
      <c r="J22" s="2971">
        <v>0.9</v>
      </c>
    </row>
    <row r="23" spans="4:10" s="2963" customFormat="1" ht="14.25">
      <c r="D23" s="2969">
        <v>12</v>
      </c>
      <c r="E23" s="2972">
        <v>15</v>
      </c>
      <c r="F23" s="2970" t="s">
        <v>3135</v>
      </c>
      <c r="G23" s="2970" t="s">
        <v>3128</v>
      </c>
      <c r="H23" s="2969">
        <v>23.33</v>
      </c>
      <c r="I23" s="2971">
        <f>ROUND(1-(2019-2009)/60,2)</f>
        <v>0.83</v>
      </c>
      <c r="J23" s="2971">
        <v>0.9</v>
      </c>
    </row>
    <row r="24" spans="4:10" s="2963" customFormat="1" ht="14.25">
      <c r="D24" s="2969">
        <v>13</v>
      </c>
      <c r="E24" s="2972">
        <v>16</v>
      </c>
      <c r="F24" s="2970" t="s">
        <v>3136</v>
      </c>
      <c r="G24" s="2970" t="s">
        <v>3128</v>
      </c>
      <c r="H24" s="2969">
        <v>89.59</v>
      </c>
      <c r="I24" s="2971">
        <f>ROUND(1-(2019-2009)/60,2)</f>
        <v>0.83</v>
      </c>
      <c r="J24" s="2971">
        <v>0.9</v>
      </c>
    </row>
    <row r="25" spans="4:10" s="2963" customFormat="1">
      <c r="D25" s="2973"/>
      <c r="E25" s="2974" t="s">
        <v>3127</v>
      </c>
      <c r="F25" s="2973"/>
      <c r="G25" s="2973"/>
      <c r="H25" s="2973">
        <f>SUM(H16:H17)</f>
        <v>80554.570000000007</v>
      </c>
      <c r="I25" s="2975">
        <f>AVERAGE(I13:I24:I24)</f>
        <v>0.81722222222222241</v>
      </c>
      <c r="J25" s="2975">
        <f>AVERAGE(J16:J24)</f>
        <v>0.90937500000000016</v>
      </c>
    </row>
    <row r="26" spans="4:10" s="2963" customFormat="1">
      <c r="D26" s="2973"/>
      <c r="E26" s="2973"/>
      <c r="F26" s="2973"/>
      <c r="G26" s="2973"/>
      <c r="H26" s="2973"/>
      <c r="I26" s="3323">
        <f>ROUND(I25*0.5+J25*0.5,2)</f>
        <v>0.86</v>
      </c>
      <c r="J26" s="3323"/>
    </row>
    <row r="27" spans="4:10" s="2963" customFormat="1"/>
    <row r="29" spans="4:10">
      <c r="D29" s="2976"/>
      <c r="E29" s="2976"/>
      <c r="F29" s="2976"/>
      <c r="G29" s="2976"/>
      <c r="H29" s="2976"/>
      <c r="I29" s="2976"/>
      <c r="J29" s="2976"/>
    </row>
    <row r="30" spans="4:10">
      <c r="D30" s="2976"/>
      <c r="E30" s="2976"/>
      <c r="F30" s="2976"/>
      <c r="G30" s="2976"/>
      <c r="H30" s="2976"/>
      <c r="I30" s="2976"/>
      <c r="J30" s="2976"/>
    </row>
  </sheetData>
  <mergeCells count="3">
    <mergeCell ref="I26:J26"/>
    <mergeCell ref="I15:J15"/>
    <mergeCell ref="I19:J19"/>
  </mergeCells>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8" customWidth="1"/>
    <col min="2" max="9" width="12.125" style="1948" customWidth="1"/>
    <col min="10" max="16384" width="9" style="1948"/>
  </cols>
  <sheetData>
    <row r="1" spans="1:9" ht="18.75" thickBot="1">
      <c r="A1" s="3013" t="str">
        <f>IF(项目基本情况!B9="房地产市场价值","估价结果一览表","结果表-2")</f>
        <v>结果表-2</v>
      </c>
      <c r="B1" s="3013"/>
      <c r="C1" s="3013"/>
      <c r="D1" s="3013"/>
      <c r="E1" s="3013"/>
      <c r="F1" s="3013"/>
      <c r="G1" s="3013"/>
      <c r="H1" s="3013"/>
      <c r="I1" s="3013"/>
    </row>
    <row r="2" spans="1:9" ht="30" customHeight="1" thickTop="1">
      <c r="A2" s="3014" t="s">
        <v>1637</v>
      </c>
      <c r="B2" s="3014" t="s">
        <v>1638</v>
      </c>
      <c r="C2" s="3014" t="s">
        <v>1639</v>
      </c>
      <c r="D2" s="3014" t="str">
        <f>结果表!D116</f>
        <v>出让国有建设用地使用权价值</v>
      </c>
      <c r="E2" s="3014"/>
      <c r="F2" s="3014" t="str">
        <f>结果表!F116</f>
        <v>建筑物价值</v>
      </c>
      <c r="G2" s="3014"/>
      <c r="H2" s="3014" t="str">
        <f>IF(项目基本情况!B9="房地产市场价值","房地产市场价值","房地产价值")</f>
        <v>房地产价值</v>
      </c>
      <c r="I2" s="3014"/>
    </row>
    <row r="3" spans="1:9" ht="15">
      <c r="A3" s="3008"/>
      <c r="B3" s="3008"/>
      <c r="C3" s="3008"/>
      <c r="D3" s="1047" t="s">
        <v>1634</v>
      </c>
      <c r="E3" s="1047" t="s">
        <v>1640</v>
      </c>
      <c r="F3" s="1047" t="s">
        <v>1634</v>
      </c>
      <c r="G3" s="1047" t="s">
        <v>1635</v>
      </c>
      <c r="H3" s="1047" t="s">
        <v>1634</v>
      </c>
      <c r="I3" s="1047" t="s">
        <v>1635</v>
      </c>
    </row>
    <row r="4" spans="1:9" ht="45">
      <c r="A4" s="1976" t="str">
        <f>项目基本情况!S2</f>
        <v>北京市北京经济技术开发区东环中路5号11幢等6幢楼工业用房房地产</v>
      </c>
      <c r="B4" s="1047">
        <f>项目基本情况!C17</f>
        <v>134490.28</v>
      </c>
      <c r="C4" s="1047">
        <f>项目基本情况!C18</f>
        <v>109852.9</v>
      </c>
      <c r="D4" s="1047">
        <f ca="1">结果表!D118</f>
        <v>37852</v>
      </c>
      <c r="E4" s="1047">
        <f ca="1">结果表!E118</f>
        <v>2814</v>
      </c>
      <c r="F4" s="1047">
        <f ca="1">结果表!F118</f>
        <v>87902</v>
      </c>
      <c r="G4" s="1047">
        <f ca="1">结果表!G118</f>
        <v>6536</v>
      </c>
      <c r="H4" s="1047">
        <f ca="1">结果表!H118</f>
        <v>125754</v>
      </c>
      <c r="I4" s="1047">
        <f ca="1">结果表!I118</f>
        <v>9350</v>
      </c>
    </row>
    <row r="5" spans="1:9" ht="30" customHeight="1">
      <c r="A5" s="3008" t="s">
        <v>1636</v>
      </c>
      <c r="B5" s="3008"/>
      <c r="C5" s="3008"/>
      <c r="D5" s="3009" t="str">
        <f ca="1">结果表!D119</f>
        <v>叁亿柒仟捌佰伍拾贰万元整</v>
      </c>
      <c r="E5" s="3009"/>
      <c r="F5" s="3009" t="str">
        <f ca="1">结果表!F119</f>
        <v>捌亿柒仟玖佰零贰万元整</v>
      </c>
      <c r="G5" s="3009"/>
      <c r="H5" s="3009" t="str">
        <f ca="1">结果表!H119</f>
        <v>壹拾贰亿伍仟柒佰伍拾肆万元整</v>
      </c>
      <c r="I5" s="3009"/>
    </row>
    <row r="6" spans="1:9" ht="15.75">
      <c r="A6" s="3007" t="str">
        <f>结果表!A120</f>
        <v>估价师知悉的法定优先受偿款</v>
      </c>
      <c r="B6" s="3007"/>
      <c r="C6" s="3007"/>
      <c r="D6" s="3007">
        <f>结果表!D120</f>
        <v>0</v>
      </c>
      <c r="E6" s="3007"/>
      <c r="F6" s="3007"/>
      <c r="G6" s="3007"/>
      <c r="H6" s="3007"/>
      <c r="I6" s="3007"/>
    </row>
    <row r="7" spans="1:9" ht="15">
      <c r="A7" s="3008" t="s">
        <v>1636</v>
      </c>
      <c r="B7" s="3008"/>
      <c r="C7" s="3008"/>
      <c r="D7" s="3010" t="str">
        <f>结果表!D121</f>
        <v>零元整</v>
      </c>
      <c r="E7" s="3011"/>
      <c r="F7" s="3011"/>
      <c r="G7" s="3011"/>
      <c r="H7" s="3011"/>
      <c r="I7" s="3012"/>
    </row>
    <row r="8" spans="1:9" ht="15.75">
      <c r="A8" s="3007" t="str">
        <f>结果表!A122</f>
        <v>房地产抵押价值</v>
      </c>
      <c r="B8" s="3007"/>
      <c r="C8" s="3007"/>
      <c r="D8" s="3007">
        <f ca="1">结果表!D122</f>
        <v>125754</v>
      </c>
      <c r="E8" s="3007"/>
      <c r="F8" s="3007"/>
      <c r="G8" s="3007"/>
      <c r="H8" s="3007"/>
      <c r="I8" s="3007"/>
    </row>
    <row r="9" spans="1:9" ht="15">
      <c r="A9" s="3008" t="s">
        <v>1636</v>
      </c>
      <c r="B9" s="3008"/>
      <c r="C9" s="3008"/>
      <c r="D9" s="3009" t="str">
        <f ca="1">结果表!D123</f>
        <v>壹拾贰亿伍仟柒佰伍拾肆万元整</v>
      </c>
      <c r="E9" s="3009"/>
      <c r="F9" s="3009"/>
      <c r="G9" s="3009"/>
      <c r="H9" s="3009"/>
      <c r="I9" s="3009"/>
    </row>
    <row r="10" spans="1:9" ht="15.75">
      <c r="A10" s="3007" t="str">
        <f>结果表!A124</f>
        <v/>
      </c>
      <c r="B10" s="3007"/>
      <c r="C10" s="3007"/>
      <c r="D10" s="3007" t="str">
        <f>结果表!D124</f>
        <v>——</v>
      </c>
      <c r="E10" s="3007"/>
      <c r="F10" s="3007"/>
      <c r="G10" s="3007"/>
      <c r="H10" s="3007"/>
      <c r="I10" s="3007"/>
    </row>
    <row r="11" spans="1:9" ht="15">
      <c r="A11" s="3008" t="s">
        <v>1636</v>
      </c>
      <c r="B11" s="3008"/>
      <c r="C11" s="3008"/>
      <c r="D11" s="3009" t="e">
        <f>结果表!D125</f>
        <v>#VALUE!</v>
      </c>
      <c r="E11" s="3009"/>
      <c r="F11" s="3009"/>
      <c r="G11" s="3009"/>
      <c r="H11" s="3009"/>
      <c r="I11" s="3009"/>
    </row>
    <row r="12" spans="1:9" ht="15.75">
      <c r="A12" s="3007" t="str">
        <f>结果表!A126</f>
        <v/>
      </c>
      <c r="B12" s="3007"/>
      <c r="C12" s="3007"/>
      <c r="D12" s="3007" t="str">
        <f>结果表!D126</f>
        <v>——</v>
      </c>
      <c r="E12" s="3007"/>
      <c r="F12" s="3007"/>
      <c r="G12" s="3007"/>
      <c r="H12" s="3007"/>
      <c r="I12" s="3007"/>
    </row>
    <row r="13" spans="1:9" ht="15.75" thickBot="1">
      <c r="A13" s="3004" t="s">
        <v>1636</v>
      </c>
      <c r="B13" s="3004"/>
      <c r="C13" s="3004"/>
      <c r="D13" s="3005" t="e">
        <f>结果表!D127</f>
        <v>#VALUE!</v>
      </c>
      <c r="E13" s="3005"/>
      <c r="F13" s="3005"/>
      <c r="G13" s="3005"/>
      <c r="H13" s="3005"/>
      <c r="I13" s="3005"/>
    </row>
    <row r="14" spans="1:9" ht="15" thickTop="1">
      <c r="A14" s="3006" t="s">
        <v>1641</v>
      </c>
      <c r="B14" s="3006"/>
      <c r="C14" s="3006"/>
      <c r="D14" s="3006"/>
      <c r="E14" s="3006"/>
      <c r="F14" s="3006"/>
      <c r="G14" s="3006"/>
      <c r="H14" s="3006"/>
      <c r="I14" s="3006"/>
    </row>
    <row r="16" spans="1:9" ht="18.75">
      <c r="A16" s="1977" t="s">
        <v>1624</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8" customWidth="1"/>
    <col min="2" max="3" width="22.375" style="1948" customWidth="1"/>
    <col min="4" max="4" width="23" style="1948" customWidth="1"/>
    <col min="5" max="16384" width="9" style="1948"/>
  </cols>
  <sheetData>
    <row r="1" spans="1:4" ht="18.75">
      <c r="A1" s="3021" t="s">
        <v>1658</v>
      </c>
      <c r="B1" s="3021"/>
      <c r="C1" s="3021"/>
      <c r="D1" s="3021"/>
    </row>
    <row r="2" spans="1:4" ht="18">
      <c r="A2" s="3022" t="s">
        <v>1642</v>
      </c>
      <c r="B2" s="3022"/>
      <c r="C2" s="3022"/>
      <c r="D2" s="3022"/>
    </row>
    <row r="3" spans="1:4" ht="18.75">
      <c r="A3" s="1980" t="s">
        <v>1643</v>
      </c>
      <c r="B3" s="1980" t="s">
        <v>1644</v>
      </c>
      <c r="C3" s="1980" t="s">
        <v>1645</v>
      </c>
      <c r="D3" s="1980" t="s">
        <v>1646</v>
      </c>
    </row>
    <row r="4" spans="1:4" ht="56.25" customHeight="1">
      <c r="A4" s="1981" t="str">
        <f>项目基本情况!B4</f>
        <v>崔锴</v>
      </c>
      <c r="B4" s="1982">
        <f ca="1">项目基本情况!C4</f>
        <v>1120100036</v>
      </c>
      <c r="C4" s="1983"/>
      <c r="D4" s="1984" t="s">
        <v>1647</v>
      </c>
    </row>
    <row r="5" spans="1:4" ht="56.25" customHeight="1">
      <c r="A5" s="1981" t="str">
        <f>项目基本情况!D4</f>
        <v>郑燚</v>
      </c>
      <c r="B5" s="1982">
        <f ca="1">项目基本情况!E4</f>
        <v>1120070131</v>
      </c>
      <c r="C5" s="1985"/>
      <c r="D5" s="1984" t="s">
        <v>1647</v>
      </c>
    </row>
    <row r="6" spans="1:4" ht="18">
      <c r="A6" s="3022" t="s">
        <v>1648</v>
      </c>
      <c r="B6" s="3022"/>
      <c r="C6" s="3022"/>
      <c r="D6" s="3022"/>
    </row>
    <row r="7" spans="1:4" ht="18.75">
      <c r="A7" s="1980" t="s">
        <v>1643</v>
      </c>
      <c r="B7" s="1982" t="s">
        <v>1649</v>
      </c>
      <c r="C7" s="1980" t="s">
        <v>1645</v>
      </c>
      <c r="D7" s="1980" t="s">
        <v>1646</v>
      </c>
    </row>
    <row r="8" spans="1:4" ht="56.25" customHeight="1">
      <c r="A8" s="1986" t="s">
        <v>866</v>
      </c>
      <c r="B8" s="1986" t="s">
        <v>1</v>
      </c>
      <c r="C8" s="1983"/>
      <c r="D8" s="1984" t="s">
        <v>1647</v>
      </c>
    </row>
    <row r="9" spans="1:4">
      <c r="A9" s="728"/>
      <c r="B9" s="728"/>
      <c r="C9" s="728"/>
      <c r="D9" s="728"/>
    </row>
    <row r="10" spans="1:4" ht="18.75">
      <c r="A10" s="1987" t="s">
        <v>1650</v>
      </c>
      <c r="B10" s="728"/>
      <c r="C10" s="728"/>
      <c r="D10" s="728"/>
    </row>
    <row r="11" spans="1:4" ht="30" customHeight="1">
      <c r="A11" s="3023" t="s">
        <v>1651</v>
      </c>
      <c r="B11" s="3015"/>
      <c r="C11" s="3015"/>
      <c r="D11" s="3015"/>
    </row>
    <row r="12" spans="1:4" ht="15.75">
      <c r="A12" s="301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20"/>
      <c r="C12" s="3020"/>
      <c r="D12" s="3020"/>
    </row>
    <row r="13" spans="1:4" ht="30" customHeight="1">
      <c r="A13" s="301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20"/>
      <c r="C13" s="3020"/>
      <c r="D13" s="3020"/>
    </row>
    <row r="14" spans="1:4" ht="15.75" customHeight="1">
      <c r="A14" s="3015" t="str">
        <f>IF(项目基本情况!B8="抵押","4.本次评估估价师所知悉的法定优先受偿款情况说明如下：","——")</f>
        <v>4.本次评估估价师所知悉的法定优先受偿款情况说明如下：</v>
      </c>
      <c r="B14" s="3020"/>
      <c r="C14" s="3020"/>
      <c r="D14" s="3020"/>
    </row>
    <row r="15" spans="1:4" ht="42" customHeight="1">
      <c r="A15" s="3015" t="str">
        <f>IF(项目基本情况!B8="抵押","（1）"&amp;CONCATENATE(项目基本情况!L20,项目基本情况!L21,项目基本情况!L22),"——")</f>
        <v>（1）根据估价对象《不动产权证书》原件，截至价值时点，估价对象抵押权未见登记。</v>
      </c>
      <c r="B15" s="3015"/>
      <c r="C15" s="3015"/>
      <c r="D15" s="3015"/>
    </row>
    <row r="16" spans="1:4" ht="30" customHeight="1">
      <c r="A16" s="3017" t="s">
        <v>1652</v>
      </c>
      <c r="B16" s="3017"/>
      <c r="C16" s="3017"/>
      <c r="D16" s="3017"/>
    </row>
    <row r="17" spans="1:4" ht="144" customHeight="1">
      <c r="A17" s="3017" t="s">
        <v>1653</v>
      </c>
      <c r="B17" s="3017"/>
      <c r="C17" s="3017"/>
      <c r="D17" s="3017"/>
    </row>
    <row r="18" spans="1:4" ht="15.75" customHeight="1">
      <c r="A18" s="3015" t="str">
        <f>IF(项目基本情况!B8="抵押",结果表!K120,"——")</f>
        <v>故，本次评估不存在估价师知悉的法定优先受偿款</v>
      </c>
      <c r="B18" s="3015"/>
      <c r="C18" s="3015"/>
      <c r="D18" s="3015"/>
    </row>
    <row r="19" spans="1:4" ht="46.5" customHeight="1">
      <c r="A19" s="301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15"/>
      <c r="C19" s="3015"/>
      <c r="D19" s="3015"/>
    </row>
    <row r="20" spans="1:4" ht="57.75" customHeight="1">
      <c r="A20" s="301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15"/>
      <c r="C20" s="3015"/>
      <c r="D20" s="3015"/>
    </row>
    <row r="21" spans="1:4" ht="57.75" customHeight="1">
      <c r="A21" s="301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18"/>
      <c r="C21" s="3018"/>
      <c r="D21" s="3018"/>
    </row>
    <row r="22" spans="1:4" ht="18.75" customHeight="1">
      <c r="A22" s="3019" t="s">
        <v>1654</v>
      </c>
      <c r="B22" s="3019"/>
      <c r="C22" s="3019"/>
      <c r="D22" s="3019"/>
    </row>
    <row r="23" spans="1:4">
      <c r="A23" s="1988"/>
      <c r="B23" s="1960"/>
      <c r="C23" s="1960"/>
      <c r="D23" s="1960"/>
    </row>
    <row r="24" spans="1:4">
      <c r="A24" s="1988"/>
      <c r="B24" s="1960"/>
      <c r="C24" s="1960"/>
      <c r="D24" s="1960"/>
    </row>
    <row r="25" spans="1:4" ht="18.75">
      <c r="A25" s="1989" t="s">
        <v>1655</v>
      </c>
    </row>
    <row r="26" spans="1:4" ht="18">
      <c r="A26" s="1958"/>
    </row>
    <row r="27" spans="1:4" ht="18.75">
      <c r="A27" s="1958" t="s">
        <v>1656</v>
      </c>
    </row>
    <row r="30" spans="1:4" ht="18.75">
      <c r="D30" s="1989" t="s">
        <v>1657</v>
      </c>
    </row>
    <row r="31" spans="1:4" ht="13.5" customHeight="1">
      <c r="C31" s="3016">
        <v>42551</v>
      </c>
      <c r="D31" s="301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6" customWidth="1"/>
    <col min="3" max="10" width="12.5" style="1946" customWidth="1"/>
    <col min="11" max="16384" width="9" style="1946"/>
  </cols>
  <sheetData>
    <row r="1" spans="1:10" ht="18.75">
      <c r="A1" s="1979" t="s">
        <v>867</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7" sqref="B17:B19"/>
      <selection pane="bottomLeft" activeCell="B17" sqref="B17:B19"/>
    </sheetView>
  </sheetViews>
  <sheetFormatPr defaultColWidth="14.5" defaultRowHeight="14.25"/>
  <cols>
    <col min="1" max="1" width="14.5" style="1996" customWidth="1"/>
    <col min="2" max="16384" width="14.5" style="1978"/>
  </cols>
  <sheetData>
    <row r="1" spans="1:7" s="1993" customFormat="1" ht="18.75">
      <c r="A1" s="1992" t="s">
        <v>1659</v>
      </c>
    </row>
    <row r="3" spans="1:7">
      <c r="A3" s="1994" t="s">
        <v>82</v>
      </c>
      <c r="B3" s="1978" t="s">
        <v>1660</v>
      </c>
      <c r="G3" s="1995"/>
    </row>
    <row r="4" spans="1:7">
      <c r="G4" s="1995"/>
    </row>
    <row r="5" spans="1:7">
      <c r="A5" s="1997" t="s">
        <v>73</v>
      </c>
      <c r="B5" s="1978" t="s">
        <v>1661</v>
      </c>
      <c r="G5" s="1995"/>
    </row>
    <row r="6" spans="1:7">
      <c r="G6" s="1995"/>
    </row>
    <row r="7" spans="1:7">
      <c r="A7" s="1998" t="s">
        <v>135</v>
      </c>
      <c r="B7" s="1978" t="s">
        <v>1662</v>
      </c>
      <c r="G7" s="1995"/>
    </row>
    <row r="8" spans="1:7">
      <c r="G8" s="1995"/>
    </row>
    <row r="9" spans="1:7">
      <c r="A9" s="1999" t="s">
        <v>74</v>
      </c>
      <c r="B9" s="1978" t="s">
        <v>1663</v>
      </c>
    </row>
    <row r="11" spans="1:7">
      <c r="A11" s="2000" t="s">
        <v>75</v>
      </c>
      <c r="B11" s="2001" t="s">
        <v>72</v>
      </c>
    </row>
    <row r="13" spans="1:7">
      <c r="A13" s="2002" t="s">
        <v>1664</v>
      </c>
    </row>
    <row r="15" spans="1:7" ht="13.5">
      <c r="A15" s="3029" t="s">
        <v>1665</v>
      </c>
      <c r="B15" s="3024" t="s">
        <v>136</v>
      </c>
      <c r="C15" s="3025"/>
    </row>
    <row r="16" spans="1:7" ht="13.5">
      <c r="A16" s="3030"/>
      <c r="B16" s="3024" t="s">
        <v>69</v>
      </c>
      <c r="C16" s="3025"/>
    </row>
    <row r="17" spans="1:3" ht="13.5">
      <c r="A17" s="3030"/>
      <c r="B17" s="3027" t="s">
        <v>1666</v>
      </c>
      <c r="C17" s="2003" t="s">
        <v>1665</v>
      </c>
    </row>
    <row r="18" spans="1:3" ht="13.5">
      <c r="A18" s="3030"/>
      <c r="B18" s="3027"/>
      <c r="C18" s="2003" t="s">
        <v>1667</v>
      </c>
    </row>
    <row r="19" spans="1:3" ht="13.5">
      <c r="A19" s="3030"/>
      <c r="B19" s="3027"/>
      <c r="C19" s="2003" t="s">
        <v>1668</v>
      </c>
    </row>
    <row r="20" spans="1:3" ht="13.5">
      <c r="A20" s="3031"/>
      <c r="B20" s="3026" t="s">
        <v>1669</v>
      </c>
      <c r="C20" s="3025"/>
    </row>
    <row r="21" spans="1:3" ht="13.5">
      <c r="A21" s="2004" t="s">
        <v>1670</v>
      </c>
      <c r="B21" s="2005"/>
      <c r="C21" s="2006"/>
    </row>
    <row r="22" spans="1:3" ht="13.5">
      <c r="A22" s="3028" t="s">
        <v>1671</v>
      </c>
      <c r="B22" s="3026" t="s">
        <v>1672</v>
      </c>
      <c r="C22" s="3025"/>
    </row>
    <row r="23" spans="1:3" ht="13.5">
      <c r="A23" s="3028"/>
      <c r="B23" s="3026" t="s">
        <v>1673</v>
      </c>
      <c r="C23" s="3025"/>
    </row>
    <row r="24" spans="1:3" ht="13.5">
      <c r="A24" s="3028"/>
      <c r="B24" s="3026" t="s">
        <v>1674</v>
      </c>
      <c r="C24" s="3025"/>
    </row>
    <row r="25" spans="1:3" ht="13.5">
      <c r="A25" s="3028"/>
      <c r="B25" s="3027" t="s">
        <v>1675</v>
      </c>
      <c r="C25" s="2003" t="s">
        <v>1676</v>
      </c>
    </row>
    <row r="26" spans="1:3" ht="13.5">
      <c r="A26" s="3028"/>
      <c r="B26" s="3027"/>
      <c r="C26" s="2003" t="s">
        <v>1677</v>
      </c>
    </row>
    <row r="27" spans="1:3" ht="13.5">
      <c r="A27" s="3028"/>
      <c r="B27" s="3027"/>
      <c r="C27" s="2003" t="s">
        <v>1678</v>
      </c>
    </row>
    <row r="28" spans="1:3" ht="13.5">
      <c r="A28" s="3028"/>
      <c r="B28" s="3027"/>
      <c r="C28" s="2003" t="s">
        <v>1679</v>
      </c>
    </row>
    <row r="29" spans="1:3" ht="13.5">
      <c r="A29" s="3028"/>
      <c r="B29" s="3027"/>
      <c r="C29" s="2003" t="s">
        <v>1680</v>
      </c>
    </row>
    <row r="30" spans="1:3" ht="13.5">
      <c r="A30" s="3028"/>
      <c r="B30" s="3027"/>
      <c r="C30" s="2003" t="s">
        <v>1681</v>
      </c>
    </row>
    <row r="31" spans="1:3" ht="13.5">
      <c r="A31" s="3028"/>
      <c r="B31" s="3027"/>
      <c r="C31" s="2003" t="s">
        <v>1682</v>
      </c>
    </row>
    <row r="32" spans="1:3" ht="13.5">
      <c r="A32" s="3028"/>
      <c r="B32" s="3027"/>
      <c r="C32" s="2003" t="s">
        <v>1683</v>
      </c>
    </row>
    <row r="33" spans="1:3" ht="13.5">
      <c r="A33" s="3028"/>
      <c r="B33" s="3027"/>
      <c r="C33" s="2003" t="s">
        <v>1684</v>
      </c>
    </row>
    <row r="34" spans="1:3">
      <c r="A34" s="2007" t="s">
        <v>76</v>
      </c>
    </row>
    <row r="37" spans="1:3">
      <c r="A37" s="2007" t="s">
        <v>1685</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7" sqref="B17:B1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43535</v>
      </c>
      <c r="C2" s="1022" t="s">
        <v>826</v>
      </c>
      <c r="D2" s="1022"/>
    </row>
    <row r="3" spans="1:6" ht="24" customHeight="1">
      <c r="A3" s="1023" t="s">
        <v>827</v>
      </c>
      <c r="B3" s="1024" t="s">
        <v>828</v>
      </c>
      <c r="C3" s="2347" t="s">
        <v>829</v>
      </c>
      <c r="D3" s="2350" t="s">
        <v>830</v>
      </c>
      <c r="E3" s="1025" t="s">
        <v>831</v>
      </c>
      <c r="F3" s="1024" t="s">
        <v>829</v>
      </c>
    </row>
    <row r="4" spans="1:6" ht="24" customHeight="1">
      <c r="A4" s="1705" t="s">
        <v>832</v>
      </c>
      <c r="B4" s="1025">
        <f ca="1">IF(C4&lt;B2,"已过期",1119970066)</f>
        <v>1119970066</v>
      </c>
      <c r="C4" s="2348">
        <v>43849</v>
      </c>
      <c r="D4" s="2351" t="s">
        <v>832</v>
      </c>
      <c r="E4" s="1025">
        <f ca="1">IF(F4&lt;B2,"已过期",96010014)</f>
        <v>96010014</v>
      </c>
      <c r="F4" s="1033">
        <v>47118</v>
      </c>
    </row>
    <row r="5" spans="1:6" ht="24" customHeight="1">
      <c r="A5" s="1705" t="s">
        <v>833</v>
      </c>
      <c r="B5" s="1025">
        <f ca="1">IF(C5&lt;B2,"已过期",1119970074)</f>
        <v>1119970074</v>
      </c>
      <c r="C5" s="2348">
        <v>43849</v>
      </c>
      <c r="D5" s="2351" t="s">
        <v>833</v>
      </c>
      <c r="E5" s="1025">
        <f ca="1">IF(F5&lt;B2,"已过期",2002110027)</f>
        <v>2002110027</v>
      </c>
      <c r="F5" s="1033">
        <v>46752</v>
      </c>
    </row>
    <row r="6" spans="1:6" ht="24" customHeight="1">
      <c r="A6" s="1705" t="s">
        <v>834</v>
      </c>
      <c r="B6" s="1025">
        <f ca="1">IF(C6&lt;B2,"已过期",1119970111)</f>
        <v>1119970111</v>
      </c>
      <c r="C6" s="2348">
        <v>43849</v>
      </c>
      <c r="D6" s="2351" t="s">
        <v>834</v>
      </c>
      <c r="E6" s="1025">
        <f ca="1">IF(F6&lt;B2,"已过期",94010078)</f>
        <v>94010078</v>
      </c>
      <c r="F6" s="1033">
        <v>46387</v>
      </c>
    </row>
    <row r="7" spans="1:6" ht="24" customHeight="1">
      <c r="A7" s="1705" t="s">
        <v>835</v>
      </c>
      <c r="B7" s="1025">
        <f ca="1">IF(C7&lt;B2,"已过期",1120050019)</f>
        <v>1120050019</v>
      </c>
      <c r="C7" s="2348">
        <v>44395</v>
      </c>
      <c r="D7" s="2351" t="s">
        <v>835</v>
      </c>
      <c r="E7" s="1025">
        <f ca="1">IF(F7&lt;B2,"已过期",2002110030)</f>
        <v>2002110030</v>
      </c>
      <c r="F7" s="1033">
        <v>46387</v>
      </c>
    </row>
    <row r="8" spans="1:6" ht="24" customHeight="1">
      <c r="A8" s="1705" t="s">
        <v>836</v>
      </c>
      <c r="B8" s="1025">
        <f ca="1">IF(C8&lt;B2,"已过期",1120000080)</f>
        <v>1120000080</v>
      </c>
      <c r="C8" s="2348">
        <v>43849</v>
      </c>
      <c r="D8" s="2351" t="s">
        <v>836</v>
      </c>
      <c r="E8" s="1025">
        <f ca="1">IF(F8&lt;B2,"已过期",2000110082)</f>
        <v>2000110082</v>
      </c>
      <c r="F8" s="1033">
        <v>46387</v>
      </c>
    </row>
    <row r="9" spans="1:6" ht="24" customHeight="1">
      <c r="A9" s="1705" t="s">
        <v>837</v>
      </c>
      <c r="B9" s="1025">
        <f ca="1">IF(C9&lt;B2,"已过期",1419970001)</f>
        <v>1419970001</v>
      </c>
      <c r="C9" s="2348">
        <v>43867</v>
      </c>
      <c r="D9" s="2351" t="s">
        <v>837</v>
      </c>
      <c r="E9" s="1025">
        <f ca="1">IF(F9&lt;B2,"已过期",2002110125)</f>
        <v>2002110125</v>
      </c>
      <c r="F9" s="1033">
        <v>47118</v>
      </c>
    </row>
    <row r="10" spans="1:6" ht="24" customHeight="1">
      <c r="A10" s="1705" t="s">
        <v>838</v>
      </c>
      <c r="B10" s="1025" t="str">
        <f ca="1">IF(C10&lt;B2,"已过期",1120060040)</f>
        <v>已过期</v>
      </c>
      <c r="C10" s="2348">
        <v>43483</v>
      </c>
      <c r="D10" s="2351" t="s">
        <v>838</v>
      </c>
      <c r="E10" s="1025">
        <f ca="1">IF(F10&lt;B2,"已过期",2004110096)</f>
        <v>2004110096</v>
      </c>
      <c r="F10" s="1033">
        <v>47118</v>
      </c>
    </row>
    <row r="11" spans="1:6" ht="24" customHeight="1">
      <c r="A11" s="1705" t="s">
        <v>839</v>
      </c>
      <c r="B11" s="1025">
        <f ca="1">IF(C11&lt;B2,"已过期",1120100036)</f>
        <v>1120100036</v>
      </c>
      <c r="C11" s="2348">
        <v>43622</v>
      </c>
      <c r="D11" s="2351" t="s">
        <v>839</v>
      </c>
      <c r="E11" s="1025">
        <f ca="1">IF(F11&lt;B2,"已过期",2010110070)</f>
        <v>2010110070</v>
      </c>
      <c r="F11" s="1033">
        <v>47907</v>
      </c>
    </row>
    <row r="12" spans="1:6" ht="24" customHeight="1">
      <c r="A12" s="1705"/>
      <c r="B12" s="1025"/>
      <c r="C12" s="2938"/>
      <c r="D12" s="1705"/>
      <c r="E12" s="1025"/>
      <c r="F12" s="1033"/>
    </row>
    <row r="13" spans="1:6" ht="24" customHeight="1">
      <c r="A13" s="1705" t="s">
        <v>840</v>
      </c>
      <c r="B13" s="1025">
        <f ca="1">IF(C13&lt;B2,"已过期",1120070131)</f>
        <v>1120070131</v>
      </c>
      <c r="C13" s="2348">
        <v>43814</v>
      </c>
      <c r="D13" s="2351" t="s">
        <v>840</v>
      </c>
      <c r="E13" s="1025">
        <f ca="1">IF(F13&lt;B2,"已过期",2014110011)</f>
        <v>2014110011</v>
      </c>
      <c r="F13" s="1033">
        <v>49302</v>
      </c>
    </row>
    <row r="14" spans="1:6" ht="24" customHeight="1">
      <c r="A14" s="1705" t="s">
        <v>3037</v>
      </c>
      <c r="B14" s="1025">
        <f ca="1">IF(C14&lt;B2,"已过期",1120040230)</f>
        <v>1120040230</v>
      </c>
      <c r="C14" s="2348">
        <v>43835</v>
      </c>
      <c r="D14" s="2351" t="s">
        <v>3037</v>
      </c>
      <c r="E14" s="1025">
        <f ca="1">IF(F14&lt;B2,"已过期",98030020)</f>
        <v>98030020</v>
      </c>
      <c r="F14" s="1033">
        <v>47118</v>
      </c>
    </row>
    <row r="15" spans="1:6" ht="24" customHeight="1">
      <c r="A15" s="1706" t="s">
        <v>3038</v>
      </c>
      <c r="B15" s="1025">
        <f ca="1">IF(C15&lt;B2,"已过期",1120070085)</f>
        <v>1120070085</v>
      </c>
      <c r="C15" s="2348">
        <v>43814</v>
      </c>
      <c r="D15" s="2352" t="s">
        <v>3038</v>
      </c>
      <c r="E15" s="1025">
        <f ca="1">IF(F15&lt;B2,"已过期",2004110128)</f>
        <v>2004110128</v>
      </c>
      <c r="F15" s="1026">
        <v>47118</v>
      </c>
    </row>
    <row r="16" spans="1:6" ht="24" customHeight="1">
      <c r="A16" s="1705" t="s">
        <v>3039</v>
      </c>
      <c r="B16" s="1025">
        <f ca="1">IF(C16&lt;B2,"已过期",1120140022)</f>
        <v>1120140022</v>
      </c>
      <c r="C16" s="2938">
        <v>44029</v>
      </c>
      <c r="D16" s="2351" t="s">
        <v>3039</v>
      </c>
      <c r="E16" s="1025">
        <f ca="1">IF(F16&lt;B2,"已过期",2008110059)</f>
        <v>2008110059</v>
      </c>
      <c r="F16" s="1033">
        <v>47177</v>
      </c>
    </row>
    <row r="17" spans="1:7" ht="24" customHeight="1">
      <c r="A17" s="1705"/>
      <c r="B17" s="1025"/>
      <c r="C17" s="2348"/>
      <c r="D17" s="2351" t="s">
        <v>3040</v>
      </c>
      <c r="E17" s="1025">
        <f ca="1">IF(F17&lt;B2,"已过期",2014110076)</f>
        <v>2014110076</v>
      </c>
      <c r="F17" s="1033">
        <v>49302</v>
      </c>
    </row>
    <row r="18" spans="1:7" ht="24" customHeight="1">
      <c r="A18" s="1705"/>
      <c r="B18" s="1025"/>
      <c r="C18" s="2348"/>
      <c r="D18" s="2351"/>
      <c r="E18" s="1025"/>
      <c r="F18" s="1033"/>
    </row>
    <row r="19" spans="1:7" ht="24" customHeight="1">
      <c r="A19" s="1705"/>
      <c r="B19" s="1025"/>
      <c r="C19" s="2348"/>
      <c r="D19" s="2351"/>
      <c r="E19" s="1025"/>
      <c r="F19" s="1025"/>
    </row>
    <row r="20" spans="1:7" ht="24" customHeight="1">
      <c r="A20" s="1705"/>
      <c r="B20" s="1025"/>
      <c r="C20" s="2348"/>
      <c r="D20" s="2351"/>
      <c r="E20" s="1025"/>
      <c r="F20" s="1025"/>
    </row>
    <row r="21" spans="1:7" ht="24" customHeight="1">
      <c r="A21" s="1705"/>
      <c r="B21" s="1025"/>
      <c r="C21" s="2348"/>
      <c r="D21" s="2351" t="s">
        <v>841</v>
      </c>
      <c r="E21" s="1025">
        <f ca="1">IF(F21&lt;B2,"已过期",2011110090)</f>
        <v>2011110090</v>
      </c>
      <c r="F21" s="1033">
        <v>48302</v>
      </c>
    </row>
    <row r="22" spans="1:7" ht="24" customHeight="1">
      <c r="A22" s="1705" t="s">
        <v>842</v>
      </c>
      <c r="B22" s="1025">
        <f ca="1">IF(C22&lt;B2,"已过期",1120020033)</f>
        <v>1120020033</v>
      </c>
      <c r="C22" s="2938">
        <v>44339</v>
      </c>
      <c r="D22" s="2351" t="s">
        <v>842</v>
      </c>
      <c r="E22" s="1025">
        <f ca="1">IF(F22&lt;B2,"已过期",2000110137)</f>
        <v>2000110137</v>
      </c>
      <c r="F22" s="1033">
        <v>46387</v>
      </c>
    </row>
    <row r="23" spans="1:7" ht="24" customHeight="1">
      <c r="A23" s="1705"/>
      <c r="B23" s="1025"/>
      <c r="C23" s="2348"/>
      <c r="D23" s="2351"/>
      <c r="E23" s="1025"/>
      <c r="F23" s="1025"/>
    </row>
    <row r="24" spans="1:7" s="1027" customFormat="1" ht="24" customHeight="1">
      <c r="A24" s="1706" t="s">
        <v>1329</v>
      </c>
      <c r="B24" s="1706" t="s">
        <v>1329</v>
      </c>
      <c r="C24" s="2349" t="s">
        <v>1329</v>
      </c>
      <c r="D24" s="2352" t="s">
        <v>1329</v>
      </c>
      <c r="E24" s="1706" t="s">
        <v>1329</v>
      </c>
      <c r="F24" s="1706" t="s">
        <v>1329</v>
      </c>
    </row>
    <row r="25" spans="1:7" ht="24" customHeight="1">
      <c r="A25" s="3032" t="s">
        <v>843</v>
      </c>
      <c r="B25" s="3032"/>
      <c r="C25" s="3032"/>
      <c r="D25" s="3032"/>
      <c r="E25" s="3032"/>
      <c r="F25" s="3032"/>
      <c r="G25" s="3032"/>
    </row>
    <row r="26" spans="1:7" s="1028" customFormat="1" ht="24" customHeight="1">
      <c r="A26" s="3033" t="s">
        <v>844</v>
      </c>
      <c r="B26" s="3033"/>
      <c r="C26" s="3034"/>
      <c r="D26" s="3035" t="s">
        <v>845</v>
      </c>
      <c r="E26" s="3033"/>
      <c r="F26" s="3033"/>
    </row>
    <row r="27" spans="1:7" s="1030" customFormat="1" ht="24" customHeight="1">
      <c r="A27" s="1029" t="s">
        <v>846</v>
      </c>
      <c r="B27" s="1024" t="s">
        <v>847</v>
      </c>
      <c r="C27" s="2347" t="s">
        <v>848</v>
      </c>
      <c r="D27" s="2355" t="s">
        <v>846</v>
      </c>
      <c r="E27" s="1024" t="s">
        <v>847</v>
      </c>
      <c r="F27" s="1024" t="s">
        <v>848</v>
      </c>
    </row>
    <row r="28" spans="1:7" s="1030" customFormat="1" ht="24" customHeight="1">
      <c r="A28" s="1031" t="s">
        <v>849</v>
      </c>
      <c r="B28" s="1032" t="s">
        <v>850</v>
      </c>
      <c r="C28" s="2353">
        <v>43725</v>
      </c>
      <c r="D28" s="2356" t="s">
        <v>851</v>
      </c>
      <c r="E28" s="1031" t="s">
        <v>852</v>
      </c>
      <c r="F28" s="1061">
        <v>44377</v>
      </c>
    </row>
    <row r="29" spans="1:7" s="1030" customFormat="1" ht="24" customHeight="1">
      <c r="A29" s="1031"/>
      <c r="B29" s="1031"/>
      <c r="C29" s="2354"/>
      <c r="D29" s="2356" t="s">
        <v>853</v>
      </c>
      <c r="E29" s="1205" t="s">
        <v>1380</v>
      </c>
      <c r="F29" s="1206">
        <v>43281</v>
      </c>
    </row>
    <row r="30" spans="1:7" ht="24" customHeight="1">
      <c r="C30" s="1034"/>
      <c r="D30" s="1034"/>
    </row>
  </sheetData>
  <sheetProtection password="C66D" sheet="1" objects="1" scenarios="1"/>
  <mergeCells count="3">
    <mergeCell ref="A25:G25"/>
    <mergeCell ref="A26:C26"/>
    <mergeCell ref="D26:F26"/>
  </mergeCells>
  <phoneticPr fontId="86" type="noConversion"/>
  <conditionalFormatting sqref="C28">
    <cfRule type="expression" dxfId="212" priority="88">
      <formula>AND($C28-TODAY()&lt;30,TODAY()&lt;$C28)</formula>
    </cfRule>
  </conditionalFormatting>
  <conditionalFormatting sqref="C28 F4">
    <cfRule type="cellIs" dxfId="211" priority="90" stopIfTrue="1" operator="lessThan">
      <formula>$B$2</formula>
    </cfRule>
  </conditionalFormatting>
  <conditionalFormatting sqref="C5">
    <cfRule type="expression" dxfId="210" priority="85">
      <formula>AND($C5-TODAY()&lt;30,TODAY()&lt;$C5)</formula>
    </cfRule>
  </conditionalFormatting>
  <conditionalFormatting sqref="C5 F5">
    <cfRule type="cellIs" dxfId="209" priority="86" stopIfTrue="1" operator="lessThan">
      <formula>$B$2</formula>
    </cfRule>
  </conditionalFormatting>
  <conditionalFormatting sqref="F6 F8 F10">
    <cfRule type="cellIs" dxfId="208" priority="84" stopIfTrue="1" operator="lessThan">
      <formula>$B$2</formula>
    </cfRule>
  </conditionalFormatting>
  <conditionalFormatting sqref="C4:C11 C13 C23 C17:C21">
    <cfRule type="expression" dxfId="207" priority="82">
      <formula>AND($C4-TODAY()&lt;30,TODAY()&lt;$C4)</formula>
    </cfRule>
  </conditionalFormatting>
  <conditionalFormatting sqref="F7 F9 F11 C4:C11 C13 C23 C17:C21">
    <cfRule type="cellIs" dxfId="206" priority="83" stopIfTrue="1" operator="lessThan">
      <formula>$B$2</formula>
    </cfRule>
  </conditionalFormatting>
  <conditionalFormatting sqref="C18">
    <cfRule type="expression" dxfId="205" priority="72">
      <formula>AND($C18-TODAY()&lt;30,TODAY()&lt;$C18)</formula>
    </cfRule>
  </conditionalFormatting>
  <conditionalFormatting sqref="C18">
    <cfRule type="cellIs" dxfId="204" priority="73" stopIfTrue="1" operator="lessThan">
      <formula>$B$2</formula>
    </cfRule>
  </conditionalFormatting>
  <conditionalFormatting sqref="C20">
    <cfRule type="expression" dxfId="203" priority="70">
      <formula>AND($C20-TODAY()&lt;30,TODAY()&lt;$C20)</formula>
    </cfRule>
  </conditionalFormatting>
  <conditionalFormatting sqref="C20">
    <cfRule type="cellIs" dxfId="202" priority="71" stopIfTrue="1" operator="lessThan">
      <formula>$B$2</formula>
    </cfRule>
  </conditionalFormatting>
  <conditionalFormatting sqref="C17">
    <cfRule type="expression" dxfId="201" priority="64">
      <formula>AND($C17-TODAY()&lt;30,TODAY()&lt;$C17)</formula>
    </cfRule>
  </conditionalFormatting>
  <conditionalFormatting sqref="C17">
    <cfRule type="cellIs" dxfId="200" priority="65" stopIfTrue="1" operator="lessThan">
      <formula>$B$2</formula>
    </cfRule>
  </conditionalFormatting>
  <conditionalFormatting sqref="C19">
    <cfRule type="expression" dxfId="199" priority="62">
      <formula>AND($C19-TODAY()&lt;30,TODAY()&lt;$C19)</formula>
    </cfRule>
  </conditionalFormatting>
  <conditionalFormatting sqref="C19">
    <cfRule type="cellIs" dxfId="198" priority="63" stopIfTrue="1" operator="lessThan">
      <formula>$B$2</formula>
    </cfRule>
  </conditionalFormatting>
  <conditionalFormatting sqref="C21">
    <cfRule type="expression" dxfId="197" priority="60">
      <formula>AND($C21-TODAY()&lt;30,TODAY()&lt;$C21)</formula>
    </cfRule>
  </conditionalFormatting>
  <conditionalFormatting sqref="C21">
    <cfRule type="cellIs" dxfId="196" priority="61" stopIfTrue="1" operator="lessThan">
      <formula>$B$2</formula>
    </cfRule>
  </conditionalFormatting>
  <conditionalFormatting sqref="C23">
    <cfRule type="expression" dxfId="195" priority="58">
      <formula>AND($C23-TODAY()&lt;30,TODAY()&lt;$C23)</formula>
    </cfRule>
  </conditionalFormatting>
  <conditionalFormatting sqref="C23">
    <cfRule type="cellIs" dxfId="194" priority="59" stopIfTrue="1" operator="lessThan">
      <formula>$B$2</formula>
    </cfRule>
  </conditionalFormatting>
  <conditionalFormatting sqref="F18">
    <cfRule type="cellIs" dxfId="193" priority="55" stopIfTrue="1" operator="lessThan">
      <formula>$B$2</formula>
    </cfRule>
  </conditionalFormatting>
  <conditionalFormatting sqref="F22">
    <cfRule type="cellIs" dxfId="192" priority="54" stopIfTrue="1" operator="lessThan">
      <formula>$B$2</formula>
    </cfRule>
  </conditionalFormatting>
  <conditionalFormatting sqref="F21">
    <cfRule type="cellIs" dxfId="191" priority="53" stopIfTrue="1" operator="lessThan">
      <formula>$B$2</formula>
    </cfRule>
  </conditionalFormatting>
  <conditionalFormatting sqref="B4:B11 E4:E11 B17:B23 E18:E23 B13 E13">
    <cfRule type="cellIs" dxfId="190" priority="51" stopIfTrue="1" operator="equal">
      <formula>"已过期"</formula>
    </cfRule>
  </conditionalFormatting>
  <conditionalFormatting sqref="A24:F24">
    <cfRule type="cellIs" dxfId="189" priority="47" stopIfTrue="1" operator="equal">
      <formula>"已过期"</formula>
    </cfRule>
  </conditionalFormatting>
  <conditionalFormatting sqref="F28">
    <cfRule type="expression" dxfId="188" priority="45">
      <formula>AND($E28-TODAY()&lt;30,TODAY()&lt;$E28)</formula>
    </cfRule>
  </conditionalFormatting>
  <conditionalFormatting sqref="F28">
    <cfRule type="cellIs" dxfId="187" priority="46" stopIfTrue="1" operator="lessThan">
      <formula>$B$2</formula>
    </cfRule>
  </conditionalFormatting>
  <conditionalFormatting sqref="F29">
    <cfRule type="expression" dxfId="186" priority="41" stopIfTrue="1">
      <formula>AND($E29-TODAY()&lt;30,TODAY()&lt;$E29)</formula>
    </cfRule>
  </conditionalFormatting>
  <conditionalFormatting sqref="F29">
    <cfRule type="cellIs" dxfId="185" priority="42" stopIfTrue="1" operator="lessThan">
      <formula>$B$2</formula>
    </cfRule>
  </conditionalFormatting>
  <conditionalFormatting sqref="F13">
    <cfRule type="cellIs" dxfId="184" priority="34" stopIfTrue="1" operator="lessThan">
      <formula>$B$2</formula>
    </cfRule>
  </conditionalFormatting>
  <conditionalFormatting sqref="C12">
    <cfRule type="expression" dxfId="183" priority="32">
      <formula>AND($C12-TODAY()&lt;30,TODAY()&lt;$C12)</formula>
    </cfRule>
  </conditionalFormatting>
  <conditionalFormatting sqref="C12">
    <cfRule type="cellIs" dxfId="182" priority="33" stopIfTrue="1" operator="lessThan">
      <formula>$B$2</formula>
    </cfRule>
  </conditionalFormatting>
  <conditionalFormatting sqref="C12">
    <cfRule type="expression" dxfId="181" priority="30">
      <formula>AND($C12-TODAY()&lt;30,TODAY()&lt;$C12)</formula>
    </cfRule>
  </conditionalFormatting>
  <conditionalFormatting sqref="C12">
    <cfRule type="cellIs" dxfId="180" priority="31" stopIfTrue="1" operator="lessThan">
      <formula>$B$2</formula>
    </cfRule>
  </conditionalFormatting>
  <conditionalFormatting sqref="B12">
    <cfRule type="cellIs" dxfId="179" priority="29" stopIfTrue="1" operator="equal">
      <formula>"已过期"</formula>
    </cfRule>
  </conditionalFormatting>
  <conditionalFormatting sqref="E12">
    <cfRule type="cellIs" dxfId="178" priority="28" stopIfTrue="1" operator="equal">
      <formula>"已过期"</formula>
    </cfRule>
  </conditionalFormatting>
  <conditionalFormatting sqref="F12">
    <cfRule type="cellIs" dxfId="177" priority="27" stopIfTrue="1" operator="lessThan">
      <formula>$B$2</formula>
    </cfRule>
  </conditionalFormatting>
  <conditionalFormatting sqref="C22">
    <cfRule type="expression" dxfId="176" priority="25">
      <formula>AND($C22-TODAY()&lt;30,TODAY()&lt;$C22)</formula>
    </cfRule>
  </conditionalFormatting>
  <conditionalFormatting sqref="C22">
    <cfRule type="cellIs" dxfId="175" priority="26" stopIfTrue="1" operator="lessThan">
      <formula>$B$2</formula>
    </cfRule>
  </conditionalFormatting>
  <conditionalFormatting sqref="C22">
    <cfRule type="expression" dxfId="174" priority="23">
      <formula>AND($C22-TODAY()&lt;30,TODAY()&lt;$C22)</formula>
    </cfRule>
  </conditionalFormatting>
  <conditionalFormatting sqref="C22">
    <cfRule type="cellIs" dxfId="173" priority="24" stopIfTrue="1" operator="lessThan">
      <formula>$B$2</formula>
    </cfRule>
  </conditionalFormatting>
  <conditionalFormatting sqref="C16">
    <cfRule type="expression" dxfId="172" priority="21">
      <formula>AND($C16-TODAY()&lt;30,TODAY()&lt;$C16)</formula>
    </cfRule>
  </conditionalFormatting>
  <conditionalFormatting sqref="C16">
    <cfRule type="cellIs" dxfId="171" priority="22" stopIfTrue="1" operator="lessThan">
      <formula>$B$2</formula>
    </cfRule>
  </conditionalFormatting>
  <conditionalFormatting sqref="C16">
    <cfRule type="expression" dxfId="170" priority="19">
      <formula>AND($C16-TODAY()&lt;30,TODAY()&lt;$C16)</formula>
    </cfRule>
  </conditionalFormatting>
  <conditionalFormatting sqref="C16">
    <cfRule type="cellIs" dxfId="169" priority="20" stopIfTrue="1" operator="lessThan">
      <formula>$B$2</formula>
    </cfRule>
  </conditionalFormatting>
  <conditionalFormatting sqref="B16">
    <cfRule type="cellIs" dxfId="168" priority="18" stopIfTrue="1" operator="equal">
      <formula>"已过期"</formula>
    </cfRule>
  </conditionalFormatting>
  <conditionalFormatting sqref="C14:C15">
    <cfRule type="expression" dxfId="167" priority="16">
      <formula>AND($C14-TODAY()&lt;30,TODAY()&lt;$C14)</formula>
    </cfRule>
  </conditionalFormatting>
  <conditionalFormatting sqref="C14:C15">
    <cfRule type="cellIs" dxfId="166" priority="17" stopIfTrue="1" operator="lessThan">
      <formula>$B$2</formula>
    </cfRule>
  </conditionalFormatting>
  <conditionalFormatting sqref="C14">
    <cfRule type="expression" dxfId="165" priority="14">
      <formula>AND($C14-TODAY()&lt;30,TODAY()&lt;$C14)</formula>
    </cfRule>
  </conditionalFormatting>
  <conditionalFormatting sqref="C14">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B14">
    <cfRule type="cellIs" dxfId="161" priority="11" stopIfTrue="1" operator="equal">
      <formula>"已过期"</formula>
    </cfRule>
  </conditionalFormatting>
  <conditionalFormatting sqref="B15">
    <cfRule type="cellIs" dxfId="160" priority="10" stopIfTrue="1" operator="equal">
      <formula>"已过期"</formula>
    </cfRule>
  </conditionalFormatting>
  <conditionalFormatting sqref="A15">
    <cfRule type="cellIs" dxfId="159" priority="9" stopIfTrue="1" operator="equal">
      <formula>"已过期"</formula>
    </cfRule>
  </conditionalFormatting>
  <conditionalFormatting sqref="C15">
    <cfRule type="expression" dxfId="158" priority="8">
      <formula>AND($C15-TODAY()&lt;30,TODAY()&lt;$C15)</formula>
    </cfRule>
  </conditionalFormatting>
  <conditionalFormatting sqref="F16">
    <cfRule type="cellIs" dxfId="157" priority="7" stopIfTrue="1" operator="lessThan">
      <formula>$B$2</formula>
    </cfRule>
  </conditionalFormatting>
  <conditionalFormatting sqref="E16 E14">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D15">
    <cfRule type="cellIs" dxfId="154" priority="4" stopIfTrue="1" operator="equal">
      <formula>"已过期"</formula>
    </cfRule>
  </conditionalFormatting>
  <conditionalFormatting sqref="F17">
    <cfRule type="cellIs" dxfId="153" priority="3" stopIfTrue="1" operator="lessThan">
      <formula>$B$2</formula>
    </cfRule>
  </conditionalFormatting>
  <conditionalFormatting sqref="E17">
    <cfRule type="cellIs" dxfId="152" priority="2" stopIfTrue="1" operator="equal">
      <formula>"已过期"</formula>
    </cfRule>
  </conditionalFormatting>
  <conditionalFormatting sqref="F14">
    <cfRule type="cellIs" dxfId="15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135</vt:i4>
      </vt:variant>
    </vt:vector>
  </HeadingPairs>
  <TitlesOfParts>
    <vt:vector size="18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收益法-办公</vt:lpstr>
      <vt:lpstr>收益法-工业</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土地案例</vt:lpstr>
      <vt:lpstr>Sheet1</vt:lpstr>
      <vt:lpstr>估价师及机构信息!Print_Area</vt:lpstr>
      <vt:lpstr>'收益法 (元)'!Print_Area</vt:lpstr>
      <vt:lpstr>'收益法-办公'!Print_Area</vt:lpstr>
      <vt:lpstr>'收益法-工业'!Print_Area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2019-03-11T07:16:57Z</dcterms:modified>
</cp:coreProperties>
</file>