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18" i="73"/>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C79" i="71"/>
  <c r="D79" i="71" s="1"/>
  <c r="B79" i="71"/>
  <c r="Q78" i="71"/>
  <c r="P78" i="71"/>
  <c r="O78" i="71"/>
  <c r="N78" i="71"/>
  <c r="F78" i="71"/>
  <c r="E78" i="71"/>
  <c r="D78" i="71"/>
  <c r="C78" i="71"/>
  <c r="B78" i="71"/>
  <c r="Q77" i="71"/>
  <c r="P77" i="71"/>
  <c r="O77" i="71"/>
  <c r="N77" i="71"/>
  <c r="D77" i="71"/>
  <c r="Q76" i="71"/>
  <c r="P76" i="71"/>
  <c r="O76" i="71"/>
  <c r="N76" i="71"/>
  <c r="F76" i="71"/>
  <c r="V76" i="71" s="1"/>
  <c r="E76" i="71"/>
  <c r="U76" i="71" s="1"/>
  <c r="D76" i="7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D72" i="71"/>
  <c r="C72" i="71"/>
  <c r="T72" i="71" s="1"/>
  <c r="B72" i="71"/>
  <c r="S72" i="71" s="1"/>
  <c r="Q71" i="71"/>
  <c r="P71" i="71"/>
  <c r="O71" i="71"/>
  <c r="N71" i="71"/>
  <c r="F71" i="71"/>
  <c r="E71" i="71"/>
  <c r="C71" i="71"/>
  <c r="D71" i="71" s="1"/>
  <c r="B71" i="71"/>
  <c r="Q70" i="71"/>
  <c r="P70" i="71"/>
  <c r="O70" i="71"/>
  <c r="N70" i="71"/>
  <c r="F70" i="71"/>
  <c r="E70" i="71"/>
  <c r="D70" i="71"/>
  <c r="C70" i="7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F54" i="71"/>
  <c r="F55" i="71" s="1"/>
  <c r="D54" i="7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Q39" i="71"/>
  <c r="P39" i="71"/>
  <c r="O39" i="71"/>
  <c r="Y39" i="71" s="1"/>
  <c r="Z39" i="71" s="1"/>
  <c r="N39" i="71"/>
  <c r="X39" i="71" s="1"/>
  <c r="B39" i="71"/>
  <c r="B40" i="71" s="1"/>
  <c r="S40"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D37" i="71"/>
  <c r="AH36" i="71"/>
  <c r="AG36" i="71"/>
  <c r="AE36" i="71"/>
  <c r="AF36" i="71" s="1"/>
  <c r="AD36" i="71"/>
  <c r="AB36" i="71"/>
  <c r="X36" i="71"/>
  <c r="Q36" i="71"/>
  <c r="P36" i="71"/>
  <c r="O36" i="71"/>
  <c r="N36" i="71"/>
  <c r="AH35" i="71"/>
  <c r="AG35" i="71"/>
  <c r="AF35" i="71"/>
  <c r="AE35" i="71"/>
  <c r="AD35" i="71"/>
  <c r="AA35" i="71"/>
  <c r="Q35" i="7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Q31" i="71"/>
  <c r="P31" i="71"/>
  <c r="O31" i="71"/>
  <c r="Y31" i="71" s="1"/>
  <c r="Z31" i="71" s="1"/>
  <c r="N31" i="71"/>
  <c r="AH30" i="71"/>
  <c r="AG30" i="71"/>
  <c r="AE30" i="71"/>
  <c r="AF30" i="71" s="1"/>
  <c r="AD30" i="71"/>
  <c r="Q30" i="71"/>
  <c r="P30" i="71"/>
  <c r="O30" i="71"/>
  <c r="N30" i="71"/>
  <c r="X30" i="71" s="1"/>
  <c r="AH29" i="71"/>
  <c r="AG29" i="71"/>
  <c r="AF29" i="71"/>
  <c r="AE29" i="71"/>
  <c r="AD29" i="71"/>
  <c r="Q29" i="71"/>
  <c r="P29" i="71"/>
  <c r="O29" i="71"/>
  <c r="C30" i="71" s="1"/>
  <c r="N29" i="71"/>
  <c r="D29" i="71"/>
  <c r="AH28" i="71"/>
  <c r="AG28" i="71"/>
  <c r="AF28" i="71"/>
  <c r="AE28" i="71"/>
  <c r="AD28" i="71"/>
  <c r="AA28" i="71"/>
  <c r="V28" i="71"/>
  <c r="Q28" i="71"/>
  <c r="AB28" i="71" s="1"/>
  <c r="P28" i="71"/>
  <c r="O28" i="71"/>
  <c r="C28" i="71" s="1"/>
  <c r="T28" i="71" s="1"/>
  <c r="N28" i="7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F20" i="71" s="1"/>
  <c r="F19" i="71" s="1"/>
  <c r="F18" i="71" s="1"/>
  <c r="F17" i="71" s="1"/>
  <c r="F16" i="71" s="1"/>
  <c r="F15" i="71" s="1"/>
  <c r="F14" i="71" s="1"/>
  <c r="F13" i="71" s="1"/>
  <c r="F12" i="71" s="1"/>
  <c r="F11" i="71" s="1"/>
  <c r="F10" i="71" s="1"/>
  <c r="F9" i="71" s="1"/>
  <c r="F8" i="71" s="1"/>
  <c r="F7" i="71" s="1"/>
  <c r="F6" i="71" s="1"/>
  <c r="F5" i="71" s="1"/>
  <c r="AH21" i="71"/>
  <c r="AG21" i="71"/>
  <c r="AE21" i="71"/>
  <c r="AF21" i="71" s="1"/>
  <c r="AD21" i="71"/>
  <c r="Q21" i="71"/>
  <c r="P21" i="71"/>
  <c r="O21" i="71"/>
  <c r="Y21" i="71" s="1"/>
  <c r="Z21" i="71" s="1"/>
  <c r="N21" i="71"/>
  <c r="X21" i="71" s="1"/>
  <c r="AH20" i="71"/>
  <c r="AG20" i="71"/>
  <c r="AF20" i="71"/>
  <c r="AE20" i="71"/>
  <c r="AD20" i="71"/>
  <c r="Y20" i="71"/>
  <c r="Z20" i="71" s="1"/>
  <c r="Q20" i="71"/>
  <c r="P20" i="71"/>
  <c r="O20" i="71"/>
  <c r="N20" i="71"/>
  <c r="X20" i="71" s="1"/>
  <c r="AH19" i="71"/>
  <c r="AG19" i="71"/>
  <c r="AE19" i="71"/>
  <c r="AF19" i="71" s="1"/>
  <c r="AD19" i="71"/>
  <c r="AB19" i="71"/>
  <c r="Q19" i="71"/>
  <c r="P19" i="71"/>
  <c r="AA19" i="71" s="1"/>
  <c r="O19" i="71"/>
  <c r="N19" i="71"/>
  <c r="X19" i="71" s="1"/>
  <c r="AH18" i="71"/>
  <c r="AG18" i="71"/>
  <c r="AF18" i="71"/>
  <c r="AE18" i="71"/>
  <c r="AD18" i="71"/>
  <c r="AA18" i="71"/>
  <c r="Q18" i="71"/>
  <c r="AB18" i="71" s="1"/>
  <c r="P18" i="71"/>
  <c r="O18" i="71"/>
  <c r="Y18" i="71" s="1"/>
  <c r="Z18" i="71" s="1"/>
  <c r="N18" i="71"/>
  <c r="AH17" i="71"/>
  <c r="AG17" i="71"/>
  <c r="AE17" i="71"/>
  <c r="AF17" i="71" s="1"/>
  <c r="AD17" i="71"/>
  <c r="Q17" i="71"/>
  <c r="P17" i="71"/>
  <c r="O17" i="71"/>
  <c r="Y17" i="71" s="1"/>
  <c r="Z17" i="71" s="1"/>
  <c r="N17" i="71"/>
  <c r="X17" i="71" s="1"/>
  <c r="AH16" i="71"/>
  <c r="AG16" i="71"/>
  <c r="AF16" i="71"/>
  <c r="AE16" i="71"/>
  <c r="AD16" i="71"/>
  <c r="Y16" i="71"/>
  <c r="Z16" i="71" s="1"/>
  <c r="Q16" i="71"/>
  <c r="P16" i="71"/>
  <c r="O16" i="71"/>
  <c r="N16" i="71"/>
  <c r="X16" i="71" s="1"/>
  <c r="AH15" i="71"/>
  <c r="AG15" i="71"/>
  <c r="AE15" i="71"/>
  <c r="AF15" i="71" s="1"/>
  <c r="AD15" i="71"/>
  <c r="AB15" i="71"/>
  <c r="Q15" i="71"/>
  <c r="P15" i="71"/>
  <c r="AA15" i="71" s="1"/>
  <c r="O15" i="71"/>
  <c r="N15" i="71"/>
  <c r="X15" i="71" s="1"/>
  <c r="AH14" i="71"/>
  <c r="AG14" i="71"/>
  <c r="AF14" i="71"/>
  <c r="AE14" i="71"/>
  <c r="AD14" i="71"/>
  <c r="AA14" i="71"/>
  <c r="Q14" i="71"/>
  <c r="AB14" i="71" s="1"/>
  <c r="P14" i="71"/>
  <c r="O14" i="71"/>
  <c r="Y14" i="71" s="1"/>
  <c r="Z14" i="71" s="1"/>
  <c r="N14" i="71"/>
  <c r="AH13" i="71"/>
  <c r="AG13" i="71"/>
  <c r="AE13" i="71"/>
  <c r="AF13" i="71" s="1"/>
  <c r="AD13" i="71"/>
  <c r="Q13" i="71"/>
  <c r="P13" i="71"/>
  <c r="O13" i="71"/>
  <c r="Y13" i="71" s="1"/>
  <c r="Z13" i="71" s="1"/>
  <c r="N13" i="71"/>
  <c r="X13" i="71" s="1"/>
  <c r="AH12" i="71"/>
  <c r="AG12" i="71"/>
  <c r="AF12" i="71"/>
  <c r="AE12" i="71"/>
  <c r="AD12" i="71"/>
  <c r="Y12" i="71"/>
  <c r="Z12" i="71" s="1"/>
  <c r="Q12" i="71"/>
  <c r="P12" i="71"/>
  <c r="O12" i="71"/>
  <c r="N12" i="71"/>
  <c r="X12" i="71" s="1"/>
  <c r="AH11" i="71"/>
  <c r="AG11" i="71"/>
  <c r="AE11" i="71"/>
  <c r="AF11" i="71" s="1"/>
  <c r="AD11" i="71"/>
  <c r="AB11" i="71"/>
  <c r="Q11" i="71"/>
  <c r="P11" i="71"/>
  <c r="AA11" i="71" s="1"/>
  <c r="O11" i="71"/>
  <c r="N11" i="71"/>
  <c r="X11" i="71" s="1"/>
  <c r="AH10" i="71"/>
  <c r="AG10" i="71"/>
  <c r="AF10" i="71"/>
  <c r="AE10" i="71"/>
  <c r="AD10" i="71"/>
  <c r="AA10" i="71"/>
  <c r="Q10" i="71"/>
  <c r="AB10" i="71" s="1"/>
  <c r="P10" i="71"/>
  <c r="O10" i="71"/>
  <c r="Y10" i="71" s="1"/>
  <c r="Z10" i="71" s="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5" i="79" s="1"/>
  <c r="M25" i="79"/>
  <c r="T25" i="79" s="1"/>
  <c r="W25" i="79" s="1"/>
  <c r="L25" i="79"/>
  <c r="S25" i="79" s="1"/>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9" i="43" s="1"/>
  <c r="D61" i="43"/>
  <c r="E61" i="43" s="1"/>
  <c r="B59" i="43" s="1"/>
  <c r="D58" i="43"/>
  <c r="D56" i="43"/>
  <c r="D54" i="43"/>
  <c r="D53" i="43"/>
  <c r="B52" i="43"/>
  <c r="D50" i="43"/>
  <c r="B50" i="43"/>
  <c r="H42" i="43"/>
  <c r="H41" i="43"/>
  <c r="H40" i="43"/>
  <c r="H39" i="43"/>
  <c r="H38" i="43"/>
  <c r="H37" i="43"/>
  <c r="Q32" i="43"/>
  <c r="O32" i="43"/>
  <c r="M32" i="43"/>
  <c r="H26" i="43"/>
  <c r="F26" i="43"/>
  <c r="J24" i="43"/>
  <c r="G24" i="43"/>
  <c r="G18" i="43" s="1"/>
  <c r="E17" i="43" s="1"/>
  <c r="E24" i="43"/>
  <c r="P32" i="43" s="1"/>
  <c r="I23" i="43"/>
  <c r="C22" i="43"/>
  <c r="N21" i="43"/>
  <c r="L21" i="43"/>
  <c r="J21" i="43"/>
  <c r="H21" i="43"/>
  <c r="E21" i="43"/>
  <c r="C21" i="43"/>
  <c r="C20"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Z7" i="43"/>
  <c r="C7" i="43"/>
  <c r="S4" i="43"/>
  <c r="U3" i="43"/>
  <c r="S3" i="43"/>
  <c r="G3" i="43"/>
  <c r="I2" i="43"/>
  <c r="M12" i="43" s="1"/>
  <c r="G2"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F17" i="40"/>
  <c r="AA17" i="40" s="1"/>
  <c r="AB15" i="40"/>
  <c r="U15" i="40"/>
  <c r="Q15" i="40"/>
  <c r="Z15" i="40" s="1"/>
  <c r="J15" i="40"/>
  <c r="AC15" i="40" s="1"/>
  <c r="H15" i="40"/>
  <c r="F15" i="40"/>
  <c r="AA15" i="40" s="1"/>
  <c r="AB14" i="40"/>
  <c r="U14" i="40"/>
  <c r="Q14" i="40"/>
  <c r="Z14" i="40" s="1"/>
  <c r="J14" i="40"/>
  <c r="AC14" i="40" s="1"/>
  <c r="H14" i="40"/>
  <c r="F14" i="40"/>
  <c r="AA14" i="40" s="1"/>
  <c r="Q13" i="40"/>
  <c r="Z13" i="40" s="1"/>
  <c r="J13" i="40"/>
  <c r="H13" i="40"/>
  <c r="AB13" i="40" s="1"/>
  <c r="F13" i="40"/>
  <c r="AA13" i="40" s="1"/>
  <c r="Q12" i="40"/>
  <c r="Z12" i="40" s="1"/>
  <c r="J12" i="40"/>
  <c r="AC12" i="40" s="1"/>
  <c r="H12" i="40"/>
  <c r="F12" i="40"/>
  <c r="AA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E83" i="36"/>
  <c r="F83" i="36" s="1"/>
  <c r="G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H33" i="36"/>
  <c r="AB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Q24" i="36"/>
  <c r="Z24" i="36" s="1"/>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C12" i="36" s="1"/>
  <c r="AB11" i="36"/>
  <c r="U11" i="36"/>
  <c r="Q11" i="36"/>
  <c r="Z11" i="36" s="1"/>
  <c r="J11" i="36"/>
  <c r="AC11" i="36" s="1"/>
  <c r="H11" i="36"/>
  <c r="F11" i="36"/>
  <c r="AA11" i="36" s="1"/>
  <c r="Q10" i="36"/>
  <c r="Z10" i="36" s="1"/>
  <c r="J10" i="36"/>
  <c r="AC10" i="36" s="1"/>
  <c r="H10" i="36"/>
  <c r="AB10" i="36" s="1"/>
  <c r="F10" i="36"/>
  <c r="AA10" i="36" s="1"/>
  <c r="Q9" i="36"/>
  <c r="Z9" i="36" s="1"/>
  <c r="AC8" i="36"/>
  <c r="U8" i="36"/>
  <c r="J8" i="36"/>
  <c r="W8" i="36" s="1"/>
  <c r="H8" i="36"/>
  <c r="AB8" i="36" s="1"/>
  <c r="F8" i="36"/>
  <c r="S8" i="36" s="1"/>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7" i="34"/>
  <c r="C59"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Q59" i="15"/>
  <c r="K59" i="15"/>
  <c r="P74" i="15" s="1"/>
  <c r="F59" i="15"/>
  <c r="Q58" i="15"/>
  <c r="Q51" i="15"/>
  <c r="J50" i="15"/>
  <c r="M47" i="15"/>
  <c r="D46" i="15"/>
  <c r="F33" i="15"/>
  <c r="F61" i="15" s="1"/>
  <c r="F31" i="15"/>
  <c r="F28" i="15"/>
  <c r="F23" i="15"/>
  <c r="F21" i="15"/>
  <c r="F20" i="15"/>
  <c r="M19" i="15"/>
  <c r="F18" i="15"/>
  <c r="M17" i="15"/>
  <c r="F17" i="15"/>
  <c r="F15" i="15"/>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21" i="69"/>
  <c r="C40" i="69" s="1"/>
  <c r="C21" i="69"/>
  <c r="F20" i="69"/>
  <c r="C19" i="69"/>
  <c r="E10" i="69"/>
  <c r="E9" i="69"/>
  <c r="F7" i="69"/>
  <c r="H1" i="69"/>
  <c r="P74" i="67"/>
  <c r="Q72" i="67"/>
  <c r="F61" i="67"/>
  <c r="Q59" i="67"/>
  <c r="K59" i="67"/>
  <c r="P61" i="67" s="1"/>
  <c r="F59" i="67"/>
  <c r="Q58" i="67"/>
  <c r="J52" i="67"/>
  <c r="Q51" i="67" s="1"/>
  <c r="J50" i="67"/>
  <c r="J51" i="67" s="1"/>
  <c r="M47" i="67"/>
  <c r="D46" i="67"/>
  <c r="F33" i="67"/>
  <c r="F32" i="67"/>
  <c r="F60" i="67" s="1"/>
  <c r="F31" i="67"/>
  <c r="F23" i="67"/>
  <c r="D24" i="67" s="1"/>
  <c r="D23" i="67"/>
  <c r="D22" i="67"/>
  <c r="F21" i="67"/>
  <c r="F20" i="67"/>
  <c r="M19" i="67"/>
  <c r="M18" i="67"/>
  <c r="F18" i="67"/>
  <c r="M17" i="67"/>
  <c r="F17" i="67"/>
  <c r="F15" i="67"/>
  <c r="G1" i="67"/>
  <c r="B130" i="33"/>
  <c r="B128" i="33"/>
  <c r="B126" i="33"/>
  <c r="D125" i="33"/>
  <c r="D123" i="33"/>
  <c r="F121" i="33"/>
  <c r="G121" i="33" s="1"/>
  <c r="H121" i="33" s="1"/>
  <c r="I121" i="33" s="1"/>
  <c r="J121" i="33" s="1"/>
  <c r="K121" i="33" s="1"/>
  <c r="L121" i="33" s="1"/>
  <c r="M121" i="33" s="1"/>
  <c r="D121" i="33"/>
  <c r="E121" i="33" s="1"/>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H30" i="33" s="1"/>
  <c r="B94" i="33"/>
  <c r="B92" i="33"/>
  <c r="H28" i="33" s="1"/>
  <c r="D91" i="33"/>
  <c r="E91" i="33" s="1"/>
  <c r="F91" i="33" s="1"/>
  <c r="G91" i="33" s="1"/>
  <c r="H91" i="33" s="1"/>
  <c r="I91" i="33" s="1"/>
  <c r="J91" i="33" s="1"/>
  <c r="K91" i="33" s="1"/>
  <c r="L91" i="33" s="1"/>
  <c r="M91" i="33" s="1"/>
  <c r="B90" i="33"/>
  <c r="B88" i="33"/>
  <c r="H26" i="33" s="1"/>
  <c r="F87" i="33"/>
  <c r="G87" i="33" s="1"/>
  <c r="H87" i="33" s="1"/>
  <c r="I87" i="33" s="1"/>
  <c r="J87" i="33" s="1"/>
  <c r="K87" i="33" s="1"/>
  <c r="L87" i="33" s="1"/>
  <c r="M87" i="33" s="1"/>
  <c r="D87" i="33"/>
  <c r="E87" i="33" s="1"/>
  <c r="F85" i="33"/>
  <c r="G85" i="33" s="1"/>
  <c r="D85" i="33"/>
  <c r="E85" i="33" s="1"/>
  <c r="H23" i="33" s="1"/>
  <c r="F83" i="33"/>
  <c r="G83" i="33" s="1"/>
  <c r="D83" i="33"/>
  <c r="E83" i="33" s="1"/>
  <c r="F81" i="33"/>
  <c r="G81" i="33" s="1"/>
  <c r="D81" i="33"/>
  <c r="E81" i="33" s="1"/>
  <c r="H19" i="33" s="1"/>
  <c r="D79" i="33"/>
  <c r="F77" i="33"/>
  <c r="G77" i="33" s="1"/>
  <c r="D77" i="33"/>
  <c r="E77" i="33" s="1"/>
  <c r="H15"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F43" i="33"/>
  <c r="AA43" i="33" s="1"/>
  <c r="Q42" i="33"/>
  <c r="Z42" i="33" s="1"/>
  <c r="AC41" i="33"/>
  <c r="W41" i="33"/>
  <c r="Q41" i="33"/>
  <c r="Z41" i="33" s="1"/>
  <c r="J41" i="33"/>
  <c r="H41" i="33"/>
  <c r="AB41" i="33" s="1"/>
  <c r="F41" i="33"/>
  <c r="AA41" i="33" s="1"/>
  <c r="AB40" i="33"/>
  <c r="U40" i="33"/>
  <c r="Q40" i="33"/>
  <c r="Z40" i="33" s="1"/>
  <c r="J40" i="33"/>
  <c r="AC40" i="33" s="1"/>
  <c r="H40" i="33"/>
  <c r="F40" i="33"/>
  <c r="AA40" i="33" s="1"/>
  <c r="AA39" i="33"/>
  <c r="S39" i="33"/>
  <c r="Q39" i="33"/>
  <c r="Z39" i="33" s="1"/>
  <c r="J39" i="33"/>
  <c r="AC39" i="33" s="1"/>
  <c r="F39" i="33"/>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AA33" i="33"/>
  <c r="S33" i="33"/>
  <c r="Q33" i="33"/>
  <c r="Z33" i="33" s="1"/>
  <c r="J33" i="33"/>
  <c r="AC33" i="33" s="1"/>
  <c r="F33" i="33"/>
  <c r="C33" i="33"/>
  <c r="H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Q26" i="33"/>
  <c r="Z26" i="33" s="1"/>
  <c r="F26" i="33"/>
  <c r="AA26" i="33" s="1"/>
  <c r="Q25" i="33"/>
  <c r="Z25" i="33" s="1"/>
  <c r="J25" i="33"/>
  <c r="AC25" i="33" s="1"/>
  <c r="H25" i="33"/>
  <c r="AB25" i="33" s="1"/>
  <c r="F25" i="33"/>
  <c r="AA25" i="33" s="1"/>
  <c r="AC23" i="33"/>
  <c r="W23" i="33"/>
  <c r="Q23" i="33"/>
  <c r="Z23" i="33" s="1"/>
  <c r="J23" i="33"/>
  <c r="F23" i="33"/>
  <c r="AA23" i="33" s="1"/>
  <c r="C23" i="33"/>
  <c r="AC21" i="33"/>
  <c r="W21" i="33"/>
  <c r="Q21" i="33"/>
  <c r="Z21" i="33" s="1"/>
  <c r="J21" i="33"/>
  <c r="H21" i="33"/>
  <c r="AB21" i="33" s="1"/>
  <c r="F21" i="33"/>
  <c r="AA21" i="33" s="1"/>
  <c r="C21" i="33"/>
  <c r="AA19" i="33"/>
  <c r="S19" i="33"/>
  <c r="Q19" i="33"/>
  <c r="Z19" i="33" s="1"/>
  <c r="J19" i="33"/>
  <c r="AC19" i="33" s="1"/>
  <c r="F19" i="33"/>
  <c r="C19" i="33"/>
  <c r="AA17" i="33"/>
  <c r="S17" i="33"/>
  <c r="Q17" i="33"/>
  <c r="Z17" i="33" s="1"/>
  <c r="J17" i="33"/>
  <c r="AC17" i="33" s="1"/>
  <c r="F17" i="33"/>
  <c r="C17" i="33"/>
  <c r="AA15" i="33"/>
  <c r="S15" i="33"/>
  <c r="Q15" i="33"/>
  <c r="Z15" i="33" s="1"/>
  <c r="J15" i="33"/>
  <c r="AC15" i="33" s="1"/>
  <c r="F15" i="33"/>
  <c r="C15" i="33"/>
  <c r="Q14" i="33"/>
  <c r="Z14" i="33" s="1"/>
  <c r="J14" i="33"/>
  <c r="AC14" i="33" s="1"/>
  <c r="H14" i="33"/>
  <c r="AB14" i="33" s="1"/>
  <c r="F14" i="33"/>
  <c r="AA14" i="33" s="1"/>
  <c r="Q13" i="33"/>
  <c r="Z13" i="33" s="1"/>
  <c r="H13" i="33"/>
  <c r="AB13" i="33" s="1"/>
  <c r="AC12" i="33"/>
  <c r="W12" i="33"/>
  <c r="Q12" i="33"/>
  <c r="Z12" i="33" s="1"/>
  <c r="J12" i="33"/>
  <c r="H12" i="33"/>
  <c r="AB12" i="33" s="1"/>
  <c r="F12" i="33"/>
  <c r="AA12" i="33" s="1"/>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G41" i="68"/>
  <c r="F38" i="68"/>
  <c r="E37" i="68"/>
  <c r="F36" i="68"/>
  <c r="F35" i="68"/>
  <c r="G22" i="68"/>
  <c r="F21" i="68"/>
  <c r="F20" i="68"/>
  <c r="F39" i="68" s="1"/>
  <c r="E19" i="68"/>
  <c r="E10" i="68"/>
  <c r="E9" i="68"/>
  <c r="C8" i="68"/>
  <c r="F7" i="68"/>
  <c r="C7" i="68" s="1"/>
  <c r="C5" i="68"/>
  <c r="G1"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K49" i="9"/>
  <c r="E48" i="9"/>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B1" i="74"/>
  <c r="C24" i="20"/>
  <c r="C22" i="20"/>
  <c r="C21" i="20"/>
  <c r="G20" i="20"/>
  <c r="C20" i="20"/>
  <c r="G19" i="20"/>
  <c r="G18" i="20"/>
  <c r="C18" i="20"/>
  <c r="C17" i="20"/>
  <c r="G16" i="20"/>
  <c r="C16" i="20"/>
  <c r="C17" i="39" s="1"/>
  <c r="G15" i="20"/>
  <c r="C15" i="20"/>
  <c r="B52" i="1"/>
  <c r="B43" i="1"/>
  <c r="D93" i="9" s="1"/>
  <c r="C42" i="1"/>
  <c r="C13" i="12" s="1"/>
  <c r="B41" i="1"/>
  <c r="F30" i="11" s="1"/>
  <c r="B31" i="1"/>
  <c r="B24" i="1"/>
  <c r="B23" i="1"/>
  <c r="B22" i="1"/>
  <c r="N19" i="1"/>
  <c r="N6" i="1" s="1"/>
  <c r="Y6" i="1" s="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F9" i="1"/>
  <c r="D9" i="1"/>
  <c r="A9" i="1"/>
  <c r="AP8" i="1"/>
  <c r="AG8" i="1"/>
  <c r="AE8" i="1"/>
  <c r="S8" i="1"/>
  <c r="P8" i="1"/>
  <c r="O8" i="1"/>
  <c r="G8" i="1"/>
  <c r="F8" i="1"/>
  <c r="D8" i="1"/>
  <c r="B8" i="1"/>
  <c r="E8" i="1" s="1"/>
  <c r="A8" i="1"/>
  <c r="R8" i="1" s="1"/>
  <c r="AP7" i="1"/>
  <c r="AG7" i="1"/>
  <c r="AE7" i="1"/>
  <c r="P7" i="1"/>
  <c r="O7" i="1"/>
  <c r="K7" i="1"/>
  <c r="M7" i="1" s="1"/>
  <c r="F7" i="1"/>
  <c r="D7" i="1"/>
  <c r="G7" i="1" s="1"/>
  <c r="A7" i="1"/>
  <c r="G1" i="15" s="1"/>
  <c r="AP6" i="1"/>
  <c r="AG6" i="1"/>
  <c r="P6" i="1"/>
  <c r="O6" i="1"/>
  <c r="O16" i="1" s="1"/>
  <c r="D6" i="1"/>
  <c r="B6" i="1"/>
  <c r="E6" i="1" s="1"/>
  <c r="A6" i="1"/>
  <c r="T4" i="1"/>
  <c r="B2" i="1"/>
  <c r="C7" i="36" s="1"/>
  <c r="C46" i="36"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A51" i="3" s="1"/>
  <c r="AZ51" i="3" s="1"/>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8" i="62"/>
  <c r="B64" i="72" s="1"/>
  <c r="A14" i="62"/>
  <c r="B60" i="72" s="1"/>
  <c r="A13" i="62"/>
  <c r="A12" i="62"/>
  <c r="B58" i="72" s="1"/>
  <c r="A5" i="62"/>
  <c r="B72" i="72" s="1"/>
  <c r="B4" i="62"/>
  <c r="A4" i="62"/>
  <c r="B70" i="72" s="1"/>
  <c r="A10" i="52"/>
  <c r="D6" i="52"/>
  <c r="A6" i="52"/>
  <c r="A4" i="52"/>
  <c r="H2" i="52"/>
  <c r="F2" i="52"/>
  <c r="B50" i="72" s="1"/>
  <c r="D2" i="52"/>
  <c r="A1" i="52"/>
  <c r="D21" i="53"/>
  <c r="B19" i="53"/>
  <c r="D17" i="53"/>
  <c r="B36" i="72" s="1"/>
  <c r="D16"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5" i="72"/>
  <c r="B46" i="72"/>
  <c r="B44" i="72"/>
  <c r="B42" i="72"/>
  <c r="B41" i="72"/>
  <c r="B39" i="72"/>
  <c r="B37" i="72"/>
  <c r="B34" i="72"/>
  <c r="B33" i="72"/>
  <c r="B29" i="72"/>
  <c r="B28" i="72"/>
  <c r="B27" i="72"/>
  <c r="B26" i="72"/>
  <c r="B24" i="72"/>
  <c r="B23" i="72"/>
  <c r="B19" i="72"/>
  <c r="B17" i="72"/>
  <c r="B15" i="72"/>
  <c r="B13" i="72"/>
  <c r="B10" i="72"/>
  <c r="B8" i="72"/>
  <c r="B5" i="72"/>
  <c r="B3" i="72"/>
  <c r="B13" i="76"/>
  <c r="B12" i="76"/>
  <c r="B11" i="76"/>
  <c r="B10" i="76"/>
  <c r="B9" i="76"/>
  <c r="B8" i="76"/>
  <c r="B7" i="76"/>
  <c r="E13" i="76"/>
  <c r="E12" i="76"/>
  <c r="E11" i="76"/>
  <c r="E10" i="76"/>
  <c r="E9" i="76"/>
  <c r="E8" i="76"/>
  <c r="E7" i="76"/>
  <c r="D2" i="36"/>
  <c r="D2" i="35"/>
  <c r="D2" i="37"/>
  <c r="D2" i="34"/>
  <c r="AO13" i="1"/>
  <c r="AO11" i="1"/>
  <c r="AO9" i="1"/>
  <c r="AO7" i="1"/>
  <c r="F20" i="31"/>
  <c r="D2" i="21"/>
  <c r="D2" i="33"/>
  <c r="E2" i="68"/>
  <c r="D34" i="9"/>
  <c r="AO12" i="1"/>
  <c r="AO8" i="1"/>
  <c r="E2" i="69"/>
  <c r="D35" i="9"/>
  <c r="AO10" i="1"/>
  <c r="B10" i="70" l="1"/>
  <c r="B8" i="70"/>
  <c r="B12" i="70"/>
  <c r="B7" i="70"/>
  <c r="B9" i="70"/>
  <c r="B11" i="70"/>
  <c r="B13" i="70"/>
  <c r="AZ14" i="3"/>
  <c r="AZ5" i="3" s="1"/>
  <c r="BA5" i="3"/>
  <c r="E27" i="6" s="1"/>
  <c r="G30" i="6"/>
  <c r="AZ47"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G24" i="78"/>
  <c r="G25" i="78"/>
  <c r="T35" i="4"/>
  <c r="A19" i="51" s="1"/>
  <c r="B14" i="72" s="1"/>
  <c r="AZ49" i="3"/>
  <c r="AZ55" i="3"/>
  <c r="AZ59" i="3"/>
  <c r="AZ67" i="3"/>
  <c r="AZ71" i="3"/>
  <c r="AZ79" i="3"/>
  <c r="AZ87" i="3"/>
  <c r="AZ91" i="3"/>
  <c r="AZ95" i="3"/>
  <c r="AZ99" i="3"/>
  <c r="AZ103" i="3"/>
  <c r="AZ107" i="3"/>
  <c r="AZ119" i="3"/>
  <c r="AZ123" i="3"/>
  <c r="AZ127" i="3"/>
  <c r="AZ131" i="3"/>
  <c r="AZ135" i="3"/>
  <c r="AZ139" i="3"/>
  <c r="AZ143" i="3"/>
  <c r="AZ147" i="3"/>
  <c r="AZ151" i="3"/>
  <c r="AZ155" i="3"/>
  <c r="AZ159" i="3"/>
  <c r="AZ163" i="3"/>
  <c r="AZ167" i="3"/>
  <c r="AZ171" i="3"/>
  <c r="AZ175" i="3"/>
  <c r="AZ179" i="3"/>
  <c r="AZ211" i="3"/>
  <c r="AZ215" i="3"/>
  <c r="AZ219" i="3"/>
  <c r="AZ223" i="3"/>
  <c r="AZ227" i="3"/>
  <c r="AZ235" i="3"/>
  <c r="AZ243" i="3"/>
  <c r="AZ247" i="3"/>
  <c r="AZ251" i="3"/>
  <c r="AZ255" i="3"/>
  <c r="AZ259" i="3"/>
  <c r="AZ263" i="3"/>
  <c r="AZ267" i="3"/>
  <c r="AZ271" i="3"/>
  <c r="AZ275" i="3"/>
  <c r="AB8" i="71"/>
  <c r="X8" i="71"/>
  <c r="Y8" i="71"/>
  <c r="Z8" i="71" s="1"/>
  <c r="AA8" i="71"/>
  <c r="J50" i="40"/>
  <c r="J55" i="39"/>
  <c r="E29" i="6"/>
  <c r="K15" i="1" s="1"/>
  <c r="E28" i="6"/>
  <c r="F30" i="6"/>
  <c r="G13" i="3"/>
  <c r="K143" i="21"/>
  <c r="K141" i="21"/>
  <c r="F15" i="49"/>
  <c r="H15" i="49" s="1"/>
  <c r="B15" i="78"/>
  <c r="B18" i="78"/>
  <c r="A118" i="9"/>
  <c r="A2"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J56" i="9"/>
  <c r="J57" i="9" s="1"/>
  <c r="J59" i="9" s="1"/>
  <c r="J61" i="9" s="1"/>
  <c r="M56" i="9"/>
  <c r="I24" i="43"/>
  <c r="C24" i="43" s="1"/>
  <c r="G6" i="1"/>
  <c r="I4" i="6"/>
  <c r="BB5" i="3"/>
  <c r="E8" i="6"/>
  <c r="E14" i="6"/>
  <c r="E12" i="6"/>
  <c r="E10" i="6"/>
  <c r="E15" i="6"/>
  <c r="E13" i="6"/>
  <c r="E11" i="6"/>
  <c r="E5" i="6"/>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J36" i="33"/>
  <c r="F36" i="33"/>
  <c r="H36" i="33"/>
  <c r="H111" i="33"/>
  <c r="I111" i="33" s="1"/>
  <c r="J111" i="33" s="1"/>
  <c r="K111" i="33" s="1"/>
  <c r="L111" i="33" s="1"/>
  <c r="M111" i="33" s="1"/>
  <c r="G31" i="6"/>
  <c r="H7" i="36"/>
  <c r="D46" i="36"/>
  <c r="E46" i="36" s="1"/>
  <c r="F46" i="36" s="1"/>
  <c r="G46" i="36" s="1"/>
  <c r="H46" i="36" s="1"/>
  <c r="I46" i="36" s="1"/>
  <c r="J46" i="36" s="1"/>
  <c r="K46" i="36" s="1"/>
  <c r="L46" i="36" s="1"/>
  <c r="M46" i="36" s="1"/>
  <c r="N46" i="36" s="1"/>
  <c r="O46" i="36" s="1"/>
  <c r="AR8" i="1"/>
  <c r="T8" i="1"/>
  <c r="S9" i="1"/>
  <c r="B9" i="1"/>
  <c r="E9" i="1" s="1"/>
  <c r="R9" i="1"/>
  <c r="AR12" i="1"/>
  <c r="T12" i="1"/>
  <c r="S13" i="1"/>
  <c r="B13" i="1"/>
  <c r="E13" i="1" s="1"/>
  <c r="R13" i="1"/>
  <c r="F34" i="15"/>
  <c r="M20" i="67"/>
  <c r="B83" i="43"/>
  <c r="C15" i="40"/>
  <c r="B84" i="43"/>
  <c r="C17" i="40"/>
  <c r="B94" i="43"/>
  <c r="B73" i="43"/>
  <c r="B62" i="43"/>
  <c r="B51" i="43"/>
  <c r="C21" i="39"/>
  <c r="B87" i="43"/>
  <c r="C23" i="40"/>
  <c r="B88" i="43"/>
  <c r="C25" i="40"/>
  <c r="B100" i="43"/>
  <c r="B77" i="43"/>
  <c r="B68" i="43"/>
  <c r="B57" i="43"/>
  <c r="C29" i="39"/>
  <c r="C92" i="9"/>
  <c r="D124" i="9"/>
  <c r="H110" i="9"/>
  <c r="C40" i="68"/>
  <c r="C21" i="68"/>
  <c r="F40" i="68"/>
  <c r="D3" i="33"/>
  <c r="S10" i="33"/>
  <c r="S14" i="33"/>
  <c r="S32" i="33"/>
  <c r="AB33" i="33"/>
  <c r="U33" i="33"/>
  <c r="S37" i="33"/>
  <c r="S45" i="33"/>
  <c r="U46" i="33"/>
  <c r="AB26" i="33"/>
  <c r="U26" i="33"/>
  <c r="E123" i="33"/>
  <c r="J42" i="33"/>
  <c r="F42" i="33"/>
  <c r="F34" i="67"/>
  <c r="C48" i="69"/>
  <c r="C30" i="69"/>
  <c r="M20" i="15"/>
  <c r="J51" i="15"/>
  <c r="P61" i="15"/>
  <c r="D26" i="77"/>
  <c r="E23" i="77"/>
  <c r="D38" i="77"/>
  <c r="D39" i="77" s="1"/>
  <c r="S9" i="21"/>
  <c r="S25" i="21"/>
  <c r="S35" i="21"/>
  <c r="S39" i="21"/>
  <c r="S43" i="21"/>
  <c r="AB27" i="21"/>
  <c r="U27" i="21"/>
  <c r="AB29" i="21"/>
  <c r="U29" i="21"/>
  <c r="AB31" i="21"/>
  <c r="U31" i="21"/>
  <c r="K145" i="21"/>
  <c r="AA8" i="34"/>
  <c r="S12" i="34"/>
  <c r="S15" i="34"/>
  <c r="AB27" i="34"/>
  <c r="U27" i="34"/>
  <c r="AC26" i="35"/>
  <c r="W26" i="35"/>
  <c r="AZ575" i="3"/>
  <c r="AZ577" i="3"/>
  <c r="AZ579" i="3"/>
  <c r="AZ581" i="3"/>
  <c r="AZ583" i="3"/>
  <c r="AZ585" i="3"/>
  <c r="AZ587" i="3"/>
  <c r="P16" i="1"/>
  <c r="C11" i="12" s="1"/>
  <c r="S7" i="1"/>
  <c r="B7" i="1"/>
  <c r="E7" i="1" s="1"/>
  <c r="R7" i="1"/>
  <c r="AQ8" i="1"/>
  <c r="G9" i="1"/>
  <c r="K9" i="1"/>
  <c r="M9" i="1" s="1"/>
  <c r="AR10" i="1"/>
  <c r="T10" i="1"/>
  <c r="S11" i="1"/>
  <c r="B11" i="1"/>
  <c r="E11" i="1" s="1"/>
  <c r="R11" i="1"/>
  <c r="AQ12" i="1"/>
  <c r="G13" i="1"/>
  <c r="K13" i="1"/>
  <c r="M13" i="1" s="1"/>
  <c r="E19" i="11"/>
  <c r="E19" i="69"/>
  <c r="C8" i="74"/>
  <c r="C77" i="9"/>
  <c r="C74" i="9" s="1"/>
  <c r="C94" i="9"/>
  <c r="A122" i="9"/>
  <c r="A8" i="52" s="1"/>
  <c r="B54" i="72" s="1"/>
  <c r="A126" i="9"/>
  <c r="A12" i="52" s="1"/>
  <c r="B56" i="72" s="1"/>
  <c r="H111" i="9"/>
  <c r="D121" i="9"/>
  <c r="D7" i="52" s="1"/>
  <c r="AA8" i="33"/>
  <c r="U9" i="33"/>
  <c r="W10" i="33"/>
  <c r="S12" i="33"/>
  <c r="U13" i="33"/>
  <c r="W14" i="33"/>
  <c r="W15" i="33"/>
  <c r="W17" i="33"/>
  <c r="W19" i="33"/>
  <c r="S21" i="33"/>
  <c r="S23" i="33"/>
  <c r="U25" i="33"/>
  <c r="J26" i="33"/>
  <c r="S26" i="33"/>
  <c r="U27" i="33"/>
  <c r="S28" i="33"/>
  <c r="U29" i="33"/>
  <c r="S30" i="33"/>
  <c r="U31" i="33"/>
  <c r="W32" i="33"/>
  <c r="W33" i="33"/>
  <c r="S35" i="33"/>
  <c r="W37" i="33"/>
  <c r="W39" i="33"/>
  <c r="S41" i="33"/>
  <c r="S43" i="33"/>
  <c r="U44" i="33"/>
  <c r="W45" i="33"/>
  <c r="J13" i="33"/>
  <c r="F13" i="33"/>
  <c r="AB15" i="33"/>
  <c r="U15" i="33"/>
  <c r="E79" i="33"/>
  <c r="F79" i="33" s="1"/>
  <c r="G79" i="33" s="1"/>
  <c r="H17" i="33"/>
  <c r="AB19" i="33"/>
  <c r="U19" i="33"/>
  <c r="AB23" i="33"/>
  <c r="U23" i="33"/>
  <c r="AB28" i="33"/>
  <c r="U28" i="33"/>
  <c r="AB30" i="33"/>
  <c r="U30" i="33"/>
  <c r="E117" i="33"/>
  <c r="F117" i="33" s="1"/>
  <c r="G117" i="33" s="1"/>
  <c r="H39" i="33"/>
  <c r="E125" i="33"/>
  <c r="F125" i="33" s="1"/>
  <c r="G125" i="33" s="1"/>
  <c r="H43" i="33"/>
  <c r="J44" i="33"/>
  <c r="F44" i="33"/>
  <c r="J46" i="33"/>
  <c r="F46" i="33"/>
  <c r="F48" i="69"/>
  <c r="C24" i="12"/>
  <c r="D23" i="15"/>
  <c r="D22" i="15"/>
  <c r="D24" i="15"/>
  <c r="C28" i="15"/>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D59" i="34"/>
  <c r="AC8" i="34"/>
  <c r="S10" i="34"/>
  <c r="U11" i="34"/>
  <c r="W12" i="34"/>
  <c r="S14"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7"/>
  <c r="S29" i="37"/>
  <c r="S33" i="37"/>
  <c r="S37" i="37"/>
  <c r="U38" i="37"/>
  <c r="AB13" i="37"/>
  <c r="U13" i="37"/>
  <c r="AB25" i="37"/>
  <c r="U25" i="37"/>
  <c r="AB27" i="37"/>
  <c r="U27" i="37"/>
  <c r="AB8" i="35"/>
  <c r="S14" i="35"/>
  <c r="S18" i="35"/>
  <c r="S23" i="35"/>
  <c r="U24" i="35"/>
  <c r="S28" i="35"/>
  <c r="S32" i="35"/>
  <c r="S36" i="35"/>
  <c r="J24" i="35"/>
  <c r="F24" i="35"/>
  <c r="S10" i="36"/>
  <c r="S26" i="36"/>
  <c r="S30" i="36"/>
  <c r="S34" i="36"/>
  <c r="J9" i="36"/>
  <c r="F9" i="36"/>
  <c r="AB12" i="36"/>
  <c r="U12" i="36"/>
  <c r="AB24" i="36"/>
  <c r="U24" i="36"/>
  <c r="W8" i="39"/>
  <c r="AC8" i="39"/>
  <c r="AA8" i="39"/>
  <c r="AC35" i="39"/>
  <c r="W35" i="39"/>
  <c r="AB40" i="39"/>
  <c r="U40" i="39"/>
  <c r="AC41" i="39"/>
  <c r="W41" i="39"/>
  <c r="S41" i="39"/>
  <c r="AC45" i="39"/>
  <c r="W45" i="39"/>
  <c r="AB12" i="40"/>
  <c r="U12" i="40"/>
  <c r="AC13" i="40"/>
  <c r="W13" i="40"/>
  <c r="S13" i="40"/>
  <c r="R22" i="31"/>
  <c r="B20" i="31"/>
  <c r="B21" i="31" s="1"/>
  <c r="G23" i="43"/>
  <c r="C7" i="40"/>
  <c r="C63" i="40" s="1"/>
  <c r="C7" i="39"/>
  <c r="C67" i="39" s="1"/>
  <c r="C7" i="35"/>
  <c r="C48" i="35" s="1"/>
  <c r="C7" i="37"/>
  <c r="C52" i="37" s="1"/>
  <c r="F3" i="35"/>
  <c r="K6" i="1"/>
  <c r="K8" i="1"/>
  <c r="M8" i="1" s="1"/>
  <c r="K10" i="1"/>
  <c r="M10" i="1" s="1"/>
  <c r="K12" i="1"/>
  <c r="M12" i="1" s="1"/>
  <c r="E1" i="73"/>
  <c r="K1" i="73" s="1"/>
  <c r="G41" i="11"/>
  <c r="G22" i="11"/>
  <c r="F34" i="11"/>
  <c r="C48" i="11"/>
  <c r="C30" i="11"/>
  <c r="B72" i="43"/>
  <c r="C15" i="39"/>
  <c r="B61" i="43"/>
  <c r="C19" i="39"/>
  <c r="B90" i="43"/>
  <c r="C21" i="40"/>
  <c r="B79" i="43"/>
  <c r="B69" i="43"/>
  <c r="B101" i="43"/>
  <c r="B58" i="43"/>
  <c r="C25" i="39"/>
  <c r="B76" i="43"/>
  <c r="B67" i="43"/>
  <c r="B99" i="43"/>
  <c r="B56" i="43"/>
  <c r="C27" i="39"/>
  <c r="B97" i="43"/>
  <c r="B54" i="43"/>
  <c r="B75" i="43"/>
  <c r="B65" i="43"/>
  <c r="F48" i="9"/>
  <c r="O52" i="9" s="1"/>
  <c r="F53" i="9"/>
  <c r="D68" i="9"/>
  <c r="F30" i="68"/>
  <c r="F34" i="68"/>
  <c r="C7" i="33"/>
  <c r="S9" i="33"/>
  <c r="W9" i="33"/>
  <c r="U10" i="33"/>
  <c r="S11" i="33"/>
  <c r="W11" i="33"/>
  <c r="U12" i="33"/>
  <c r="U14" i="33"/>
  <c r="U21" i="33"/>
  <c r="S25" i="33"/>
  <c r="W25" i="33"/>
  <c r="S27" i="33"/>
  <c r="W27" i="33"/>
  <c r="S29" i="33"/>
  <c r="W29" i="33"/>
  <c r="S31" i="33"/>
  <c r="W31" i="33"/>
  <c r="U32" i="33"/>
  <c r="S34" i="33"/>
  <c r="W34" i="33"/>
  <c r="U35" i="33"/>
  <c r="U37" i="33"/>
  <c r="S38" i="33"/>
  <c r="W38" i="33"/>
  <c r="S40" i="33"/>
  <c r="W40" i="33"/>
  <c r="U41" i="33"/>
  <c r="U45" i="33"/>
  <c r="F28" i="67"/>
  <c r="C28" i="67" s="1"/>
  <c r="G1" i="69"/>
  <c r="G22" i="69"/>
  <c r="K1" i="12"/>
  <c r="F11" i="12"/>
  <c r="C23" i="12" s="1"/>
  <c r="F31" i="12"/>
  <c r="C31" i="12" s="1"/>
  <c r="M18" i="15"/>
  <c r="F32" i="15"/>
  <c r="F60" i="15"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8" i="37"/>
  <c r="W9" i="37"/>
  <c r="S11" i="37"/>
  <c r="U12" i="37"/>
  <c r="J13" i="37"/>
  <c r="S13" i="37"/>
  <c r="U14"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H9" i="36"/>
  <c r="W10" i="36"/>
  <c r="F12" i="36"/>
  <c r="W12" i="36"/>
  <c r="S22" i="36"/>
  <c r="U23" i="36"/>
  <c r="J24" i="36"/>
  <c r="S24" i="36"/>
  <c r="U25" i="36"/>
  <c r="W26" i="36"/>
  <c r="S28" i="36"/>
  <c r="U29" i="36"/>
  <c r="W30" i="36"/>
  <c r="S32" i="36"/>
  <c r="U33" i="36"/>
  <c r="W34" i="36"/>
  <c r="J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B17" i="40"/>
  <c r="U17"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J30" i="40"/>
  <c r="F30" i="40"/>
  <c r="S31" i="40"/>
  <c r="U32" i="40"/>
  <c r="S35" i="40"/>
  <c r="J27" i="40"/>
  <c r="F27" i="40"/>
  <c r="J32" i="40"/>
  <c r="F32" i="40"/>
  <c r="AB39" i="40"/>
  <c r="U39" i="40"/>
  <c r="E9" i="43"/>
  <c r="E8" i="43"/>
  <c r="E11" i="43"/>
  <c r="E10" i="43"/>
  <c r="U19" i="40"/>
  <c r="U21" i="40"/>
  <c r="U23" i="40"/>
  <c r="U25" i="40"/>
  <c r="S28" i="40"/>
  <c r="W28" i="40"/>
  <c r="U31" i="40"/>
  <c r="U33" i="40"/>
  <c r="S34" i="40"/>
  <c r="W34" i="40"/>
  <c r="U35" i="40"/>
  <c r="S36" i="40"/>
  <c r="W36" i="40"/>
  <c r="U37" i="40"/>
  <c r="S38" i="40"/>
  <c r="W38" i="40"/>
  <c r="S40" i="40"/>
  <c r="W40" i="40"/>
  <c r="N2" i="43"/>
  <c r="M3" i="43"/>
  <c r="M4" i="43"/>
  <c r="N5" i="43"/>
  <c r="N6" i="43"/>
  <c r="N7" i="43"/>
  <c r="F50" i="43" s="1"/>
  <c r="M8" i="43"/>
  <c r="M9" i="43"/>
  <c r="N10" i="43"/>
  <c r="N11" i="43"/>
  <c r="N12" i="43"/>
  <c r="E44" i="43"/>
  <c r="C44" i="43" s="1"/>
  <c r="H62" i="43"/>
  <c r="H65" i="43"/>
  <c r="H66" i="43"/>
  <c r="H68" i="43"/>
  <c r="H73" i="43"/>
  <c r="H75" i="43"/>
  <c r="H77" i="43"/>
  <c r="H78" i="43"/>
  <c r="H84" i="43"/>
  <c r="H86" i="43"/>
  <c r="H88" i="43"/>
  <c r="H89" i="43"/>
  <c r="H95" i="43"/>
  <c r="H96" i="43"/>
  <c r="H99" i="43"/>
  <c r="H101" i="43"/>
  <c r="H116" i="43"/>
  <c r="N1" i="43"/>
  <c r="M2" i="43"/>
  <c r="S2" i="43"/>
  <c r="N94" i="46"/>
  <c r="N370" i="46"/>
  <c r="B116" i="43"/>
  <c r="N3" i="43"/>
  <c r="N4" i="43"/>
  <c r="M5" i="43"/>
  <c r="S5" i="43"/>
  <c r="M6" i="43"/>
  <c r="S6" i="43"/>
  <c r="M7" i="43"/>
  <c r="C6" i="43" s="1"/>
  <c r="X7" i="43"/>
  <c r="N8" i="43"/>
  <c r="N9" i="43"/>
  <c r="M10" i="43"/>
  <c r="M11" i="43"/>
  <c r="D21" i="43"/>
  <c r="I21" i="43"/>
  <c r="G21" i="43" s="1"/>
  <c r="K21" i="43"/>
  <c r="M21" i="43"/>
  <c r="O21" i="43"/>
  <c r="E26" i="43"/>
  <c r="G26" i="43"/>
  <c r="J26" i="43"/>
  <c r="C27" i="43"/>
  <c r="C25" i="43" s="1"/>
  <c r="N32" i="43"/>
  <c r="F37" i="43"/>
  <c r="F38" i="43"/>
  <c r="F39" i="43"/>
  <c r="F40" i="43"/>
  <c r="F41" i="43"/>
  <c r="F42" i="43"/>
  <c r="H61" i="43"/>
  <c r="H63" i="43"/>
  <c r="H64" i="43"/>
  <c r="H67" i="43"/>
  <c r="H72" i="43"/>
  <c r="H74" i="43"/>
  <c r="H76" i="43"/>
  <c r="H79" i="43"/>
  <c r="H83" i="43"/>
  <c r="H85" i="43"/>
  <c r="H87" i="43"/>
  <c r="H94" i="43"/>
  <c r="H97" i="43"/>
  <c r="H98" i="43"/>
  <c r="L3" i="79"/>
  <c r="N3" i="79"/>
  <c r="S3" i="79"/>
  <c r="U3" i="79"/>
  <c r="P6" i="79"/>
  <c r="P8" i="79"/>
  <c r="P10" i="79"/>
  <c r="P12" i="79"/>
  <c r="P14" i="79"/>
  <c r="L23" i="79"/>
  <c r="N23" i="79"/>
  <c r="S23" i="79"/>
  <c r="U23" i="79"/>
  <c r="P25" i="79"/>
  <c r="P27" i="79"/>
  <c r="P29" i="79"/>
  <c r="P31" i="79"/>
  <c r="P33" i="79"/>
  <c r="P35" i="79"/>
  <c r="AA9" i="71"/>
  <c r="AB9" i="71"/>
  <c r="X10" i="71"/>
  <c r="Y11" i="71"/>
  <c r="Z11" i="71" s="1"/>
  <c r="AB12" i="71"/>
  <c r="AA12" i="71"/>
  <c r="AA13" i="71"/>
  <c r="AB13" i="71"/>
  <c r="X14" i="71"/>
  <c r="Y15" i="71"/>
  <c r="Z15" i="71" s="1"/>
  <c r="AB16" i="71"/>
  <c r="AA16" i="71"/>
  <c r="AA17" i="71"/>
  <c r="AB17" i="71"/>
  <c r="X18" i="71"/>
  <c r="Y19" i="71"/>
  <c r="Z19" i="71" s="1"/>
  <c r="AB20" i="71"/>
  <c r="AA20" i="71"/>
  <c r="AA21" i="71"/>
  <c r="AB21" i="71"/>
  <c r="X22" i="71"/>
  <c r="E23" i="71"/>
  <c r="E22" i="71" s="1"/>
  <c r="E21" i="71" s="1"/>
  <c r="E20" i="71" s="1"/>
  <c r="Y23" i="71"/>
  <c r="Z23" i="71" s="1"/>
  <c r="S24" i="71"/>
  <c r="B23" i="71"/>
  <c r="B22" i="71" s="1"/>
  <c r="B21" i="71" s="1"/>
  <c r="B20" i="71" s="1"/>
  <c r="X24" i="71"/>
  <c r="Y24" i="71"/>
  <c r="Z24" i="71" s="1"/>
  <c r="AA25" i="71"/>
  <c r="AB25" i="71"/>
  <c r="X26" i="71"/>
  <c r="E27" i="71"/>
  <c r="E26" i="71" s="1"/>
  <c r="Y27" i="71"/>
  <c r="Z27" i="71" s="1"/>
  <c r="S28" i="71"/>
  <c r="B27" i="71"/>
  <c r="B26" i="71" s="1"/>
  <c r="X28" i="71"/>
  <c r="Y28" i="71"/>
  <c r="Z28" i="71" s="1"/>
  <c r="B30" i="71"/>
  <c r="B31" i="71" s="1"/>
  <c r="B32" i="71" s="1"/>
  <c r="S32" i="71" s="1"/>
  <c r="X29" i="71"/>
  <c r="AA29" i="71"/>
  <c r="Y29" i="71"/>
  <c r="Z29" i="71" s="1"/>
  <c r="E30" i="71"/>
  <c r="E31" i="71" s="1"/>
  <c r="E32" i="71" s="1"/>
  <c r="U32" i="71" s="1"/>
  <c r="Y30" i="71"/>
  <c r="Z30" i="71" s="1"/>
  <c r="AA31" i="71"/>
  <c r="C35" i="71"/>
  <c r="D34" i="71"/>
  <c r="AB35" i="71"/>
  <c r="AB34" i="71"/>
  <c r="AA36" i="71"/>
  <c r="AA33" i="71"/>
  <c r="AB39" i="71"/>
  <c r="AB38" i="71"/>
  <c r="C44" i="71"/>
  <c r="D43" i="71"/>
  <c r="P26" i="79"/>
  <c r="P28" i="79"/>
  <c r="P30" i="79"/>
  <c r="P32" i="79"/>
  <c r="P34" i="79"/>
  <c r="D23" i="71"/>
  <c r="C22" i="71"/>
  <c r="D27" i="71"/>
  <c r="C26" i="71"/>
  <c r="D26" i="71" s="1"/>
  <c r="C31" i="71"/>
  <c r="D30" i="71"/>
  <c r="AB31" i="71"/>
  <c r="AB30" i="71"/>
  <c r="C39" i="71"/>
  <c r="D38" i="71"/>
  <c r="C56" i="71"/>
  <c r="D55" i="71"/>
  <c r="C60" i="71"/>
  <c r="D59" i="71"/>
  <c r="F30" i="71"/>
  <c r="F31" i="71" s="1"/>
  <c r="F32" i="71" s="1"/>
  <c r="V32" i="71" s="1"/>
  <c r="AB29" i="71"/>
  <c r="AA30" i="71"/>
  <c r="X31" i="71"/>
  <c r="Y32" i="71"/>
  <c r="Z32" i="71" s="1"/>
  <c r="F34" i="71"/>
  <c r="F35" i="71" s="1"/>
  <c r="F36" i="71" s="1"/>
  <c r="V36" i="71" s="1"/>
  <c r="AB33" i="71"/>
  <c r="AA34" i="71"/>
  <c r="X35" i="71"/>
  <c r="Y36" i="71"/>
  <c r="Z36" i="71" s="1"/>
  <c r="F38" i="71"/>
  <c r="F39" i="71" s="1"/>
  <c r="F40" i="71" s="1"/>
  <c r="V40" i="71" s="1"/>
  <c r="AB37" i="71"/>
  <c r="D42" i="71"/>
  <c r="C47" i="71"/>
  <c r="D47" i="71" s="1"/>
  <c r="D46" i="71"/>
  <c r="C52" i="71"/>
  <c r="D51" i="71"/>
  <c r="X33" i="71"/>
  <c r="X37" i="71"/>
  <c r="E47" i="71"/>
  <c r="E48" i="71" s="1"/>
  <c r="U48" i="71" s="1"/>
  <c r="D50" i="71"/>
  <c r="D58" i="71"/>
  <c r="C63" i="71"/>
  <c r="D62" i="71"/>
  <c r="D66" i="71"/>
  <c r="D68" i="71"/>
  <c r="O68" i="71"/>
  <c r="Q68" i="71"/>
  <c r="J1" i="73"/>
  <c r="D67" i="71"/>
  <c r="N68" i="71"/>
  <c r="P68" i="71"/>
  <c r="C82" i="71"/>
  <c r="D82" i="71" s="1"/>
  <c r="C86" i="71"/>
  <c r="D86" i="71" s="1"/>
  <c r="C76" i="15"/>
  <c r="L47" i="15"/>
  <c r="F42" i="15"/>
  <c r="M28" i="15"/>
  <c r="M22" i="15"/>
  <c r="F9" i="15"/>
  <c r="F7" i="15"/>
  <c r="F38" i="15"/>
  <c r="M29" i="15"/>
  <c r="F16" i="15"/>
  <c r="M9" i="15"/>
  <c r="F35" i="15"/>
  <c r="F26" i="15"/>
  <c r="M21" i="15"/>
  <c r="F13" i="15"/>
  <c r="M6" i="15"/>
  <c r="L48" i="67"/>
  <c r="F37" i="67"/>
  <c r="M27" i="67"/>
  <c r="F26" i="67"/>
  <c r="J15" i="67"/>
  <c r="F13" i="67"/>
  <c r="M8" i="67"/>
  <c r="F6" i="67"/>
  <c r="M28" i="67"/>
  <c r="F42" i="67"/>
  <c r="F7" i="67"/>
  <c r="M22" i="67"/>
  <c r="F40" i="67"/>
  <c r="F6" i="73"/>
  <c r="F4" i="73"/>
  <c r="L48" i="15"/>
  <c r="F43" i="15"/>
  <c r="F40" i="15"/>
  <c r="M24" i="15"/>
  <c r="F8" i="15"/>
  <c r="F41" i="15"/>
  <c r="F36" i="15"/>
  <c r="M26" i="15"/>
  <c r="F6" i="15"/>
  <c r="F37" i="15"/>
  <c r="M27" i="15"/>
  <c r="M23" i="15"/>
  <c r="J15" i="15"/>
  <c r="M8" i="15"/>
  <c r="L47" i="67"/>
  <c r="F38" i="67"/>
  <c r="F36" i="67"/>
  <c r="M29" i="67"/>
  <c r="M26" i="67"/>
  <c r="M23" i="67"/>
  <c r="F16" i="67"/>
  <c r="M9" i="67"/>
  <c r="M6" i="67"/>
  <c r="F8" i="67"/>
  <c r="C76" i="67"/>
  <c r="F9" i="67"/>
  <c r="M24" i="67"/>
  <c r="F43" i="67"/>
  <c r="F7" i="73"/>
  <c r="F5" i="73"/>
  <c r="F3" i="73"/>
  <c r="F71" i="67" l="1"/>
  <c r="Q71" i="67"/>
  <c r="F51" i="67"/>
  <c r="F64" i="67"/>
  <c r="F66" i="67"/>
  <c r="M59" i="67"/>
  <c r="N59" i="67"/>
  <c r="L59" i="67"/>
  <c r="L58" i="67"/>
  <c r="F65" i="15"/>
  <c r="C6" i="15"/>
  <c r="F64" i="15"/>
  <c r="F69" i="15"/>
  <c r="F51" i="15"/>
  <c r="F68" i="15"/>
  <c r="F71" i="15"/>
  <c r="J53" i="15"/>
  <c r="J57" i="15"/>
  <c r="J55" i="15" s="1"/>
  <c r="J58" i="15" s="1"/>
  <c r="Q50" i="15" s="1"/>
  <c r="I1" i="73"/>
  <c r="B39" i="1" s="1"/>
  <c r="F68" i="67"/>
  <c r="F50" i="67"/>
  <c r="M7" i="67"/>
  <c r="J6" i="67" s="1"/>
  <c r="C6" i="67"/>
  <c r="C27" i="67"/>
  <c r="F65" i="67"/>
  <c r="L57" i="67"/>
  <c r="L56" i="67"/>
  <c r="L60" i="67"/>
  <c r="I54" i="67"/>
  <c r="J57" i="67"/>
  <c r="J55" i="67" s="1"/>
  <c r="J58" i="67" s="1"/>
  <c r="Q50" i="67" s="1"/>
  <c r="J53" i="67"/>
  <c r="C27" i="15"/>
  <c r="F63" i="15"/>
  <c r="F66" i="15"/>
  <c r="F50" i="15"/>
  <c r="M7" i="15"/>
  <c r="J6" i="15" s="1"/>
  <c r="N59" i="15"/>
  <c r="L59" i="15"/>
  <c r="L58" i="15"/>
  <c r="M59" i="15"/>
  <c r="Q71" i="15"/>
  <c r="H58" i="43"/>
  <c r="G58" i="43" s="1"/>
  <c r="H57" i="43"/>
  <c r="G57" i="43" s="1"/>
  <c r="H56" i="43"/>
  <c r="G56" i="43" s="1"/>
  <c r="H55" i="43"/>
  <c r="G55" i="43" s="1"/>
  <c r="H52" i="43"/>
  <c r="G52" i="43" s="1"/>
  <c r="H51" i="43"/>
  <c r="G51" i="43" s="1"/>
  <c r="H50" i="43"/>
  <c r="G50" i="43" s="1"/>
  <c r="H54" i="43"/>
  <c r="G54" i="43" s="1"/>
  <c r="H53" i="43"/>
  <c r="G53" i="43" s="1"/>
  <c r="E3" i="6"/>
  <c r="C64" i="71"/>
  <c r="D63" i="71"/>
  <c r="T60" i="71"/>
  <c r="D60" i="71"/>
  <c r="T56" i="71"/>
  <c r="D56" i="71"/>
  <c r="D39" i="71"/>
  <c r="C40" i="71"/>
  <c r="D31" i="71"/>
  <c r="C32" i="71"/>
  <c r="S20" i="71"/>
  <c r="B19" i="71"/>
  <c r="B18" i="71" s="1"/>
  <c r="B17" i="71" s="1"/>
  <c r="B16" i="71" s="1"/>
  <c r="C5" i="43"/>
  <c r="D5" i="43"/>
  <c r="AC32" i="40"/>
  <c r="W32" i="40"/>
  <c r="AC27" i="40"/>
  <c r="W27" i="40"/>
  <c r="AC30" i="40"/>
  <c r="W30" i="40"/>
  <c r="S14" i="39"/>
  <c r="AA14" i="39"/>
  <c r="S12" i="39"/>
  <c r="AA12" i="39"/>
  <c r="AA33" i="36"/>
  <c r="S33" i="36"/>
  <c r="AC35" i="35"/>
  <c r="W35" i="35"/>
  <c r="AB26" i="35"/>
  <c r="U26" i="35"/>
  <c r="AC40" i="37"/>
  <c r="W40" i="37"/>
  <c r="AC38" i="37"/>
  <c r="W38" i="37"/>
  <c r="AC27" i="37"/>
  <c r="W27" i="37"/>
  <c r="D58" i="21"/>
  <c r="E58" i="21" s="1"/>
  <c r="F58" i="21" s="1"/>
  <c r="G58" i="21" s="1"/>
  <c r="H58" i="21" s="1"/>
  <c r="I58" i="21" s="1"/>
  <c r="J58" i="21" s="1"/>
  <c r="K58" i="21" s="1"/>
  <c r="L58" i="21" s="1"/>
  <c r="M58" i="21" s="1"/>
  <c r="N58" i="21" s="1"/>
  <c r="O58" i="21" s="1"/>
  <c r="H7" i="21"/>
  <c r="F7" i="21"/>
  <c r="J7" i="21"/>
  <c r="C36" i="68"/>
  <c r="D48" i="35"/>
  <c r="E48" i="35" s="1"/>
  <c r="F48" i="35" s="1"/>
  <c r="G48" i="35" s="1"/>
  <c r="H48" i="35" s="1"/>
  <c r="I48" i="35" s="1"/>
  <c r="J48" i="35" s="1"/>
  <c r="K48" i="35" s="1"/>
  <c r="L48" i="35" s="1"/>
  <c r="M48" i="35" s="1"/>
  <c r="N48" i="35" s="1"/>
  <c r="O48" i="35" s="1"/>
  <c r="H7" i="35"/>
  <c r="J7" i="35"/>
  <c r="F7" i="35"/>
  <c r="C65" i="40"/>
  <c r="D63" i="40"/>
  <c r="AC9" i="36"/>
  <c r="W9" i="36"/>
  <c r="AC24" i="35"/>
  <c r="W24" i="35"/>
  <c r="E59" i="34"/>
  <c r="AA46" i="33"/>
  <c r="S46" i="33"/>
  <c r="AA44" i="33"/>
  <c r="S44" i="33"/>
  <c r="AB43" i="33"/>
  <c r="U43" i="33"/>
  <c r="AB39" i="33"/>
  <c r="U39" i="33"/>
  <c r="AB17" i="33"/>
  <c r="U17" i="33"/>
  <c r="AA13" i="33"/>
  <c r="S13" i="33"/>
  <c r="AC26" i="33"/>
  <c r="W26" i="33"/>
  <c r="D126" i="9"/>
  <c r="D19" i="53"/>
  <c r="C15" i="12"/>
  <c r="C12" i="12"/>
  <c r="E38" i="77"/>
  <c r="E39" i="77" s="1"/>
  <c r="C40" i="77" s="1"/>
  <c r="E29" i="77"/>
  <c r="E26" i="77"/>
  <c r="E32" i="77" s="1"/>
  <c r="I54" i="15"/>
  <c r="F62" i="67"/>
  <c r="AA42" i="33"/>
  <c r="S42" i="33"/>
  <c r="F123" i="33"/>
  <c r="G123" i="33" s="1"/>
  <c r="H123" i="33" s="1"/>
  <c r="I123" i="33" s="1"/>
  <c r="J123" i="33" s="1"/>
  <c r="K123" i="33" s="1"/>
  <c r="L123" i="33" s="1"/>
  <c r="M123" i="33" s="1"/>
  <c r="H42" i="33"/>
  <c r="D125" i="9"/>
  <c r="D11" i="52" s="1"/>
  <c r="D10" i="52"/>
  <c r="AQ13" i="1"/>
  <c r="AR13" i="1"/>
  <c r="T13" i="1"/>
  <c r="F7" i="36"/>
  <c r="AB36" i="33"/>
  <c r="U36" i="33"/>
  <c r="AC36" i="33"/>
  <c r="W36" i="33"/>
  <c r="D9" i="11"/>
  <c r="C9" i="11" s="1"/>
  <c r="D19" i="12"/>
  <c r="C19" i="12" s="1"/>
  <c r="D9" i="68"/>
  <c r="E58" i="40"/>
  <c r="E62" i="39"/>
  <c r="E59" i="40"/>
  <c r="E63" i="39"/>
  <c r="G16" i="1"/>
  <c r="G5" i="3"/>
  <c r="B3" i="3" s="1"/>
  <c r="E13" i="3" s="1"/>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52" i="71"/>
  <c r="T52" i="71"/>
  <c r="D22" i="71"/>
  <c r="C21" i="71"/>
  <c r="T44" i="71"/>
  <c r="D44" i="71"/>
  <c r="D35" i="71"/>
  <c r="C36" i="71"/>
  <c r="V20" i="71"/>
  <c r="E19" i="71"/>
  <c r="E18" i="71" s="1"/>
  <c r="E17" i="71" s="1"/>
  <c r="E16" i="71" s="1"/>
  <c r="D26"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18" i="43"/>
  <c r="J118" i="43" s="1"/>
  <c r="K118" i="43" s="1"/>
  <c r="L118" i="43" s="1"/>
  <c r="M118" i="43" s="1"/>
  <c r="D116" i="43"/>
  <c r="AA32" i="40"/>
  <c r="S32" i="40"/>
  <c r="AA27" i="40"/>
  <c r="S27" i="40"/>
  <c r="AA30" i="40"/>
  <c r="S30" i="40"/>
  <c r="AB14" i="39"/>
  <c r="U14" i="39"/>
  <c r="AB12" i="39"/>
  <c r="U12" i="39"/>
  <c r="AC33" i="36"/>
  <c r="W33" i="36"/>
  <c r="AC24" i="36"/>
  <c r="W24" i="36"/>
  <c r="AA12" i="36"/>
  <c r="S12" i="36"/>
  <c r="AB9" i="36"/>
  <c r="U9" i="36"/>
  <c r="AA35" i="35"/>
  <c r="S35" i="35"/>
  <c r="AA40" i="37"/>
  <c r="S40" i="37"/>
  <c r="AA38" i="37"/>
  <c r="S38" i="37"/>
  <c r="AC25" i="37"/>
  <c r="W25" i="37"/>
  <c r="AC13" i="37"/>
  <c r="W13" i="37"/>
  <c r="C58" i="33"/>
  <c r="D58" i="33" s="1"/>
  <c r="E58" i="33" s="1"/>
  <c r="F58" i="33" s="1"/>
  <c r="G58" i="33" s="1"/>
  <c r="H58" i="33" s="1"/>
  <c r="I58" i="33" s="1"/>
  <c r="J58" i="33" s="1"/>
  <c r="K58" i="33" s="1"/>
  <c r="L58" i="33" s="1"/>
  <c r="M58" i="33" s="1"/>
  <c r="N58" i="33" s="1"/>
  <c r="O58" i="33" s="1"/>
  <c r="I7" i="33"/>
  <c r="E7" i="33"/>
  <c r="F7" i="33" s="1"/>
  <c r="G7" i="33"/>
  <c r="C48" i="68"/>
  <c r="F48" i="68"/>
  <c r="C30" i="68"/>
  <c r="C36" i="11"/>
  <c r="H16" i="1"/>
  <c r="Q16" i="1"/>
  <c r="M6" i="1"/>
  <c r="K16" i="1"/>
  <c r="D52" i="37"/>
  <c r="E52" i="37" s="1"/>
  <c r="F52" i="37" s="1"/>
  <c r="G52" i="37" s="1"/>
  <c r="H52" i="37" s="1"/>
  <c r="I52" i="37" s="1"/>
  <c r="J52" i="37" s="1"/>
  <c r="K52" i="37" s="1"/>
  <c r="L52" i="37" s="1"/>
  <c r="M52" i="37" s="1"/>
  <c r="N52" i="37" s="1"/>
  <c r="O52" i="37" s="1"/>
  <c r="H7" i="37"/>
  <c r="F7" i="37"/>
  <c r="J7" i="37"/>
  <c r="C69" i="39"/>
  <c r="D67" i="39"/>
  <c r="A1" i="79"/>
  <c r="P29" i="43"/>
  <c r="P25" i="43"/>
  <c r="O23" i="43"/>
  <c r="C23" i="43"/>
  <c r="P28" i="43"/>
  <c r="B66" i="40" s="1"/>
  <c r="P27" i="43"/>
  <c r="B70" i="39" s="1"/>
  <c r="P26" i="43"/>
  <c r="AA9" i="36"/>
  <c r="S9" i="36"/>
  <c r="AA24" i="35"/>
  <c r="S24" i="35"/>
  <c r="AA31" i="21"/>
  <c r="S31" i="21"/>
  <c r="AA29" i="21"/>
  <c r="S29" i="21"/>
  <c r="AA27" i="21"/>
  <c r="S27" i="21"/>
  <c r="AC46" i="33"/>
  <c r="W46" i="33"/>
  <c r="AC44" i="33"/>
  <c r="W44" i="33"/>
  <c r="AC13" i="33"/>
  <c r="W13" i="33"/>
  <c r="AQ11" i="1"/>
  <c r="AR11" i="1"/>
  <c r="T11" i="1"/>
  <c r="AQ7" i="1"/>
  <c r="AR7" i="1"/>
  <c r="T7" i="1"/>
  <c r="J20" i="15"/>
  <c r="AC42" i="33"/>
  <c r="W42" i="33"/>
  <c r="C7" i="74"/>
  <c r="D18" i="53"/>
  <c r="B35" i="72" s="1"/>
  <c r="F62" i="15"/>
  <c r="C62" i="15" s="1"/>
  <c r="C34" i="15"/>
  <c r="AQ9" i="1"/>
  <c r="AR9" i="1"/>
  <c r="T9" i="1"/>
  <c r="U7" i="36"/>
  <c r="AB7" i="36"/>
  <c r="T36" i="36" s="1"/>
  <c r="G36" i="36" s="1"/>
  <c r="J7" i="36"/>
  <c r="AA36" i="33"/>
  <c r="S36" i="33"/>
  <c r="E56" i="40"/>
  <c r="E60" i="39"/>
  <c r="E60" i="40"/>
  <c r="E64" i="39"/>
  <c r="E57" i="40"/>
  <c r="E61" i="39"/>
  <c r="E56" i="39"/>
  <c r="E51" i="40"/>
  <c r="F27" i="6"/>
  <c r="F31" i="6" s="1"/>
  <c r="E16" i="6"/>
  <c r="C17" i="15"/>
  <c r="C16" i="15"/>
  <c r="D7" i="73"/>
  <c r="D5" i="73"/>
  <c r="G1" i="73" s="1"/>
  <c r="D3" i="73"/>
  <c r="C36" i="69"/>
  <c r="C16" i="67"/>
  <c r="D6" i="73"/>
  <c r="D4" i="73"/>
  <c r="D9" i="69"/>
  <c r="F27" i="69"/>
  <c r="C14" i="15"/>
  <c r="C18" i="15" l="1"/>
  <c r="C15" i="15"/>
  <c r="F45" i="69"/>
  <c r="C29" i="69"/>
  <c r="D27" i="69" s="1"/>
  <c r="C47" i="69"/>
  <c r="D45" i="69" s="1"/>
  <c r="C9" i="69"/>
  <c r="B40" i="1"/>
  <c r="C41" i="77"/>
  <c r="B2" i="77"/>
  <c r="B3" i="77" s="1"/>
  <c r="J19" i="15"/>
  <c r="J18" i="15"/>
  <c r="J18" i="67"/>
  <c r="J19" i="67"/>
  <c r="AC7" i="36"/>
  <c r="V36" i="36" s="1"/>
  <c r="I36" i="36" s="1"/>
  <c r="W7" i="36"/>
  <c r="E65" i="39"/>
  <c r="G41" i="36"/>
  <c r="H41" i="36" s="1"/>
  <c r="G40" i="36"/>
  <c r="H40" i="36" s="1"/>
  <c r="S7" i="37"/>
  <c r="AA7" i="37"/>
  <c r="R42" i="37" s="1"/>
  <c r="M16" i="1"/>
  <c r="H7" i="33"/>
  <c r="J7" i="33"/>
  <c r="C9" i="68"/>
  <c r="B38" i="72"/>
  <c r="D20" i="53"/>
  <c r="B40" i="72" s="1"/>
  <c r="F59" i="34"/>
  <c r="W7" i="35"/>
  <c r="AC7" i="35"/>
  <c r="V38" i="35" s="1"/>
  <c r="I38" i="35" s="1"/>
  <c r="S7" i="21"/>
  <c r="AA7" i="21"/>
  <c r="R48" i="21" s="1"/>
  <c r="T64" i="71"/>
  <c r="D64" i="71"/>
  <c r="D37" i="11"/>
  <c r="C37" i="11" s="1"/>
  <c r="D19" i="11"/>
  <c r="C19" i="11" s="1"/>
  <c r="D3" i="34"/>
  <c r="B3" i="34" s="1"/>
  <c r="D14" i="12"/>
  <c r="M18" i="9"/>
  <c r="B118" i="9" s="1"/>
  <c r="D3" i="37"/>
  <c r="B3" i="37" s="1"/>
  <c r="D3" i="21"/>
  <c r="B3" i="21" s="1"/>
  <c r="L18" i="9"/>
  <c r="E6" i="6"/>
  <c r="C17" i="4"/>
  <c r="B4" i="52" s="1"/>
  <c r="B43" i="72" s="1"/>
  <c r="M53" i="43"/>
  <c r="N53" i="43" s="1"/>
  <c r="K53" i="43"/>
  <c r="J53" i="43" s="1"/>
  <c r="K50" i="43"/>
  <c r="J50" i="43" s="1"/>
  <c r="M50" i="43"/>
  <c r="N50" i="43" s="1"/>
  <c r="K52" i="43"/>
  <c r="M52" i="43"/>
  <c r="N52" i="43" s="1"/>
  <c r="K56" i="43"/>
  <c r="J56" i="43" s="1"/>
  <c r="M56" i="43"/>
  <c r="N56" i="43" s="1"/>
  <c r="K58" i="43"/>
  <c r="J58" i="43" s="1"/>
  <c r="M58" i="43"/>
  <c r="N58" i="43" s="1"/>
  <c r="Q61" i="15"/>
  <c r="Q74" i="15"/>
  <c r="Q57" i="67"/>
  <c r="Q66" i="67"/>
  <c r="C33" i="67"/>
  <c r="C32" i="67"/>
  <c r="F11" i="15"/>
  <c r="M11" i="67"/>
  <c r="J10" i="67" s="1"/>
  <c r="J5" i="67" s="1"/>
  <c r="M11" i="15"/>
  <c r="J10" i="15" s="1"/>
  <c r="J5" i="15" s="1"/>
  <c r="F11" i="67"/>
  <c r="C53" i="67" s="1"/>
  <c r="C49" i="15"/>
  <c r="Q74" i="67"/>
  <c r="Q61" i="67"/>
  <c r="C49" i="67"/>
  <c r="D69" i="39"/>
  <c r="E67" i="39"/>
  <c r="W7" i="37"/>
  <c r="AC7" i="37"/>
  <c r="V42" i="37" s="1"/>
  <c r="I42" i="37" s="1"/>
  <c r="AB7" i="37"/>
  <c r="T42" i="37" s="1"/>
  <c r="G42" i="37" s="1"/>
  <c r="U7" i="37"/>
  <c r="F27" i="11"/>
  <c r="F28" i="12"/>
  <c r="C29" i="12" s="1"/>
  <c r="D28" i="12" s="1"/>
  <c r="F27" i="68"/>
  <c r="AA7" i="33"/>
  <c r="R48" i="33" s="1"/>
  <c r="S7" i="33"/>
  <c r="V16" i="71"/>
  <c r="E15" i="71"/>
  <c r="E14" i="71" s="1"/>
  <c r="E13" i="71" s="1"/>
  <c r="E12" i="71" s="1"/>
  <c r="T36" i="71"/>
  <c r="D36" i="71"/>
  <c r="D21" i="71"/>
  <c r="C20" i="71"/>
  <c r="M19" i="6"/>
  <c r="K27" i="6"/>
  <c r="S6" i="1"/>
  <c r="I3" i="6"/>
  <c r="E586" i="3"/>
  <c r="E584" i="3"/>
  <c r="E582" i="3"/>
  <c r="E580" i="3"/>
  <c r="E578" i="3"/>
  <c r="E576" i="3"/>
  <c r="AO6" i="3"/>
  <c r="AI6" i="3"/>
  <c r="AE6" i="3"/>
  <c r="AA6" i="3"/>
  <c r="Y6" i="3"/>
  <c r="W6" i="3"/>
  <c r="U6" i="3"/>
  <c r="S6" i="3"/>
  <c r="Q6" i="3"/>
  <c r="O6" i="3"/>
  <c r="M6" i="3"/>
  <c r="K6" i="3"/>
  <c r="I6" i="3"/>
  <c r="H6" i="3" s="1"/>
  <c r="AS6" i="3"/>
  <c r="AQ6" i="3"/>
  <c r="AM6" i="3"/>
  <c r="AK6" i="3"/>
  <c r="AG6" i="3"/>
  <c r="E17" i="3"/>
  <c r="E21" i="3"/>
  <c r="E25" i="3"/>
  <c r="E29" i="3"/>
  <c r="E33" i="3"/>
  <c r="E37" i="3"/>
  <c r="E41" i="3"/>
  <c r="E45" i="3"/>
  <c r="E51"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1"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93" i="3"/>
  <c r="E301" i="3"/>
  <c r="E309" i="3"/>
  <c r="E317" i="3"/>
  <c r="E325" i="3"/>
  <c r="E333" i="3"/>
  <c r="E341" i="3"/>
  <c r="E349" i="3"/>
  <c r="E357" i="3"/>
  <c r="AF6" i="3"/>
  <c r="AJ6" i="3"/>
  <c r="AN6" i="3"/>
  <c r="AR6" i="3"/>
  <c r="L6" i="3"/>
  <c r="P6" i="3"/>
  <c r="T6" i="3"/>
  <c r="X6" i="3"/>
  <c r="AB6" i="3"/>
  <c r="E16" i="3"/>
  <c r="E20" i="3"/>
  <c r="E24" i="3"/>
  <c r="E28" i="3"/>
  <c r="E32" i="3"/>
  <c r="E36" i="3"/>
  <c r="E40" i="3"/>
  <c r="E44" i="3"/>
  <c r="E48" i="3"/>
  <c r="E55" i="3"/>
  <c r="E58" i="3"/>
  <c r="E63" i="3"/>
  <c r="E67" i="3"/>
  <c r="E70" i="3"/>
  <c r="E75" i="3"/>
  <c r="E79" i="3"/>
  <c r="E82" i="3"/>
  <c r="E86" i="3"/>
  <c r="E91" i="3"/>
  <c r="E94" i="3"/>
  <c r="E99" i="3"/>
  <c r="E102" i="3"/>
  <c r="E107" i="3"/>
  <c r="E110" i="3"/>
  <c r="E114" i="3"/>
  <c r="E118" i="3"/>
  <c r="E123" i="3"/>
  <c r="E126" i="3"/>
  <c r="E131" i="3"/>
  <c r="E134" i="3"/>
  <c r="E139" i="3"/>
  <c r="E142" i="3"/>
  <c r="E147" i="3"/>
  <c r="E150" i="3"/>
  <c r="E155" i="3"/>
  <c r="E158" i="3"/>
  <c r="E163" i="3"/>
  <c r="E166" i="3"/>
  <c r="E171" i="3"/>
  <c r="E174" i="3"/>
  <c r="E179" i="3"/>
  <c r="E182" i="3"/>
  <c r="E186" i="3"/>
  <c r="E190" i="3"/>
  <c r="E194" i="3"/>
  <c r="E198" i="3"/>
  <c r="E202" i="3"/>
  <c r="E206" i="3"/>
  <c r="E210" i="3"/>
  <c r="E215" i="3"/>
  <c r="E218" i="3"/>
  <c r="E223" i="3"/>
  <c r="E226" i="3"/>
  <c r="E231" i="3"/>
  <c r="E235" i="3"/>
  <c r="E238" i="3"/>
  <c r="E242" i="3"/>
  <c r="E247" i="3"/>
  <c r="E250" i="3"/>
  <c r="E255" i="3"/>
  <c r="E258" i="3"/>
  <c r="E263" i="3"/>
  <c r="E266" i="3"/>
  <c r="E271" i="3"/>
  <c r="E274" i="3"/>
  <c r="E279" i="3"/>
  <c r="E287" i="3"/>
  <c r="E295" i="3"/>
  <c r="E303" i="3"/>
  <c r="E311" i="3"/>
  <c r="E319" i="3"/>
  <c r="E327" i="3"/>
  <c r="E335" i="3"/>
  <c r="E343" i="3"/>
  <c r="E351"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282" i="3"/>
  <c r="E286" i="3"/>
  <c r="E290" i="3"/>
  <c r="E294" i="3"/>
  <c r="E298" i="3"/>
  <c r="E302" i="3"/>
  <c r="E306" i="3"/>
  <c r="E310" i="3"/>
  <c r="E314" i="3"/>
  <c r="E318" i="3"/>
  <c r="E322" i="3"/>
  <c r="E326" i="3"/>
  <c r="E330" i="3"/>
  <c r="E334" i="3"/>
  <c r="E338" i="3"/>
  <c r="E342" i="3"/>
  <c r="E346" i="3"/>
  <c r="E350" i="3"/>
  <c r="E354" i="3"/>
  <c r="E358"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7" i="3"/>
  <c r="E581" i="3"/>
  <c r="E585" i="3"/>
  <c r="E15" i="3"/>
  <c r="E19" i="3"/>
  <c r="E23" i="3"/>
  <c r="E27" i="3"/>
  <c r="E31" i="3"/>
  <c r="E35" i="3"/>
  <c r="E39" i="3"/>
  <c r="E43" i="3"/>
  <c r="E47" i="3"/>
  <c r="E50"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0"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9" i="3"/>
  <c r="E297" i="3"/>
  <c r="E305" i="3"/>
  <c r="E313" i="3"/>
  <c r="E321" i="3"/>
  <c r="E329" i="3"/>
  <c r="E337" i="3"/>
  <c r="E345" i="3"/>
  <c r="E353" i="3"/>
  <c r="AD6" i="3"/>
  <c r="AH6" i="3"/>
  <c r="AL6" i="3"/>
  <c r="AP6" i="3"/>
  <c r="J6" i="3"/>
  <c r="N6" i="3"/>
  <c r="R6" i="3"/>
  <c r="V6" i="3"/>
  <c r="Z6" i="3"/>
  <c r="E14" i="3"/>
  <c r="E18" i="3"/>
  <c r="E22" i="3"/>
  <c r="E26" i="3"/>
  <c r="E30" i="3"/>
  <c r="E34" i="3"/>
  <c r="E38" i="3"/>
  <c r="E42" i="3"/>
  <c r="E46" i="3"/>
  <c r="E49" i="3"/>
  <c r="E54" i="3"/>
  <c r="E59" i="3"/>
  <c r="E62" i="3"/>
  <c r="E66" i="3"/>
  <c r="E71" i="3"/>
  <c r="E74" i="3"/>
  <c r="E78" i="3"/>
  <c r="E83" i="3"/>
  <c r="E87" i="3"/>
  <c r="E90" i="3"/>
  <c r="E95" i="3"/>
  <c r="E98" i="3"/>
  <c r="E103" i="3"/>
  <c r="E106" i="3"/>
  <c r="E111" i="3"/>
  <c r="E115" i="3"/>
  <c r="E119" i="3"/>
  <c r="E122" i="3"/>
  <c r="E127" i="3"/>
  <c r="E130" i="3"/>
  <c r="E135" i="3"/>
  <c r="E138" i="3"/>
  <c r="E143" i="3"/>
  <c r="E146" i="3"/>
  <c r="E151" i="3"/>
  <c r="E154" i="3"/>
  <c r="E159" i="3"/>
  <c r="E162" i="3"/>
  <c r="E167" i="3"/>
  <c r="E170" i="3"/>
  <c r="E175" i="3"/>
  <c r="E178" i="3"/>
  <c r="E183" i="3"/>
  <c r="E187" i="3"/>
  <c r="E191" i="3"/>
  <c r="E195" i="3"/>
  <c r="E199" i="3"/>
  <c r="E203" i="3"/>
  <c r="E207" i="3"/>
  <c r="E211" i="3"/>
  <c r="E214" i="3"/>
  <c r="E219" i="3"/>
  <c r="E222" i="3"/>
  <c r="E227" i="3"/>
  <c r="E230" i="3"/>
  <c r="E234" i="3"/>
  <c r="E239" i="3"/>
  <c r="E243" i="3"/>
  <c r="E246" i="3"/>
  <c r="E251" i="3"/>
  <c r="E254" i="3"/>
  <c r="E259" i="3"/>
  <c r="E262" i="3"/>
  <c r="E267" i="3"/>
  <c r="E270" i="3"/>
  <c r="E275" i="3"/>
  <c r="E278" i="3"/>
  <c r="E283" i="3"/>
  <c r="E291" i="3"/>
  <c r="E299" i="3"/>
  <c r="E307" i="3"/>
  <c r="E315" i="3"/>
  <c r="E323" i="3"/>
  <c r="E331" i="3"/>
  <c r="E339" i="3"/>
  <c r="E347" i="3"/>
  <c r="E355"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284" i="3"/>
  <c r="E288" i="3"/>
  <c r="E292" i="3"/>
  <c r="E296" i="3"/>
  <c r="E300" i="3"/>
  <c r="E304" i="3"/>
  <c r="E308" i="3"/>
  <c r="E312" i="3"/>
  <c r="E316" i="3"/>
  <c r="E320" i="3"/>
  <c r="E324" i="3"/>
  <c r="E328" i="3"/>
  <c r="E332" i="3"/>
  <c r="E336" i="3"/>
  <c r="E340" i="3"/>
  <c r="E344" i="3"/>
  <c r="E348" i="3"/>
  <c r="E352"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79" i="3"/>
  <c r="E583" i="3"/>
  <c r="E587" i="3"/>
  <c r="J10" i="40"/>
  <c r="F10" i="40"/>
  <c r="H10" i="39"/>
  <c r="F10" i="39"/>
  <c r="H10" i="40"/>
  <c r="J10" i="39"/>
  <c r="AA7" i="36"/>
  <c r="R36" i="36" s="1"/>
  <c r="S7" i="36"/>
  <c r="AB42" i="33"/>
  <c r="U42" i="33"/>
  <c r="D127" i="9"/>
  <c r="D13" i="52" s="1"/>
  <c r="D12" i="52"/>
  <c r="D65" i="40"/>
  <c r="E63" i="40"/>
  <c r="S7" i="35"/>
  <c r="AA7" i="35"/>
  <c r="R38" i="35" s="1"/>
  <c r="AB7" i="35"/>
  <c r="T38" i="35" s="1"/>
  <c r="G38" i="35" s="1"/>
  <c r="U7" i="35"/>
  <c r="W7" i="21"/>
  <c r="AC7" i="21"/>
  <c r="V48" i="21" s="1"/>
  <c r="I48" i="21" s="1"/>
  <c r="AB7" i="21"/>
  <c r="T48" i="21" s="1"/>
  <c r="G48" i="21" s="1"/>
  <c r="U7" i="21"/>
  <c r="S16" i="71"/>
  <c r="B15" i="71"/>
  <c r="B14" i="71" s="1"/>
  <c r="B13" i="71" s="1"/>
  <c r="B12" i="71" s="1"/>
  <c r="T32" i="71"/>
  <c r="D32" i="71"/>
  <c r="T40" i="71"/>
  <c r="D40" i="71"/>
  <c r="AY6" i="3"/>
  <c r="M54" i="43"/>
  <c r="N54" i="43" s="1"/>
  <c r="K54" i="43"/>
  <c r="J54" i="43" s="1"/>
  <c r="K51" i="43"/>
  <c r="M51" i="43"/>
  <c r="N51" i="43" s="1"/>
  <c r="K55" i="43"/>
  <c r="M55" i="43"/>
  <c r="N55" i="43" s="1"/>
  <c r="K57" i="43"/>
  <c r="J57" i="43" s="1"/>
  <c r="D57" i="43" s="1"/>
  <c r="M57" i="43"/>
  <c r="N57" i="43" s="1"/>
  <c r="Q60" i="15"/>
  <c r="Q73" i="15"/>
  <c r="Q52" i="67"/>
  <c r="F1" i="67"/>
  <c r="F1" i="15"/>
  <c r="Q52" i="15"/>
  <c r="L56" i="15"/>
  <c r="C33" i="15"/>
  <c r="C32" i="15"/>
  <c r="Q73" i="67"/>
  <c r="Q60" i="67"/>
  <c r="C34" i="69"/>
  <c r="C17" i="67"/>
  <c r="D10" i="69"/>
  <c r="C14" i="67"/>
  <c r="AE6" i="1"/>
  <c r="F41" i="67" s="1"/>
  <c r="C31" i="15" l="1"/>
  <c r="C19" i="15"/>
  <c r="C20" i="15" s="1"/>
  <c r="C26" i="15" s="1"/>
  <c r="F69" i="67"/>
  <c r="C18" i="67"/>
  <c r="C15" i="67"/>
  <c r="C10" i="69"/>
  <c r="D19" i="69"/>
  <c r="D37" i="69" s="1"/>
  <c r="C37" i="69" s="1"/>
  <c r="C38" i="69"/>
  <c r="C35" i="69"/>
  <c r="J26" i="15"/>
  <c r="J29" i="15" s="1"/>
  <c r="J24" i="15"/>
  <c r="J24" i="67"/>
  <c r="J26" i="67"/>
  <c r="J29" i="67" s="1"/>
  <c r="AY586" i="3"/>
  <c r="AY584" i="3"/>
  <c r="AY582" i="3"/>
  <c r="AY580" i="3"/>
  <c r="AY578" i="3"/>
  <c r="AY576"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D3" i="6"/>
  <c r="AY587" i="3"/>
  <c r="AY585" i="3"/>
  <c r="AY583" i="3"/>
  <c r="AY581" i="3"/>
  <c r="AY579" i="3"/>
  <c r="AY577" i="3"/>
  <c r="AY575"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9" i="3"/>
  <c r="AY35" i="3"/>
  <c r="AY33" i="3"/>
  <c r="AY29" i="3"/>
  <c r="AY21" i="3"/>
  <c r="AY19" i="3"/>
  <c r="AY17" i="3"/>
  <c r="AY15" i="3"/>
  <c r="AY13" i="3"/>
  <c r="BT6" i="3"/>
  <c r="BN6" i="3"/>
  <c r="BJ6" i="3"/>
  <c r="BH6" i="3"/>
  <c r="BD6"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37" i="3"/>
  <c r="AY31" i="3"/>
  <c r="AY27" i="3"/>
  <c r="AY25" i="3"/>
  <c r="AY23" i="3"/>
  <c r="BR6" i="3"/>
  <c r="BP6" i="3"/>
  <c r="BL6" i="3"/>
  <c r="BF6" i="3"/>
  <c r="BB6" i="3"/>
  <c r="U10" i="40"/>
  <c r="AB10" i="40"/>
  <c r="AB10" i="39"/>
  <c r="U10" i="39"/>
  <c r="D55" i="43"/>
  <c r="J55" i="43"/>
  <c r="D51" i="43"/>
  <c r="J51" i="43"/>
  <c r="S12" i="71"/>
  <c r="B11" i="71"/>
  <c r="B10" i="71" s="1"/>
  <c r="B9" i="71" s="1"/>
  <c r="B8" i="71" s="1"/>
  <c r="B7" i="71" s="1"/>
  <c r="B6" i="71" s="1"/>
  <c r="B5" i="71" s="1"/>
  <c r="I52" i="21"/>
  <c r="J52" i="21" s="1"/>
  <c r="R39" i="35"/>
  <c r="E38" i="35"/>
  <c r="E65" i="40"/>
  <c r="F63" i="40"/>
  <c r="R37" i="36"/>
  <c r="E36" i="36"/>
  <c r="AC10" i="39"/>
  <c r="W10" i="39"/>
  <c r="S10" i="39"/>
  <c r="AA10" i="39"/>
  <c r="AA10" i="40"/>
  <c r="S10" i="40"/>
  <c r="AC6" i="3"/>
  <c r="T20" i="71"/>
  <c r="D20" i="71"/>
  <c r="U20" i="71" s="1"/>
  <c r="C19" i="71"/>
  <c r="V12" i="71"/>
  <c r="E11" i="71"/>
  <c r="E10" i="71" s="1"/>
  <c r="E9" i="71" s="1"/>
  <c r="E8" i="71" s="1"/>
  <c r="E7" i="71" s="1"/>
  <c r="E6" i="71" s="1"/>
  <c r="E5" i="71" s="1"/>
  <c r="F45" i="68"/>
  <c r="C29" i="68"/>
  <c r="D27" i="68" s="1"/>
  <c r="C47" i="68"/>
  <c r="D45" i="68" s="1"/>
  <c r="C29" i="11"/>
  <c r="D27" i="11" s="1"/>
  <c r="C47" i="11"/>
  <c r="D45" i="11" s="1"/>
  <c r="G47" i="37"/>
  <c r="H47" i="37" s="1"/>
  <c r="G46" i="37"/>
  <c r="H46" i="37" s="1"/>
  <c r="C61" i="15"/>
  <c r="C53" i="15"/>
  <c r="C48" i="15" s="1"/>
  <c r="C10" i="15"/>
  <c r="C5" i="15" s="1"/>
  <c r="C10" i="67"/>
  <c r="C5" i="67" s="1"/>
  <c r="D52" i="43"/>
  <c r="J52" i="43"/>
  <c r="D10" i="11"/>
  <c r="C10" i="11" s="1"/>
  <c r="D10" i="68"/>
  <c r="D20" i="12"/>
  <c r="C20" i="12" s="1"/>
  <c r="C18" i="12" s="1"/>
  <c r="D17" i="12"/>
  <c r="C17" i="12" s="1"/>
  <c r="C14" i="12"/>
  <c r="C16" i="12" s="1"/>
  <c r="C20" i="11"/>
  <c r="C28" i="11"/>
  <c r="C27" i="11" s="1"/>
  <c r="R49" i="21"/>
  <c r="E48" i="21"/>
  <c r="I43" i="35"/>
  <c r="J43" i="35" s="1"/>
  <c r="I42" i="35"/>
  <c r="J42" i="35" s="1"/>
  <c r="G59" i="34"/>
  <c r="AC7" i="33"/>
  <c r="V48" i="33" s="1"/>
  <c r="I48" i="33" s="1"/>
  <c r="W7" i="33"/>
  <c r="L16" i="1"/>
  <c r="C34" i="11"/>
  <c r="C34" i="68"/>
  <c r="R43" i="37"/>
  <c r="E42" i="37"/>
  <c r="I41" i="36"/>
  <c r="J41" i="36" s="1"/>
  <c r="I40" i="36"/>
  <c r="J40" i="36" s="1"/>
  <c r="J17" i="15"/>
  <c r="G52" i="21"/>
  <c r="H52" i="21" s="1"/>
  <c r="G53" i="21"/>
  <c r="H53" i="21" s="1"/>
  <c r="G42" i="35"/>
  <c r="H42" i="35" s="1"/>
  <c r="G43" i="35"/>
  <c r="H43" i="35" s="1"/>
  <c r="AC10" i="40"/>
  <c r="W10" i="40"/>
  <c r="E6" i="3"/>
  <c r="AR6" i="1"/>
  <c r="T6" i="1"/>
  <c r="T16" i="1" s="1"/>
  <c r="S16" i="1"/>
  <c r="AQ6" i="1"/>
  <c r="E6" i="70"/>
  <c r="E2" i="70" s="1"/>
  <c r="I19" i="6"/>
  <c r="M27" i="6"/>
  <c r="E48" i="33"/>
  <c r="I46" i="37"/>
  <c r="J46" i="37" s="1"/>
  <c r="I47" i="37"/>
  <c r="J47" i="37" s="1"/>
  <c r="E69" i="39"/>
  <c r="F67" i="39"/>
  <c r="C61" i="67"/>
  <c r="C48" i="67"/>
  <c r="U7" i="33"/>
  <c r="AB7" i="33"/>
  <c r="T48" i="33" s="1"/>
  <c r="G48" i="33" s="1"/>
  <c r="N16" i="1"/>
  <c r="F22" i="11"/>
  <c r="L36" i="43"/>
  <c r="F24" i="15"/>
  <c r="C24" i="15" s="1"/>
  <c r="F25" i="12"/>
  <c r="C26" i="12" s="1"/>
  <c r="D25" i="12" s="1"/>
  <c r="F22" i="68"/>
  <c r="F22" i="69"/>
  <c r="F24" i="67"/>
  <c r="C24" i="67" s="1"/>
  <c r="C8" i="69"/>
  <c r="C21" i="12" l="1"/>
  <c r="C22" i="12" s="1"/>
  <c r="C30" i="12" s="1"/>
  <c r="C28" i="12" s="1"/>
  <c r="C33" i="69"/>
  <c r="C42" i="69" s="1"/>
  <c r="C19" i="67"/>
  <c r="C20" i="67" s="1"/>
  <c r="C66" i="15"/>
  <c r="C60" i="15"/>
  <c r="C59" i="15" s="1"/>
  <c r="C39" i="69"/>
  <c r="C43" i="69" s="1"/>
  <c r="F41" i="68"/>
  <c r="C26" i="68"/>
  <c r="D22" i="68" s="1"/>
  <c r="C23" i="68"/>
  <c r="C44" i="68"/>
  <c r="D41" i="68" s="1"/>
  <c r="C44" i="11"/>
  <c r="D41" i="11" s="1"/>
  <c r="C26" i="11"/>
  <c r="D22" i="11" s="1"/>
  <c r="C23" i="11"/>
  <c r="R49" i="33"/>
  <c r="I27" i="6"/>
  <c r="S19" i="6"/>
  <c r="S27" i="6" s="1"/>
  <c r="C43" i="37"/>
  <c r="C42" i="37"/>
  <c r="C38" i="11"/>
  <c r="C35" i="11"/>
  <c r="C33" i="11" s="1"/>
  <c r="H59" i="34"/>
  <c r="C49" i="21"/>
  <c r="C48" i="21"/>
  <c r="C25" i="11"/>
  <c r="C10" i="68"/>
  <c r="D19" i="68"/>
  <c r="C38" i="67"/>
  <c r="D19" i="71"/>
  <c r="C18" i="71"/>
  <c r="E41" i="36"/>
  <c r="F41" i="36" s="1"/>
  <c r="E40" i="36"/>
  <c r="F40" i="36" s="1"/>
  <c r="F65" i="40"/>
  <c r="G63" i="40"/>
  <c r="E43" i="35"/>
  <c r="F43" i="35" s="1"/>
  <c r="E42" i="35"/>
  <c r="F42" i="35" s="1"/>
  <c r="E61" i="40"/>
  <c r="L19" i="9"/>
  <c r="D19" i="6"/>
  <c r="D15" i="6"/>
  <c r="D14" i="6"/>
  <c r="D13" i="6"/>
  <c r="D12" i="6"/>
  <c r="D11" i="6"/>
  <c r="D10" i="6"/>
  <c r="D6" i="6"/>
  <c r="M19" i="9"/>
  <c r="C118" i="9" s="1"/>
  <c r="D29" i="6"/>
  <c r="D28" i="6"/>
  <c r="D30" i="6" s="1"/>
  <c r="D8" i="6"/>
  <c r="H26" i="6"/>
  <c r="D26" i="6"/>
  <c r="R26" i="6" s="1"/>
  <c r="H25" i="6"/>
  <c r="D25" i="6"/>
  <c r="R25" i="6" s="1"/>
  <c r="H24" i="6"/>
  <c r="D24" i="6"/>
  <c r="R24" i="6" s="1"/>
  <c r="H23" i="6"/>
  <c r="D23" i="6"/>
  <c r="R23" i="6" s="1"/>
  <c r="H22" i="6"/>
  <c r="D22" i="6"/>
  <c r="R22" i="6" s="1"/>
  <c r="H21" i="6"/>
  <c r="D21" i="6"/>
  <c r="R21" i="6" s="1"/>
  <c r="H20" i="6"/>
  <c r="D20" i="6"/>
  <c r="R20" i="6" s="1"/>
  <c r="H19" i="6"/>
  <c r="H27" i="6" s="1"/>
  <c r="D9" i="6"/>
  <c r="D5" i="6"/>
  <c r="C18" i="4"/>
  <c r="G52" i="33"/>
  <c r="H52" i="33" s="1"/>
  <c r="G53" i="33"/>
  <c r="H53" i="33" s="1"/>
  <c r="F41" i="69"/>
  <c r="C24" i="69"/>
  <c r="C26" i="69"/>
  <c r="D22" i="69" s="1"/>
  <c r="C44" i="69"/>
  <c r="D41" i="69" s="1"/>
  <c r="L37" i="43"/>
  <c r="P36" i="43"/>
  <c r="N36" i="43"/>
  <c r="Q36" i="43"/>
  <c r="O36" i="43"/>
  <c r="M36" i="43"/>
  <c r="F50" i="69"/>
  <c r="F50" i="68"/>
  <c r="F50" i="11"/>
  <c r="C60" i="67"/>
  <c r="C66" i="67"/>
  <c r="G67" i="39"/>
  <c r="F69" i="39"/>
  <c r="E53" i="33"/>
  <c r="F53" i="33" s="1"/>
  <c r="E52" i="33"/>
  <c r="F52" i="33" s="1"/>
  <c r="E46" i="37"/>
  <c r="F46" i="37" s="1"/>
  <c r="E47" i="37"/>
  <c r="F47" i="37" s="1"/>
  <c r="C38" i="68"/>
  <c r="C35" i="68"/>
  <c r="I53" i="33"/>
  <c r="J53" i="33" s="1"/>
  <c r="I52" i="33"/>
  <c r="J52" i="33" s="1"/>
  <c r="E53" i="21"/>
  <c r="F53" i="21" s="1"/>
  <c r="E52" i="21"/>
  <c r="F52" i="21" s="1"/>
  <c r="C24" i="11"/>
  <c r="C38" i="15"/>
  <c r="C36" i="36"/>
  <c r="C37" i="36"/>
  <c r="C39" i="35"/>
  <c r="M3" i="35" s="1"/>
  <c r="C38" i="35"/>
  <c r="I53" i="21"/>
  <c r="J53" i="21" s="1"/>
  <c r="E50" i="43"/>
  <c r="B48" i="43" s="1"/>
  <c r="C28" i="43" s="1"/>
  <c r="C23" i="15"/>
  <c r="C29" i="15" s="1"/>
  <c r="C27" i="12" l="1"/>
  <c r="C25" i="12" s="1"/>
  <c r="C32" i="12" s="1"/>
  <c r="B2" i="12" s="1"/>
  <c r="B3" i="12" s="1"/>
  <c r="C26" i="67"/>
  <c r="C23" i="67"/>
  <c r="C41" i="69"/>
  <c r="C46" i="69"/>
  <c r="C45" i="69" s="1"/>
  <c r="C39" i="11"/>
  <c r="C43" i="11" s="1"/>
  <c r="C42" i="11"/>
  <c r="C57" i="15"/>
  <c r="C64" i="15" s="1"/>
  <c r="C36" i="15"/>
  <c r="J14" i="15"/>
  <c r="C13" i="15"/>
  <c r="Q49" i="15"/>
  <c r="J59" i="15"/>
  <c r="J60" i="15" s="1"/>
  <c r="D16" i="6"/>
  <c r="I59" i="34"/>
  <c r="C22" i="11"/>
  <c r="C31" i="11" s="1"/>
  <c r="C33" i="43"/>
  <c r="E33" i="43" s="1"/>
  <c r="T11" i="43"/>
  <c r="V11" i="43" s="1"/>
  <c r="T7" i="43"/>
  <c r="V7" i="43" s="1"/>
  <c r="T3" i="43"/>
  <c r="T15" i="43"/>
  <c r="V15" i="43" s="1"/>
  <c r="T13" i="43"/>
  <c r="V13" i="43" s="1"/>
  <c r="T8" i="43"/>
  <c r="V8" i="43" s="1"/>
  <c r="T5" i="43"/>
  <c r="V5" i="43" s="1"/>
  <c r="C42" i="43"/>
  <c r="C40" i="43"/>
  <c r="C38" i="43"/>
  <c r="T12" i="43"/>
  <c r="V12" i="43" s="1"/>
  <c r="T10" i="43"/>
  <c r="V10" i="43" s="1"/>
  <c r="T4" i="43"/>
  <c r="V4" i="43" s="1"/>
  <c r="T16" i="43"/>
  <c r="V16" i="43" s="1"/>
  <c r="T14" i="43"/>
  <c r="V14" i="43" s="1"/>
  <c r="T9" i="43"/>
  <c r="V9" i="43" s="1"/>
  <c r="T6" i="43"/>
  <c r="V6" i="43" s="1"/>
  <c r="T2" i="43"/>
  <c r="V2" i="43" s="1"/>
  <c r="C41" i="43"/>
  <c r="C39" i="43"/>
  <c r="C37" i="43"/>
  <c r="G69" i="39"/>
  <c r="H67" i="39"/>
  <c r="P37" i="43"/>
  <c r="N37" i="43"/>
  <c r="Q37" i="43"/>
  <c r="O37" i="43"/>
  <c r="M37" i="43"/>
  <c r="C4" i="52"/>
  <c r="B45" i="72" s="1"/>
  <c r="A10" i="51"/>
  <c r="B9" i="72" s="1"/>
  <c r="A7" i="51"/>
  <c r="B7" i="72" s="1"/>
  <c r="R19" i="6"/>
  <c r="D27" i="6"/>
  <c r="D31" i="6" s="1"/>
  <c r="H63" i="40"/>
  <c r="G65" i="40"/>
  <c r="D18" i="71"/>
  <c r="C17" i="71"/>
  <c r="D37" i="68"/>
  <c r="C37" i="68" s="1"/>
  <c r="C33" i="68" s="1"/>
  <c r="C19" i="68"/>
  <c r="C49" i="33"/>
  <c r="C48" i="33"/>
  <c r="C49" i="69" l="1"/>
  <c r="C51" i="69" s="1"/>
  <c r="C29" i="67"/>
  <c r="C57" i="67" s="1"/>
  <c r="C64" i="67" s="1"/>
  <c r="C41" i="11"/>
  <c r="C39" i="68"/>
  <c r="C43" i="68" s="1"/>
  <c r="C42" i="68"/>
  <c r="B3" i="33"/>
  <c r="B2" i="33"/>
  <c r="H65" i="40"/>
  <c r="I63" i="40"/>
  <c r="R6" i="1"/>
  <c r="R27" i="6"/>
  <c r="H69" i="39"/>
  <c r="I67" i="39"/>
  <c r="G37" i="43"/>
  <c r="I37" i="43" s="1"/>
  <c r="E37" i="43"/>
  <c r="G41" i="43"/>
  <c r="I41" i="43" s="1"/>
  <c r="E41" i="43"/>
  <c r="G40" i="43"/>
  <c r="I40" i="43" s="1"/>
  <c r="E40" i="43"/>
  <c r="V3" i="43"/>
  <c r="C34" i="43" s="1"/>
  <c r="C6" i="69"/>
  <c r="Q48" i="15"/>
  <c r="L46" i="15"/>
  <c r="C75" i="15"/>
  <c r="Q70" i="15"/>
  <c r="C37" i="15"/>
  <c r="C56" i="15"/>
  <c r="C65" i="15" s="1"/>
  <c r="C58" i="15" s="1"/>
  <c r="C67" i="15" s="1"/>
  <c r="C68" i="15" s="1"/>
  <c r="C30" i="15"/>
  <c r="C39" i="15" s="1"/>
  <c r="C46" i="11"/>
  <c r="C45" i="11" s="1"/>
  <c r="C49" i="11" s="1"/>
  <c r="C51" i="11" s="1"/>
  <c r="C24" i="68"/>
  <c r="C20" i="68"/>
  <c r="C25" i="68" s="1"/>
  <c r="D17" i="71"/>
  <c r="C16" i="71"/>
  <c r="I5" i="6"/>
  <c r="I6" i="6"/>
  <c r="G39" i="43"/>
  <c r="I39" i="43" s="1"/>
  <c r="E39" i="43"/>
  <c r="G38" i="43"/>
  <c r="I38" i="43" s="1"/>
  <c r="E38" i="43"/>
  <c r="G42" i="43"/>
  <c r="I42" i="43" s="1"/>
  <c r="E42" i="43"/>
  <c r="J59" i="34"/>
  <c r="J13" i="15"/>
  <c r="J23" i="15" s="1"/>
  <c r="J22" i="15"/>
  <c r="C20" i="9"/>
  <c r="M21" i="67"/>
  <c r="F35" i="67"/>
  <c r="C19" i="9"/>
  <c r="C28" i="68" l="1"/>
  <c r="C27" i="68" s="1"/>
  <c r="C36" i="67"/>
  <c r="E34" i="43"/>
  <c r="C30" i="43"/>
  <c r="Q49" i="67"/>
  <c r="J59" i="67"/>
  <c r="J60" i="67" s="1"/>
  <c r="C13" i="67"/>
  <c r="J14" i="67"/>
  <c r="C102" i="9"/>
  <c r="C21" i="9"/>
  <c r="F63" i="67"/>
  <c r="C62" i="67" s="1"/>
  <c r="C59" i="67" s="1"/>
  <c r="C34" i="67"/>
  <c r="C31" i="67" s="1"/>
  <c r="J20" i="67"/>
  <c r="J17" i="67" s="1"/>
  <c r="C103" i="9"/>
  <c r="C52" i="11"/>
  <c r="B2" i="11" s="1"/>
  <c r="B3" i="11" s="1"/>
  <c r="B2" i="43"/>
  <c r="K59" i="34"/>
  <c r="L59" i="34" s="1"/>
  <c r="M59" i="34" s="1"/>
  <c r="N59" i="34" s="1"/>
  <c r="O59" i="34" s="1"/>
  <c r="H7" i="34" s="1"/>
  <c r="C31" i="43"/>
  <c r="T16" i="71"/>
  <c r="D16" i="71"/>
  <c r="U16" i="71" s="1"/>
  <c r="C15" i="71"/>
  <c r="M23" i="43"/>
  <c r="Q69" i="15"/>
  <c r="Q68" i="15" s="1"/>
  <c r="C40" i="15"/>
  <c r="C80" i="15"/>
  <c r="C79" i="15" s="1"/>
  <c r="C7" i="69"/>
  <c r="C5" i="69" s="1"/>
  <c r="I69" i="39"/>
  <c r="J67" i="39"/>
  <c r="I65" i="40"/>
  <c r="J63" i="40"/>
  <c r="J16" i="15"/>
  <c r="J25" i="15" s="1"/>
  <c r="F7" i="34"/>
  <c r="C22" i="68"/>
  <c r="C31" i="68" s="1"/>
  <c r="C71" i="15"/>
  <c r="R16" i="1"/>
  <c r="C41" i="68"/>
  <c r="C46" i="68"/>
  <c r="C45" i="68" s="1"/>
  <c r="B6" i="76"/>
  <c r="L51" i="15"/>
  <c r="E6" i="76"/>
  <c r="C49" i="68" l="1"/>
  <c r="C51" i="68" s="1"/>
  <c r="C52" i="68" s="1"/>
  <c r="B2" i="68" s="1"/>
  <c r="B3" i="68" s="1"/>
  <c r="L46" i="67"/>
  <c r="Q48" i="67"/>
  <c r="C75" i="67"/>
  <c r="C37" i="67"/>
  <c r="C30" i="67" s="1"/>
  <c r="C39" i="67" s="1"/>
  <c r="C56" i="67"/>
  <c r="C65" i="67" s="1"/>
  <c r="C58" i="67" s="1"/>
  <c r="C67" i="67" s="1"/>
  <c r="C68" i="67" s="1"/>
  <c r="C71" i="67" s="1"/>
  <c r="Q70" i="67"/>
  <c r="J22" i="67"/>
  <c r="J13" i="67"/>
  <c r="J23" i="67" s="1"/>
  <c r="E2" i="76"/>
  <c r="Q67" i="15"/>
  <c r="L57" i="15"/>
  <c r="L60" i="15" s="1"/>
  <c r="B2" i="76"/>
  <c r="C23" i="69"/>
  <c r="C20" i="69"/>
  <c r="C25" i="69" s="1"/>
  <c r="AA7" i="34"/>
  <c r="R49" i="34" s="1"/>
  <c r="S7" i="34"/>
  <c r="J65" i="40"/>
  <c r="K63" i="40"/>
  <c r="J69" i="39"/>
  <c r="K67" i="39"/>
  <c r="Q47" i="15"/>
  <c r="Q53" i="15" s="1"/>
  <c r="B2" i="15"/>
  <c r="B3" i="15" s="1"/>
  <c r="Q65" i="15"/>
  <c r="Q56" i="15"/>
  <c r="C43" i="15"/>
  <c r="C83" i="15"/>
  <c r="C82" i="15" s="1"/>
  <c r="U7" i="34"/>
  <c r="AB7" i="34"/>
  <c r="T49" i="34" s="1"/>
  <c r="G49" i="34" s="1"/>
  <c r="C46" i="15"/>
  <c r="D15" i="71"/>
  <c r="C14" i="71"/>
  <c r="J7" i="34"/>
  <c r="B3" i="43"/>
  <c r="C56" i="11"/>
  <c r="C57" i="11" s="1"/>
  <c r="L51" i="67"/>
  <c r="Q69" i="67" l="1"/>
  <c r="Q68" i="67" s="1"/>
  <c r="C40" i="67"/>
  <c r="Q65" i="67" s="1"/>
  <c r="Q75" i="67" s="1"/>
  <c r="J16" i="67"/>
  <c r="J25" i="67" s="1"/>
  <c r="C80" i="67"/>
  <c r="C79" i="67" s="1"/>
  <c r="Q67" i="67"/>
  <c r="C83" i="67"/>
  <c r="C82" i="67" s="1"/>
  <c r="AC7" i="34"/>
  <c r="V49" i="34" s="1"/>
  <c r="I49" i="34" s="1"/>
  <c r="W7" i="34"/>
  <c r="R50" i="34"/>
  <c r="E49" i="34"/>
  <c r="C22" i="69"/>
  <c r="B3" i="76"/>
  <c r="D14" i="71"/>
  <c r="C13" i="71"/>
  <c r="G54" i="34"/>
  <c r="H54" i="34" s="1"/>
  <c r="G53" i="34"/>
  <c r="H53" i="34" s="1"/>
  <c r="K69" i="39"/>
  <c r="L67" i="39"/>
  <c r="K65" i="40"/>
  <c r="L63" i="40"/>
  <c r="C28" i="69"/>
  <c r="C27" i="69" s="1"/>
  <c r="C57" i="68"/>
  <c r="C56" i="68" s="1"/>
  <c r="Q66" i="15"/>
  <c r="Q75" i="15" s="1"/>
  <c r="Q57" i="15"/>
  <c r="Q62" i="15" s="1"/>
  <c r="Q56" i="67" l="1"/>
  <c r="Q62" i="67" s="1"/>
  <c r="C43" i="67"/>
  <c r="C45" i="67"/>
  <c r="C46" i="67" s="1"/>
  <c r="D2" i="67"/>
  <c r="B2" i="67" s="1"/>
  <c r="Q47" i="67"/>
  <c r="Q53" i="67" s="1"/>
  <c r="C31" i="69"/>
  <c r="C52" i="69" s="1"/>
  <c r="B2" i="69" s="1"/>
  <c r="C49" i="34"/>
  <c r="C50" i="34"/>
  <c r="L65" i="40"/>
  <c r="M63" i="40"/>
  <c r="L69" i="39"/>
  <c r="M67" i="39"/>
  <c r="E54" i="34"/>
  <c r="F54" i="34" s="1"/>
  <c r="E53" i="34"/>
  <c r="F53" i="34" s="1"/>
  <c r="I54" i="34"/>
  <c r="J54" i="34" s="1"/>
  <c r="I53" i="34"/>
  <c r="J53" i="34" s="1"/>
  <c r="B3" i="67"/>
  <c r="D13" i="71"/>
  <c r="C12" i="71"/>
  <c r="AO6" i="1"/>
  <c r="D19" i="9"/>
  <c r="B3" i="69"/>
  <c r="D20" i="9"/>
  <c r="C57" i="69" l="1"/>
  <c r="C56" i="69" s="1"/>
  <c r="D103" i="9"/>
  <c r="G20" i="9"/>
  <c r="D21" i="9"/>
  <c r="D102" i="9"/>
  <c r="D22" i="9"/>
  <c r="G19" i="9"/>
  <c r="G21" i="9" s="1"/>
  <c r="B6" i="70"/>
  <c r="B2" i="70" s="1"/>
  <c r="B3" i="70" s="1"/>
  <c r="T12" i="71"/>
  <c r="D12" i="71"/>
  <c r="U12" i="71" s="1"/>
  <c r="C11" i="71"/>
  <c r="M69" i="39"/>
  <c r="N67" i="39"/>
  <c r="M65" i="40"/>
  <c r="N63" i="40"/>
  <c r="C32" i="9" l="1"/>
  <c r="C35" i="9" s="1"/>
  <c r="E14" i="74"/>
  <c r="D14" i="74" s="1"/>
  <c r="G14" i="74" s="1"/>
  <c r="B6" i="74" s="1"/>
  <c r="D6" i="74" s="1"/>
  <c r="N65" i="40"/>
  <c r="O63" i="40"/>
  <c r="O65" i="40" s="1"/>
  <c r="O67" i="39"/>
  <c r="O69" i="39" s="1"/>
  <c r="N69" i="39"/>
  <c r="D11" i="71"/>
  <c r="C10" i="71"/>
  <c r="I118" i="9"/>
  <c r="F14" i="74" l="1"/>
  <c r="B5" i="74"/>
  <c r="D5" i="74" s="1"/>
  <c r="G118" i="9"/>
  <c r="G4" i="52" s="1"/>
  <c r="B52" i="72" s="1"/>
  <c r="C34" i="9"/>
  <c r="C105" i="9"/>
  <c r="H102" i="9"/>
  <c r="H118" i="9"/>
  <c r="I4" i="52"/>
  <c r="J7" i="39"/>
  <c r="F7" i="39"/>
  <c r="H7" i="39"/>
  <c r="D10" i="71"/>
  <c r="C9" i="71"/>
  <c r="F7" i="40"/>
  <c r="J7" i="40"/>
  <c r="H7" i="40"/>
  <c r="F118" i="9" l="1"/>
  <c r="E118" i="9"/>
  <c r="W7" i="40"/>
  <c r="AC7" i="40"/>
  <c r="V42" i="40" s="1"/>
  <c r="I42" i="40" s="1"/>
  <c r="D9" i="71"/>
  <c r="C8" i="71"/>
  <c r="U7" i="39"/>
  <c r="AB7" i="39"/>
  <c r="T47" i="39" s="1"/>
  <c r="G47" i="39" s="1"/>
  <c r="AC7" i="39"/>
  <c r="V47" i="39" s="1"/>
  <c r="I47" i="39" s="1"/>
  <c r="W7" i="39"/>
  <c r="C104" i="9"/>
  <c r="H119" i="9"/>
  <c r="H5" i="52" s="1"/>
  <c r="H101" i="9"/>
  <c r="H4" i="52"/>
  <c r="AB7" i="40"/>
  <c r="T42" i="40" s="1"/>
  <c r="G42" i="40" s="1"/>
  <c r="U7" i="40"/>
  <c r="S7" i="40"/>
  <c r="AA7" i="40"/>
  <c r="R42" i="40" s="1"/>
  <c r="F119" i="9"/>
  <c r="F5" i="52" s="1"/>
  <c r="B53" i="72" s="1"/>
  <c r="F4" i="52"/>
  <c r="B51" i="72" s="1"/>
  <c r="AA7" i="39"/>
  <c r="R47" i="39" s="1"/>
  <c r="S7" i="39"/>
  <c r="C5" i="74"/>
  <c r="D7" i="53"/>
  <c r="B21" i="72" s="1"/>
  <c r="D118" i="9"/>
  <c r="E4" i="52"/>
  <c r="B48" i="72" s="1"/>
  <c r="R43" i="40" l="1"/>
  <c r="E42" i="40"/>
  <c r="G52" i="39"/>
  <c r="H52" i="39" s="1"/>
  <c r="G51" i="39"/>
  <c r="H51" i="39" s="1"/>
  <c r="D8" i="71"/>
  <c r="C7" i="71"/>
  <c r="I47" i="40"/>
  <c r="J47" i="40" s="1"/>
  <c r="I46" i="40"/>
  <c r="J46" i="40" s="1"/>
  <c r="D119" i="9"/>
  <c r="D5" i="52" s="1"/>
  <c r="B49" i="72" s="1"/>
  <c r="D4" i="52"/>
  <c r="B47" i="72" s="1"/>
  <c r="R48" i="39"/>
  <c r="E47" i="39"/>
  <c r="G46" i="40"/>
  <c r="H46" i="40" s="1"/>
  <c r="G47" i="40"/>
  <c r="H47" i="40" s="1"/>
  <c r="D45" i="9"/>
  <c r="M48" i="9"/>
  <c r="D5" i="53"/>
  <c r="H107" i="9"/>
  <c r="I52" i="39"/>
  <c r="J52" i="39" s="1"/>
  <c r="I51" i="39"/>
  <c r="J51" i="39" s="1"/>
  <c r="B20" i="72" l="1"/>
  <c r="D6" i="53"/>
  <c r="B22" i="72" s="1"/>
  <c r="C78" i="9"/>
  <c r="C73" i="9" s="1"/>
  <c r="D52" i="9"/>
  <c r="C85" i="9"/>
  <c r="D53" i="9"/>
  <c r="C93" i="9"/>
  <c r="C86" i="9" s="1"/>
  <c r="C72" i="9"/>
  <c r="C64" i="9"/>
  <c r="C63" i="9" s="1"/>
  <c r="C67" i="9" s="1"/>
  <c r="D55" i="9"/>
  <c r="M53" i="9" s="1"/>
  <c r="C47" i="39"/>
  <c r="C48" i="39"/>
  <c r="C43" i="40"/>
  <c r="C42" i="40"/>
  <c r="D122" i="9"/>
  <c r="H108" i="9"/>
  <c r="M49" i="9"/>
  <c r="D13" i="53"/>
  <c r="E52" i="39"/>
  <c r="F52" i="39" s="1"/>
  <c r="E51" i="39"/>
  <c r="F51" i="39" s="1"/>
  <c r="D7" i="71"/>
  <c r="C6" i="71"/>
  <c r="E47" i="40"/>
  <c r="F47" i="40" s="1"/>
  <c r="E46" i="40"/>
  <c r="F46" i="40" s="1"/>
  <c r="D6" i="71" l="1"/>
  <c r="C5" i="71"/>
  <c r="B30" i="72"/>
  <c r="D14" i="53"/>
  <c r="B32" i="72" s="1"/>
  <c r="D15" i="53"/>
  <c r="B31" i="72" s="1"/>
  <c r="C6" i="74"/>
  <c r="B59" i="39"/>
  <c r="F59" i="39" s="1"/>
  <c r="B57" i="39"/>
  <c r="F57" i="39" s="1"/>
  <c r="B63" i="39"/>
  <c r="F63" i="39" s="1"/>
  <c r="B61" i="39"/>
  <c r="F61" i="39" s="1"/>
  <c r="B58" i="39"/>
  <c r="F58" i="39" s="1"/>
  <c r="B64" i="39"/>
  <c r="F64" i="39" s="1"/>
  <c r="B62" i="39"/>
  <c r="F62" i="39" s="1"/>
  <c r="B60" i="39"/>
  <c r="F60" i="39" s="1"/>
  <c r="B56" i="39"/>
  <c r="F56" i="39" s="1"/>
  <c r="F65" i="39" s="1"/>
  <c r="B2" i="39" s="1"/>
  <c r="B3" i="39" s="1"/>
  <c r="C79" i="9"/>
  <c r="L66" i="9"/>
  <c r="M66" i="9" s="1"/>
  <c r="L65" i="9"/>
  <c r="M65" i="9" s="1"/>
  <c r="L64" i="9"/>
  <c r="M64" i="9" s="1"/>
  <c r="L63" i="9"/>
  <c r="M63" i="9" s="1"/>
  <c r="L68" i="9"/>
  <c r="M68" i="9" s="1"/>
  <c r="L67" i="9"/>
  <c r="M67" i="9" s="1"/>
  <c r="D123" i="9"/>
  <c r="D9" i="52" s="1"/>
  <c r="D8" i="52"/>
  <c r="B60" i="40"/>
  <c r="F60" i="40" s="1"/>
  <c r="B59" i="40"/>
  <c r="F59" i="40" s="1"/>
  <c r="B58" i="40"/>
  <c r="F58" i="40" s="1"/>
  <c r="B57" i="40"/>
  <c r="F57" i="40" s="1"/>
  <c r="B56" i="40"/>
  <c r="F56" i="40" s="1"/>
  <c r="B53" i="40"/>
  <c r="F53" i="40" s="1"/>
  <c r="B51" i="40"/>
  <c r="F51" i="40" s="1"/>
  <c r="F61" i="40"/>
  <c r="B2" i="40" s="1"/>
  <c r="B3" i="40" s="1"/>
  <c r="B54" i="40"/>
  <c r="F54" i="40" s="1"/>
  <c r="B52" i="40"/>
  <c r="F52" i="40" s="1"/>
  <c r="D59" i="9"/>
  <c r="M55" i="9" s="1"/>
  <c r="C68" i="9"/>
  <c r="D54" i="9" s="1"/>
  <c r="C95" i="9"/>
  <c r="C96" i="9" l="1"/>
  <c r="E96" i="9" s="1"/>
  <c r="E97" i="9" s="1"/>
  <c r="M69" i="9"/>
  <c r="N69" i="9" s="1"/>
  <c r="D5" i="71"/>
  <c r="M24" i="43"/>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<sst xmlns="http://schemas.openxmlformats.org/spreadsheetml/2006/main" count="7880" uniqueCount="2763">
  <si>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</si>
  <si>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</si>
  <si>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</si>
  <si>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</si>
  <si>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</si>
  <si>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</si>
  <si>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</si>
  <si>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</si>
  <si>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</si>
  <si>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</si>
  <si>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</si>
  <si>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</si>
  <si>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</si>
  <si>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</si>
  <si>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</si>
  <si>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</si>
  <si>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</si>
  <si>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</si>
  <si>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</si>
  <si>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</si>
  <si>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</si>
  <si>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</si>
  <si>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</si>
  <si>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</si>
  <si>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</si>
  <si>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</si>
  <si>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</si>
  <si>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</si>
  <si>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</si>
  <si>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</si>
  <si>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</si>
  <si>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</si>
  <si>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</si>
  <si>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</si>
  <si>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</si>
  <si>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</si>
  <si>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</si>
  <si>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</si>
  <si>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</si>
  <si>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</si>
  <si>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</si>
  <si>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</si>
  <si>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</si>
  <si>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</si>
  <si>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</si>
  <si>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</si>
  <si>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</si>
  <si>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</si>
  <si>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</si>
  <si>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</si>
  <si>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</si>
  <si>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</si>
  <si>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</si>
  <si>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</si>
  <si>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</si>
  <si>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</si>
  <si>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</si>
  <si>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</si>
  <si>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</si>
  <si>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</si>
  <si>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</si>
  <si>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</si>
  <si>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</si>
  <si>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</si>
  <si>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</si>
  <si>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</si>
  <si>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</si>
  <si>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</si>
  <si>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</si>
  <si>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</si>
  <si>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</si>
  <si>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</si>
  <si>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</si>
  <si>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</si>
  <si>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</si>
  <si>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</si>
  <si>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</si>
  <si>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</si>
  <si>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</si>
  <si>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</si>
  <si>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</si>
  <si>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</si>
  <si>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</si>
  <si>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</si>
  <si>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</si>
  <si>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</si>
  <si>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</si>
  <si>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</si>
  <si>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</si>
  <si>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</si>
  <si>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</si>
  <si>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</si>
  <si>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</si>
  <si>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</si>
  <si>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</si>
  <si>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</si>
  <si>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</si>
  <si>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</si>
  <si>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</si>
  <si>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</si>
  <si>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</si>
  <si>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</si>
  <si>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</si>
  <si>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</si>
  <si>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</si>
  <si>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</si>
  <si>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</si>
  <si>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</si>
  <si>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</si>
  <si>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</si>
  <si>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</si>
  <si>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</si>
  <si>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</si>
  <si>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</si>
  <si>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</si>
  <si>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</si>
  <si>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</si>
  <si>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</si>
  <si>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</si>
  <si>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</si>
  <si>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</si>
  <si>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</si>
  <si>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</si>
  <si>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</si>
  <si>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</si>
  <si>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</si>
  <si>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</si>
  <si>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</si>
  <si>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</si>
  <si>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</si>
  <si>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</si>
  <si>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</si>
  <si>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</si>
  <si>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</si>
  <si>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</si>
  <si>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</si>
  <si>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</si>
  <si>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</si>
  <si>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</si>
  <si>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</si>
  <si>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</si>
  <si>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</si>
  <si>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</si>
  <si>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</si>
  <si>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</si>
  <si>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</si>
  <si>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</si>
  <si>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</si>
  <si>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</si>
  <si>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</si>
  <si>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</si>
  <si>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</si>
  <si>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</si>
  <si>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</si>
  <si>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</si>
  <si>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</si>
  <si>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</si>
  <si>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</si>
  <si>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</si>
  <si>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</si>
  <si>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</si>
  <si>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</si>
  <si>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</si>
  <si>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</si>
  <si>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</si>
  <si>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</si>
  <si>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</si>
  <si>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</si>
  <si>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</si>
  <si>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</si>
  <si>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</si>
  <si>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</si>
  <si>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</si>
  <si>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</si>
  <si>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</si>
  <si>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</si>
  <si>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</si>
  <si>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</si>
  <si>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</si>
  <si>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</si>
  <si>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</si>
  <si>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</si>
  <si>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</si>
  <si>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</si>
  <si>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</si>
  <si>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</si>
  <si>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</si>
  <si>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</si>
  <si>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</si>
  <si>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</si>
  <si>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</si>
  <si>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</si>
  <si>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</si>
  <si>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</si>
  <si>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</si>
  <si>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</si>
  <si>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</si>
  <si>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</si>
  <si>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</si>
  <si>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</si>
  <si>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</si>
  <si>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</si>
  <si>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</si>
  <si>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</si>
  <si>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</si>
  <si>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</si>
  <si>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</si>
  <si>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</si>
  <si>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</si>
  <si>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</si>
  <si>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</si>
  <si>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</si>
  <si>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</si>
  <si>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</si>
  <si>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</si>
  <si>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</si>
  <si>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</si>
  <si>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</si>
  <si>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</si>
  <si>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</si>
  <si>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</si>
  <si>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</si>
  <si>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</si>
  <si>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</si>
  <si>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</si>
  <si>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</si>
  <si>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</si>
  <si>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</si>
  <si>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</si>
  <si>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</si>
  <si>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</si>
  <si>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</si>
  <si>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</si>
  <si>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</si>
  <si>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</si>
  <si>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</si>
  <si>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</si>
  <si>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</si>
  <si>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</si>
  <si>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</si>
  <si>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</si>
  <si>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</si>
  <si>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</si>
  <si>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</si>
  <si>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</si>
  <si>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</si>
  <si>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</si>
  <si>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</si>
  <si>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</si>
  <si>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</si>
  <si>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</si>
  <si>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</si>
  <si>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</si>
  <si>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</si>
  <si>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</si>
  <si>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</si>
  <si>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</si>
  <si>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</si>
  <si>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</si>
  <si>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</si>
  <si>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</si>
  <si>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</si>
  <si>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</si>
  <si>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</si>
  <si>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</si>
  <si>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</si>
  <si>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</si>
  <si>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</si>
  <si>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</si>
  <si>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</si>
  <si>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</si>
  <si>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</si>
  <si>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</si>
  <si>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</si>
  <si>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</si>
  <si>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</si>
  <si>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</si>
  <si>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</si>
  <si>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</si>
  <si>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</si>
  <si>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</si>
  <si>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</si>
  <si>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</si>
  <si>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</si>
  <si>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</si>
  <si>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</si>
  <si>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</si>
  <si>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</si>
  <si>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</si>
  <si>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</si>
  <si>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</si>
  <si>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</si>
  <si>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</si>
  <si>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</si>
  <si>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</si>
  <si>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</si>
  <si>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</si>
  <si>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</si>
  <si>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</si>
  <si>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</si>
  <si>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</si>
  <si>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</si>
  <si>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</si>
  <si>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</si>
  <si>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</si>
  <si>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</si>
  <si>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</si>
  <si>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</si>
  <si>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</si>
  <si>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</si>
  <si>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</si>
  <si>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</si>
  <si>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</si>
  <si>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</si>
  <si>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</si>
  <si>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</si>
  <si>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</si>
  <si>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</si>
  <si>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</si>
  <si>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</si>
  <si>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</si>
  <si>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</si>
  <si>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</si>
  <si>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</si>
  <si>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</si>
  <si>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</si>
  <si>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</si>
  <si>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</si>
  <si>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</si>
  <si>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</si>
  <si>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</si>
  <si>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</si>
  <si>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</si>
  <si>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</si>
  <si>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</si>
  <si>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</si>
  <si>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</si>
  <si>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</si>
  <si>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</si>
  <si>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</si>
  <si>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</si>
  <si>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</si>
  <si>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</si>
  <si>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</si>
  <si>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</si>
  <si>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</si>
  <si>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</si>
  <si>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</si>
  <si>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</si>
  <si>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</si>
  <si>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</si>
  <si>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</si>
  <si>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</si>
  <si>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</si>
  <si>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</si>
  <si>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</si>
  <si>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</si>
  <si>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</si>
  <si>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</si>
  <si>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</si>
  <si>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</si>
  <si>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</si>
  <si>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</si>
  <si>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</si>
  <si>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</si>
  <si>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</si>
  <si>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</si>
  <si>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</si>
  <si>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</si>
  <si>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</si>
  <si>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</si>
  <si>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</si>
  <si>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</si>
  <si>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</si>
  <si>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</si>
  <si>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</si>
  <si>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</si>
  <si>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</si>
  <si>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</si>
  <si>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</si>
  <si>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</si>
  <si>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</si>
  <si>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</si>
  <si>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</si>
  <si>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</si>
  <si>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</si>
  <si>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</si>
  <si>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</si>
  <si>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</si>
  <si>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</si>
  <si>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</si>
  <si>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</si>
  <si>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</si>
  <si>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</si>
  <si>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</si>
  <si>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</si>
  <si>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</si>
  <si>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</si>
  <si>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</si>
  <si>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</si>
  <si>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</si>
  <si>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</si>
  <si>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</si>
  <si>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</si>
  <si>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</si>
  <si>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</si>
  <si>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</si>
  <si>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</si>
  <si>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</si>
  <si>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</si>
  <si>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</si>
  <si>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</si>
  <si>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</si>
  <si>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</si>
  <si>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</si>
  <si>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</si>
  <si>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</si>
  <si>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</si>
  <si>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</si>
  <si>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</si>
  <si>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</si>
  <si>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</si>
  <si>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</si>
  <si>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</si>
  <si>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</si>
  <si>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</si>
  <si>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</si>
  <si>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</si>
  <si>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</si>
  <si>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</si>
  <si>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</si>
  <si>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</si>
  <si>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</si>
  <si>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</si>
  <si>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</si>
  <si>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</si>
  <si>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</si>
  <si>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</si>
  <si>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</si>
  <si>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</si>
  <si>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</si>
  <si>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</si>
  <si>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</si>
  <si>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</si>
  <si>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</si>
  <si>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</si>
  <si>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</si>
  <si>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</si>
  <si>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</si>
  <si>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</si>
  <si>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</si>
  <si>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</si>
  <si>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</si>
  <si>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</si>
  <si>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</si>
  <si>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</si>
  <si>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</si>
  <si>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</si>
  <si>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</si>
  <si>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</si>
  <si>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</si>
  <si>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</si>
  <si>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</si>
  <si>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</si>
  <si>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</si>
  <si>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</si>
  <si>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</si>
  <si>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</si>
  <si>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</si>
  <si>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</si>
  <si>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</si>
  <si>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</si>
  <si>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</si>
  <si>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</si>
  <si>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</si>
  <si>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</si>
  <si>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</si>
  <si>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</si>
  <si>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</si>
  <si>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</si>
  <si>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</si>
  <si>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</si>
  <si>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</si>
  <si>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</si>
  <si>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</si>
  <si>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</si>
  <si>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</si>
  <si>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</si>
  <si>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</si>
  <si>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</si>
  <si>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</si>
  <si>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</si>
  <si>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</si>
  <si>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</si>
  <si>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</si>
  <si>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</si>
  <si>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</si>
  <si>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</si>
  <si>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</si>
  <si>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</si>
  <si>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</si>
  <si>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</si>
  <si>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</si>
  <si>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</si>
  <si>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</si>
  <si>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</si>
  <si>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</si>
  <si>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</si>
  <si>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</si>
  <si>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</si>
  <si>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</si>
  <si>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</si>
  <si>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</si>
  <si>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</si>
  <si>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</si>
  <si>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</si>
  <si>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</si>
  <si>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</si>
  <si>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</si>
  <si>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</si>
  <si>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</si>
  <si>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</si>
  <si>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</si>
  <si>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</si>
  <si>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</si>
  <si>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</si>
  <si>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</si>
  <si>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</si>
  <si>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</si>
  <si>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</si>
  <si>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</si>
  <si>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</si>
  <si>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</si>
  <si>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</si>
  <si>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</si>
  <si>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</si>
  <si>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</si>
  <si>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</si>
  <si>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</si>
  <si>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</si>
  <si>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</si>
  <si>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</si>
  <si>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</si>
  <si>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</si>
  <si>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</si>
  <si>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</si>
  <si>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</si>
  <si>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</si>
  <si>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</si>
  <si>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</si>
  <si>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</si>
  <si>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</si>
  <si>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</si>
  <si>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</si>
  <si>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</si>
  <si>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</si>
  <si>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</si>
  <si>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</si>
  <si>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</si>
  <si>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</si>
  <si>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</si>
  <si>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</si>
  <si>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</si>
  <si>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</si>
  <si>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</si>
  <si>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</si>
  <si>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</si>
  <si>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</si>
  <si>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</si>
  <si>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</si>
  <si>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</si>
  <si>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</si>
  <si>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</si>
  <si>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</si>
  <si>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</si>
  <si>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</si>
  <si>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</si>
  <si>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</si>
  <si>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</si>
  <si>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</si>
  <si>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</si>
  <si>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</si>
  <si>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</si>
  <si>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</si>
  <si>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</si>
  <si>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</si>
  <si>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</si>
  <si>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</si>
  <si>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</si>
  <si>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</si>
  <si>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</si>
  <si>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</si>
  <si>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</si>
  <si>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</si>
  <si>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</si>
  <si>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</si>
  <si>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</si>
  <si>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</si>
  <si>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</si>
  <si>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</si>
  <si>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</si>
  <si>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</si>
  <si>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</si>
  <si>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</si>
  <si>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</si>
  <si>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</si>
  <si>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</si>
  <si>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</si>
  <si>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</si>
  <si>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</si>
  <si>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</si>
  <si>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</si>
  <si>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</si>
  <si>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</si>
  <si>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</si>
  <si>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</si>
  <si>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</si>
  <si>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</si>
  <si>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</si>
  <si>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</si>
  <si>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</si>
  <si>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</si>
  <si>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</si>
  <si>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</si>
  <si>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</si>
  <si>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</si>
  <si>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</si>
  <si>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</si>
  <si>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</si>
  <si>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</si>
  <si>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</si>
  <si>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</si>
  <si>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</si>
  <si>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</si>
  <si>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</si>
  <si>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</si>
  <si>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</si>
  <si>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</si>
  <si>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</si>
  <si>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</si>
  <si>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</si>
  <si>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</si>
  <si>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</si>
  <si>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</si>
  <si>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</si>
  <si>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</si>
  <si>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</si>
  <si>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</si>
  <si>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</si>
  <si>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</si>
  <si>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</si>
  <si>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</si>
  <si>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</si>
  <si>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</si>
  <si>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</si>
  <si>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</si>
  <si>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</si>
  <si>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</si>
  <si>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</si>
  <si>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</si>
  <si>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</si>
  <si>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</si>
  <si>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</si>
  <si>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</si>
  <si>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</si>
  <si>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</si>
  <si>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</si>
  <si>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</si>
  <si>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</si>
  <si>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</si>
  <si>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</si>
  <si>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</si>
  <si>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</si>
  <si>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</si>
  <si>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</si>
  <si>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</si>
  <si>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</si>
  <si>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</si>
  <si>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</si>
  <si>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</si>
  <si>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</si>
  <si>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</si>
  <si>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</si>
  <si>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</si>
  <si>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</si>
  <si>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</si>
  <si>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</si>
  <si>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</si>
  <si>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</si>
  <si>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</si>
  <si>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</si>
  <si>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</si>
  <si>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</si>
  <si>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</si>
  <si>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</si>
  <si>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</si>
  <si>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</si>
  <si>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</si>
  <si>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</si>
  <si>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</si>
  <si>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</si>
  <si>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</si>
  <si>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</si>
  <si>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</si>
  <si>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</si>
  <si>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</si>
  <si>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</si>
  <si>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</si>
  <si>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</si>
  <si>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</si>
  <si>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</si>
  <si>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</si>
  <si>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</si>
  <si>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</si>
  <si>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</si>
  <si>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</si>
  <si>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</si>
  <si>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</si>
  <si>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</si>
  <si>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</si>
  <si>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</si>
  <si>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</si>
  <si>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</si>
  <si>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</si>
  <si>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</si>
  <si>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</si>
  <si>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</si>
  <si>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</si>
  <si>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</si>
  <si>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</si>
  <si>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</si>
  <si>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</si>
  <si>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</si>
  <si>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</si>
  <si>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</si>
  <si>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</si>
  <si>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</si>
  <si>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</si>
  <si>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</si>
  <si>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</si>
  <si>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</si>
  <si>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</si>
  <si>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</si>
  <si>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</si>
  <si>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</si>
  <si>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</si>
  <si>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</si>
  <si>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</si>
  <si>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</si>
  <si>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</si>
  <si>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</si>
  <si>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</si>
  <si>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</si>
  <si>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</si>
  <si>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</si>
  <si>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</si>
  <si>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</si>
  <si>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</si>
  <si>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</si>
  <si>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</si>
  <si>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</si>
  <si>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</si>
  <si>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</si>
  <si>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</si>
  <si>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</si>
  <si>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</si>
  <si>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</si>
  <si>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</si>
  <si>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</si>
  <si>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</si>
  <si>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</si>
  <si>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</si>
  <si>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</si>
  <si>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</si>
  <si>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</si>
  <si>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</si>
  <si>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</si>
  <si>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</si>
  <si>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</si>
  <si>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</si>
  <si>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</si>
  <si>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</si>
  <si>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</si>
  <si>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</si>
  <si>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</si>
  <si>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</si>
  <si>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</si>
  <si>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</si>
  <si>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</si>
  <si>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</si>
  <si>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</si>
  <si>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</si>
  <si>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</si>
  <si>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</si>
  <si>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</si>
  <si>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</si>
  <si>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</si>
  <si>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</si>
  <si>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</si>
  <si>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</si>
  <si>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</si>
  <si>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</si>
  <si>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</si>
  <si>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</si>
  <si>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</si>
  <si>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</si>
  <si>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</si>
  <si>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</si>
  <si>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</si>
  <si>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</si>
  <si>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</si>
  <si>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</si>
  <si>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</si>
  <si>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</si>
  <si>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</si>
  <si>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</si>
  <si>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</si>
  <si>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</si>
  <si>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</si>
  <si>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</si>
  <si>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</si>
  <si>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</si>
  <si>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</si>
  <si>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</si>
  <si>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</si>
  <si>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</si>
  <si>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</si>
  <si>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</si>
  <si>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</si>
  <si>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</si>
  <si>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</si>
  <si>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</si>
  <si>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</si>
  <si>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</si>
  <si>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</si>
  <si>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</si>
  <si>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</si>
  <si>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</si>
  <si>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</si>
  <si>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</si>
  <si>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</si>
  <si>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</si>
  <si>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</si>
  <si>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</si>
  <si>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</si>
  <si>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</si>
  <si>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</si>
  <si>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</si>
  <si>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</si>
  <si>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</si>
  <si>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</si>
  <si>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</si>
  <si>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</si>
  <si>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</si>
  <si>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</si>
  <si>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</si>
  <si>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</si>
  <si>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</si>
  <si>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</si>
  <si>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</si>
  <si>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</si>
  <si>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</si>
  <si>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</si>
  <si>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</si>
  <si>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</si>
  <si>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</si>
  <si>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</si>
  <si>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</si>
  <si>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</si>
  <si>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</si>
  <si>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</si>
  <si>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</si>
  <si>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</si>
  <si>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</si>
  <si>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</si>
  <si>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</si>
  <si>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</si>
  <si>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</si>
  <si>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</si>
  <si>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</si>
  <si>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</si>
  <si>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</si>
  <si>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</si>
  <si>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</si>
  <si>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</si>
  <si>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</si>
  <si>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</si>
  <si>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</si>
  <si>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</si>
  <si>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</si>
  <si>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</si>
  <si>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</si>
  <si>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</si>
  <si>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</si>
  <si>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</si>
  <si>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</si>
  <si>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</si>
  <si>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</si>
  <si>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</si>
  <si>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</si>
  <si>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</si>
  <si>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</si>
  <si>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</si>
  <si>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</si>
  <si>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</si>
  <si>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</si>
  <si>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</si>
  <si>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</si>
  <si>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</si>
  <si>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</si>
  <si>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</si>
  <si>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</si>
  <si>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</si>
  <si>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</si>
  <si>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</si>
  <si>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</si>
  <si>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</si>
  <si>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</si>
  <si>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</si>
  <si>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</si>
  <si>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</si>
  <si>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</si>
  <si>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</si>
  <si>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</si>
  <si>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</si>
  <si>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</si>
  <si>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</si>
  <si>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</si>
  <si>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</si>
  <si>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</si>
  <si>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</si>
  <si>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</si>
  <si>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</si>
  <si>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</si>
  <si>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</si>
  <si>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</si>
  <si>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</si>
  <si>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</si>
  <si>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</si>
  <si>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</si>
  <si>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</si>
  <si>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</si>
  <si>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</si>
  <si>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</si>
  <si>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</si>
  <si>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</si>
  <si>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</si>
  <si>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</si>
  <si>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</si>
  <si>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</si>
  <si>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</si>
  <si>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</si>
  <si>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</si>
  <si>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</si>
  <si>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</si>
  <si>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</si>
  <si>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</si>
  <si>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</si>
  <si>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</si>
  <si>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</si>
  <si>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</si>
  <si>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</si>
  <si>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</si>
  <si>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</si>
  <si>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</si>
  <si>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</si>
  <si>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</si>
  <si>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</si>
  <si>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</si>
  <si>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</si>
  <si>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</si>
  <si>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</si>
  <si>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</si>
  <si>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</si>
  <si>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</si>
  <si>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</si>
  <si>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</si>
  <si>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</si>
  <si>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</si>
  <si>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</si>
  <si>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</si>
  <si>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</si>
  <si>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</si>
  <si>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</si>
  <si>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</si>
  <si>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</si>
  <si>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</si>
  <si>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</si>
  <si>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</si>
  <si>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</si>
  <si>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</si>
  <si>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</si>
  <si>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</si>
  <si>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</si>
  <si>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</si>
  <si>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</si>
  <si>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</si>
  <si>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</si>
  <si>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</si>
  <si>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</si>
  <si>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</si>
  <si>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</si>
  <si>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</si>
  <si>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</si>
  <si>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</si>
  <si>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</si>
  <si>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</si>
  <si>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</si>
  <si>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</si>
  <si>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</si>
  <si>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</si>
  <si>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</si>
  <si>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</si>
  <si>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</si>
  <si>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</si>
  <si>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</si>
  <si>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</si>
  <si>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</si>
  <si>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</si>
  <si>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</si>
  <si>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</si>
  <si>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</si>
  <si>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</si>
  <si>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</si>
  <si>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</si>
  <si>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</si>
  <si>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</si>
  <si>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</si>
  <si>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</si>
  <si>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</si>
  <si>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</si>
  <si>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</si>
  <si>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</si>
  <si>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</si>
  <si>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</si>
  <si>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</si>
  <si>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</si>
  <si>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</si>
  <si>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</si>
  <si>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</si>
  <si>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</si>
  <si>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</si>
  <si>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</si>
  <si>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</si>
  <si>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</si>
  <si>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</si>
  <si>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</si>
  <si>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</si>
  <si>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</si>
  <si>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</si>
  <si>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</si>
  <si>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</si>
  <si>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</si>
  <si>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</si>
  <si>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</si>
  <si>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</si>
  <si>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</si>
  <si>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</si>
  <si>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</si>
  <si>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</si>
  <si>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</si>
  <si>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</si>
  <si>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</si>
  <si>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</si>
  <si>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</si>
  <si>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</si>
  <si>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</si>
  <si>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</si>
  <si>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</si>
  <si>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</si>
  <si>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</si>
  <si>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</si>
  <si>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</si>
  <si>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</si>
  <si>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</si>
  <si>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</si>
  <si>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</si>
  <si>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</si>
  <si>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</si>
  <si>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</si>
  <si>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</si>
  <si>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</si>
  <si>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</si>
  <si>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</si>
  <si>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</si>
  <si>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</si>
  <si>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</si>
  <si>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</si>
  <si>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</si>
  <si>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</si>
  <si>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</si>
  <si>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</si>
  <si>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</si>
  <si>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</si>
  <si>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</si>
  <si>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</si>
  <si>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旭辉</t>
    </r>
    <r>
      <rPr>
        <sz val="11"/>
        <color theme="9" tint="-0.249977111117893"/>
        <rFont val="Arial"/>
        <family val="2"/>
      </rPr>
      <t>26</t>
    </r>
    <r>
      <rPr>
        <sz val="11"/>
        <color theme="9" tint="-0.249977111117893"/>
        <rFont val="宋体"/>
        <family val="3"/>
        <charset val="134"/>
      </rPr>
      <t>街区</t>
    </r>
  </si>
  <si>
    <t>炫立方</t>
  </si>
  <si>
    <t>中建国际城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</si>
  <si>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</si>
  <si>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</si>
  <si>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</si>
  <si>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</si>
  <si>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</si>
  <si>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</si>
  <si>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</si>
  <si>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急售</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</si>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</sst>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77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8"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left" vertical="center" wrapText="1"/>
      <protection locked="0"/>
    </xf>
    <xf numFmtId="0" fontId="2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left"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90"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0"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0</xdr:row>
      <xdr:rowOff>137160</xdr:rowOff>
    </xdr:from>
    <xdr:to>
      <xdr:col>19</xdr:col>
      <xdr:colOff>586740</xdr:colOff>
      <xdr:row>31</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 y="137160"/>
          <a:ext cx="11871960" cy="5600700"/>
        </a:xfrm>
        <a:prstGeom prst="rect">
          <a:avLst/>
        </a:prstGeom>
        <a:noFill/>
        <a:ln w="9525">
          <a:noFill/>
        </a:ln>
      </xdr:spPr>
    </xdr:pic>
    <xdr:clientData/>
  </xdr:twoCellAnchor>
  <xdr:twoCellAnchor editAs="oneCell">
    <xdr:from>
      <xdr:col>0</xdr:col>
      <xdr:colOff>510540</xdr:colOff>
      <xdr:row>32</xdr:row>
      <xdr:rowOff>160020</xdr:rowOff>
    </xdr:from>
    <xdr:to>
      <xdr:col>19</xdr:col>
      <xdr:colOff>571500</xdr:colOff>
      <xdr:row>63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510540" y="6012180"/>
          <a:ext cx="11643360" cy="5585460"/>
        </a:xfrm>
        <a:prstGeom prst="rect">
          <a:avLst/>
        </a:prstGeom>
        <a:noFill/>
        <a:ln w="9525">
          <a:noFill/>
        </a:ln>
      </xdr:spPr>
    </xdr:pic>
    <xdr:clientData/>
  </xdr:twoCellAnchor>
  <xdr:twoCellAnchor editAs="oneCell">
    <xdr:from>
      <xdr:col>2</xdr:col>
      <xdr:colOff>0</xdr:colOff>
      <xdr:row>65</xdr:row>
      <xdr:rowOff>0</xdr:rowOff>
    </xdr:from>
    <xdr:to>
      <xdr:col>13</xdr:col>
      <xdr:colOff>373380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11887200"/>
          <a:ext cx="7078980" cy="2636520"/>
        </a:xfrm>
        <a:prstGeom prst="rect">
          <a:avLst/>
        </a:prstGeom>
        <a:noFill/>
        <a:ln w="9525">
          <a:noFill/>
        </a:ln>
      </xdr:spPr>
    </xdr:pic>
    <xdr:clientData/>
  </xdr:twoCellAnchor>
  <xdr:twoCellAnchor editAs="oneCell">
    <xdr:from>
      <xdr:col>1</xdr:col>
      <xdr:colOff>0</xdr:colOff>
      <xdr:row>81</xdr:row>
      <xdr:rowOff>0</xdr:rowOff>
    </xdr:from>
    <xdr:to>
      <xdr:col>19</xdr:col>
      <xdr:colOff>289560</xdr:colOff>
      <xdr:row>109</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813280"/>
          <a:ext cx="11262360" cy="5128260"/>
        </a:xfrm>
        <a:prstGeom prst="rect">
          <a:avLst/>
        </a:prstGeom>
        <a:noFill/>
        <a:ln w="9525">
          <a:noFill/>
        </a:ln>
      </xdr:spPr>
    </xdr:pic>
    <xdr:clientData/>
  </xdr:twoCellAnchor>
  <xdr:twoCellAnchor editAs="oneCell">
    <xdr:from>
      <xdr:col>1</xdr:col>
      <xdr:colOff>0</xdr:colOff>
      <xdr:row>111</xdr:row>
      <xdr:rowOff>0</xdr:rowOff>
    </xdr:from>
    <xdr:to>
      <xdr:col>20</xdr:col>
      <xdr:colOff>83820</xdr:colOff>
      <xdr:row>139</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20299680"/>
          <a:ext cx="11666220" cy="5128260"/>
        </a:xfrm>
        <a:prstGeom prst="rect">
          <a:avLst/>
        </a:prstGeom>
        <a:noFill/>
        <a:ln w="9525">
          <a:noFill/>
        </a:ln>
      </xdr:spPr>
    </xdr:pic>
    <xdr:clientData/>
  </xdr:twoCellAnchor>
  <xdr:twoCellAnchor editAs="oneCell">
    <xdr:from>
      <xdr:col>1</xdr:col>
      <xdr:colOff>0</xdr:colOff>
      <xdr:row>141</xdr:row>
      <xdr:rowOff>0</xdr:rowOff>
    </xdr:from>
    <xdr:to>
      <xdr:col>19</xdr:col>
      <xdr:colOff>495300</xdr:colOff>
      <xdr:row>169</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6080"/>
          <a:ext cx="11468100" cy="5204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85-P01&#12289;P02&#12289;P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估价对象为北京市房地产，为所有。根据《国有土地使用证》[]，估价对象（分摊）出让国有建设用地使用权面积为0平方米，建筑面积为93.61平方米。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估价对象为北京市房地产,属开发建设的，该项目尚在开发建设中。根据《国有土地使用证》[]，估价对象（分摊）出让国有建设用地使用权面积为0平方米，规划建筑面积为93.61平方米。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2023年9月7日</v>
      </c>
    </row>
    <row r="13" spans="1:2" s="3420" customFormat="1">
      <c r="A13" s="3428" t="s">
        <v>13</v>
      </c>
      <c r="B13" s="3429"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238</v>
      </c>
    </row>
    <row r="21" spans="1:2" s="3420" customFormat="1">
      <c r="A21" s="3428" t="s">
        <v>21</v>
      </c>
      <c r="B21" s="3429">
        <f ca="1">'预评函-2'!D7</f>
        <v>25435</v>
      </c>
    </row>
    <row r="22" spans="1:2" s="3420" customFormat="1">
      <c r="A22" s="3428" t="s">
        <v>22</v>
      </c>
      <c r="B22" s="3429" t="str">
        <f ca="1">'预评函-2'!D6</f>
        <v>贰佰叁拾捌万元整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238</v>
      </c>
    </row>
    <row r="31" spans="1:2" s="3420" customFormat="1">
      <c r="A31" s="3428" t="s">
        <v>31</v>
      </c>
      <c r="B31" s="3429">
        <f ca="1">'预评函-2'!D15</f>
        <v>25435</v>
      </c>
    </row>
    <row r="32" spans="1:2" s="3420" customFormat="1">
      <c r="A32" s="3428" t="s">
        <v>32</v>
      </c>
      <c r="B32" s="3429" t="str">
        <f ca="1">'预评函-2'!D14</f>
        <v>贰佰叁拾捌万元整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93.61</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45176</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3.28</v>
      </c>
      <c r="D5" s="3255">
        <f>IF(ISERROR(ROUND(POWER(1+E5,A5-C5)*(POWER(1+E5,C5)-1)/(POWER(1+E5,A5)-1),3)),0,ROUND(POWER(1+E5,A5-C5)*(POWER(1+E5,C5)-1)/(POWER(1+E5,A5)-1),4))</f>
        <v>0.1525</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13.29</v>
      </c>
      <c r="D6" s="3255">
        <f>IF(ISERROR(ROUND(POWER(1+E6,A6-C6)*(POWER(1+E6,C6)-1)/(POWER(1+E6,A6)-1),3)),0,ROUND(POWER(1+E6,A6-C6)*(POWER(1+E6,C6)-1)/(POWER(1+E6,A6)-1),4))</f>
        <v>0.47270000000000001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33.299999999999997</v>
      </c>
      <c r="D7" s="3255">
        <f>IF(ISERROR(ROUND(POWER(1+E7,A7-C7)*(POWER(1+E7,C7)-1)/(POWER(1+E7,A7)-1),3)),0,ROUND(POWER(1+E7,A7-C7)*(POWER(1+E7,C7)-1)/(POWER(1+E7,A7)-1),4))</f>
        <v>0.77910000000000001</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64" t="s">
        <v>427</v>
      </c>
      <c r="B3" s="3122"/>
      <c r="C3" s="3123" t="s">
        <v>428</v>
      </c>
      <c r="D3" s="3122">
        <v>45176</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6"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56690</v>
      </c>
      <c r="E13" s="3162"/>
      <c r="F13" s="3162"/>
      <c r="G13" s="3162"/>
      <c r="H13" s="3162"/>
      <c r="I13" s="3162"/>
      <c r="J13" s="3224"/>
      <c r="K13" s="3216"/>
      <c r="L13" s="3216"/>
      <c r="M13" s="2718"/>
      <c r="N13" s="3217"/>
      <c r="O13" s="2718"/>
      <c r="P13" s="2718"/>
      <c r="Q13" s="2718"/>
      <c r="AD13" s="2734"/>
    </row>
    <row r="14" spans="1:30">
      <c r="A14" s="1992"/>
      <c r="B14" s="3161" t="s">
        <v>451</v>
      </c>
      <c r="C14" s="3163"/>
      <c r="D14" s="3163">
        <v>40</v>
      </c>
      <c r="E14" s="3163"/>
      <c r="F14" s="3163"/>
      <c r="G14" s="3163"/>
      <c r="H14" s="3163"/>
      <c r="I14" s="3163"/>
      <c r="J14" s="3225"/>
      <c r="K14" s="3216"/>
      <c r="L14" s="3216"/>
      <c r="M14" s="2718"/>
      <c r="N14" s="3217"/>
      <c r="O14" s="2718"/>
      <c r="P14" s="2718"/>
      <c r="Q14" s="2718"/>
      <c r="AD14" s="2734"/>
    </row>
    <row r="15" spans="1:30">
      <c r="A15" s="1999"/>
      <c r="B15" s="3164" t="s">
        <v>452</v>
      </c>
      <c r="C15" s="3165" t="str">
        <f>IF(A13="出让",IF(C13="","",ROUNDDOWN(MIN((C13-$D$3)/365,C14),2)),C14)</f>
        <v/>
      </c>
      <c r="D15" s="3165">
        <f>IF(A13="出让",IF(D13="","",ROUNDDOWN(MIN((D13-$D$3)/365,D14),2)),D14)</f>
        <v>31.54</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1975" t="s">
        <v>455</v>
      </c>
      <c r="B17" s="1964" t="s">
        <v>456</v>
      </c>
      <c r="C17" s="1006">
        <f>'数据-汇总表'!E3</f>
        <v>93.61</v>
      </c>
      <c r="D17" s="2019"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1987" t="s">
        <v>460</v>
      </c>
      <c r="C18" s="3168">
        <f>'数据-汇总表'!D3</f>
        <v>0</v>
      </c>
      <c r="D18" s="2012"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2029" t="s">
        <v>462</v>
      </c>
      <c r="B19" s="196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6"/>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6"/>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1999"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96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96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964"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2117" t="str">
        <f>IF(B31="现房","成新及维护状况正常否",IF(B31="在建","工程状态是否正常",IF(B31="土地","是否闲置","-")))</f>
        <v>-</v>
      </c>
      <c r="D31" s="2082"/>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2117" t="str">
        <f>IF(B32="现房","成新及维护状况是否正常",IF(B32="在建","工程状态是否正常",IF(B32="土地","是否闲置","-")))</f>
        <v>-</v>
      </c>
      <c r="D32" s="2082"/>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1973"/>
      <c r="E33" s="3201"/>
      <c r="F33" s="2839"/>
      <c r="G33" s="2839"/>
      <c r="H33" s="2839"/>
      <c r="I33" s="2839"/>
      <c r="J33" s="2718"/>
      <c r="K33" s="3218"/>
      <c r="L33" s="3216"/>
      <c r="M33" s="3216"/>
      <c r="N33" s="2718"/>
      <c r="O33" s="3217"/>
      <c r="P33" s="2718"/>
      <c r="Q33" s="2718"/>
      <c r="R33" s="2718"/>
      <c r="S33" s="2718"/>
      <c r="T33" s="2718"/>
      <c r="U33" s="2718"/>
      <c r="V33" s="2718"/>
    </row>
    <row r="34" spans="1:30">
      <c r="A34" s="1964" t="s">
        <v>486</v>
      </c>
      <c r="B34" s="576"/>
      <c r="C34" s="576"/>
      <c r="D34" s="576"/>
      <c r="E34" s="576"/>
      <c r="F34" s="576"/>
      <c r="G34" s="576"/>
      <c r="H34" s="576"/>
      <c r="I34" s="2839"/>
      <c r="J34" s="2718"/>
      <c r="K34" s="1006">
        <f>COUNTIF(B34:H34,"——")</f>
        <v>0</v>
      </c>
      <c r="L34" s="2006" t="s">
        <v>487</v>
      </c>
      <c r="M34" s="2006" t="s">
        <v>488</v>
      </c>
      <c r="N34" s="2006" t="s">
        <v>489</v>
      </c>
      <c r="O34" s="2006" t="s">
        <v>490</v>
      </c>
      <c r="P34" s="2006" t="s">
        <v>491</v>
      </c>
      <c r="Q34" s="2006" t="s">
        <v>492</v>
      </c>
      <c r="R34" s="2006" t="s">
        <v>493</v>
      </c>
      <c r="S34" s="3507" t="s">
        <v>494</v>
      </c>
      <c r="T34" s="2006" t="str">
        <f>NUMBERSTRING(7-K34,1)&amp;"通"</f>
        <v>七通</v>
      </c>
      <c r="U34" s="2718"/>
      <c r="V34" s="2718"/>
    </row>
    <row r="35" spans="1:30">
      <c r="A35" s="3202"/>
      <c r="B35" s="3499" t="s">
        <v>495</v>
      </c>
      <c r="C35" s="3499"/>
      <c r="D35" s="3499"/>
      <c r="E35" s="3499"/>
      <c r="F35" s="1063">
        <f>C10</f>
        <v>0</v>
      </c>
      <c r="G35" s="2839"/>
      <c r="H35" s="2839"/>
      <c r="I35" s="2839"/>
      <c r="J35" s="2718"/>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07"/>
      <c r="T35" s="2008"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82"/>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6" t="s">
        <v>501</v>
      </c>
      <c r="B42" s="1006" t="s">
        <v>502</v>
      </c>
      <c r="C42" s="1006" t="s">
        <v>503</v>
      </c>
      <c r="D42" s="1006" t="s">
        <v>504</v>
      </c>
      <c r="E42" s="1006" t="s">
        <v>505</v>
      </c>
      <c r="F42" s="1006" t="s">
        <v>506</v>
      </c>
      <c r="G42" s="1006" t="s">
        <v>507</v>
      </c>
      <c r="H42" s="1006" t="s">
        <v>508</v>
      </c>
      <c r="I42" s="1006"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93.61</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17" t="s">
        <v>526</v>
      </c>
      <c r="B5" s="2373"/>
      <c r="C5" s="2373"/>
      <c r="D5" s="2501"/>
      <c r="E5" s="3031" t="s">
        <v>124</v>
      </c>
      <c r="F5" s="3031">
        <f>SUM(F13:F587)</f>
        <v>0</v>
      </c>
      <c r="G5" s="3031">
        <f>SUM(G13:G587)</f>
        <v>93.61</v>
      </c>
      <c r="H5" s="3031">
        <f t="shared" ref="H5:AT5" si="0">SUM(H13:H656)</f>
        <v>93.61</v>
      </c>
      <c r="I5" s="3031">
        <f t="shared" si="0"/>
        <v>93.61</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17" t="s">
        <v>526</v>
      </c>
      <c r="AW5" s="2373"/>
      <c r="AX5" s="2373"/>
      <c r="AY5" s="3090" t="s">
        <v>124</v>
      </c>
      <c r="AZ5" s="3091">
        <f t="shared" ref="AZ5:BT5" si="1">SUM(AZ13:AZ656)</f>
        <v>93.61</v>
      </c>
      <c r="BA5" s="3091">
        <f t="shared" si="1"/>
        <v>93.61</v>
      </c>
      <c r="BB5" s="3091">
        <f t="shared" si="1"/>
        <v>93.61</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17"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17"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5"/>
      <c r="K8" s="1005"/>
      <c r="L8" s="1005"/>
      <c r="M8" s="1005"/>
      <c r="N8" s="1005"/>
      <c r="O8" s="1005"/>
      <c r="P8" s="1005"/>
      <c r="Q8" s="1005"/>
      <c r="R8" s="1005"/>
      <c r="S8" s="1005"/>
      <c r="T8" s="1005"/>
      <c r="U8" s="1005"/>
      <c r="V8" s="3064"/>
      <c r="W8" s="1005"/>
      <c r="X8" s="1005"/>
      <c r="Y8" s="1005"/>
      <c r="Z8" s="1005"/>
      <c r="AA8" s="3064"/>
      <c r="AB8" s="3066"/>
      <c r="AC8" s="2259" t="s">
        <v>537</v>
      </c>
      <c r="AD8" s="3067"/>
      <c r="AE8" s="3068"/>
      <c r="AF8" s="1005"/>
      <c r="AG8" s="1005"/>
      <c r="AH8" s="1005"/>
      <c r="AI8" s="1005"/>
      <c r="AJ8" s="1005"/>
      <c r="AK8" s="1005"/>
      <c r="AL8" s="1005"/>
      <c r="AM8" s="1005"/>
      <c r="AN8" s="1005"/>
      <c r="AO8" s="1005"/>
      <c r="AP8" s="1005"/>
      <c r="AQ8" s="1005"/>
      <c r="AR8" s="1005"/>
      <c r="AS8" s="1005"/>
      <c r="AT8" s="1957" t="s">
        <v>538</v>
      </c>
      <c r="AU8" s="3037" t="s">
        <v>539</v>
      </c>
      <c r="AV8" s="1957"/>
      <c r="AW8" s="2450"/>
      <c r="AX8" s="1957"/>
      <c r="AY8" s="2490"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7" customFormat="1" ht="12.75">
      <c r="A9" s="3037"/>
      <c r="B9" s="3037"/>
      <c r="C9" s="3037"/>
      <c r="D9" s="3037"/>
      <c r="E9" s="3037"/>
      <c r="F9" s="3037"/>
      <c r="G9" s="1957"/>
      <c r="H9" s="3040" t="s">
        <v>540</v>
      </c>
      <c r="I9" s="3058" t="s">
        <v>541</v>
      </c>
      <c r="J9" s="2259"/>
      <c r="K9" s="3058"/>
      <c r="L9" s="2259"/>
      <c r="M9" s="3058"/>
      <c r="N9" s="2259"/>
      <c r="O9" s="3058"/>
      <c r="P9" s="2259"/>
      <c r="Q9" s="3058"/>
      <c r="R9" s="2259"/>
      <c r="S9" s="3058"/>
      <c r="T9" s="2259"/>
      <c r="U9" s="3058"/>
      <c r="V9" s="2259"/>
      <c r="W9" s="3058"/>
      <c r="X9" s="3065"/>
      <c r="Y9" s="3058"/>
      <c r="Z9" s="2259"/>
      <c r="AA9" s="3058"/>
      <c r="AB9" s="2259"/>
      <c r="AC9" s="3038"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8"/>
      <c r="AT9" s="3037"/>
      <c r="AU9" s="3037" t="s">
        <v>544</v>
      </c>
      <c r="AV9" s="1957"/>
      <c r="AW9" s="2450"/>
      <c r="AX9" s="1957"/>
      <c r="AY9" s="3041"/>
      <c r="AZ9" s="3041" t="s">
        <v>535</v>
      </c>
      <c r="BA9" s="3093" t="s">
        <v>545</v>
      </c>
      <c r="BB9" s="3094"/>
      <c r="BC9" s="2016"/>
      <c r="BD9" s="2016"/>
      <c r="BE9" s="2016"/>
      <c r="BF9" s="2016"/>
      <c r="BG9" s="2016"/>
      <c r="BH9" s="2016"/>
      <c r="BI9" s="2016"/>
      <c r="BJ9" s="2016"/>
      <c r="BK9" s="3099"/>
      <c r="BL9" s="2117" t="s">
        <v>546</v>
      </c>
      <c r="BM9" s="1005"/>
      <c r="BN9" s="3057"/>
      <c r="BO9" s="1005"/>
      <c r="BP9" s="1005"/>
      <c r="BQ9" s="1005"/>
      <c r="BR9" s="1005"/>
      <c r="BS9" s="1005"/>
      <c r="BT9" s="2004"/>
    </row>
    <row r="10" spans="1:72" s="2737" customFormat="1" ht="12.75">
      <c r="A10" s="3037"/>
      <c r="B10" s="3037"/>
      <c r="C10" s="3037"/>
      <c r="D10" s="3037"/>
      <c r="E10" s="3037"/>
      <c r="F10" s="3037"/>
      <c r="G10" s="1957"/>
      <c r="H10" s="3041"/>
      <c r="I10" s="3058" t="s">
        <v>547</v>
      </c>
      <c r="J10" s="2259"/>
      <c r="K10" s="3059"/>
      <c r="L10" s="2259"/>
      <c r="M10" s="3059"/>
      <c r="N10" s="2259"/>
      <c r="O10" s="3059"/>
      <c r="P10" s="2259"/>
      <c r="Q10" s="3059"/>
      <c r="R10" s="2259"/>
      <c r="S10" s="3059"/>
      <c r="T10" s="2259"/>
      <c r="U10" s="3059"/>
      <c r="V10" s="2259"/>
      <c r="W10" s="3059"/>
      <c r="X10" s="2259"/>
      <c r="Y10" s="3059"/>
      <c r="Z10" s="2259"/>
      <c r="AA10" s="3059"/>
      <c r="AB10" s="2259"/>
      <c r="AC10" s="1957"/>
      <c r="AD10" s="2117" t="s">
        <v>548</v>
      </c>
      <c r="AE10" s="3069"/>
      <c r="AF10" s="2117" t="s">
        <v>548</v>
      </c>
      <c r="AG10" s="3069"/>
      <c r="AH10" s="2117" t="s">
        <v>549</v>
      </c>
      <c r="AI10" s="3069"/>
      <c r="AJ10" s="2117" t="s">
        <v>549</v>
      </c>
      <c r="AK10" s="3069"/>
      <c r="AL10" s="2117" t="s">
        <v>550</v>
      </c>
      <c r="AM10" s="1969"/>
      <c r="AN10" s="2117" t="s">
        <v>550</v>
      </c>
      <c r="AO10" s="1969"/>
      <c r="AP10" s="2117" t="s">
        <v>551</v>
      </c>
      <c r="AQ10" s="1969"/>
      <c r="AR10" s="2117" t="s">
        <v>551</v>
      </c>
      <c r="AS10" s="1969"/>
      <c r="AT10" s="3037"/>
      <c r="AU10" s="3037"/>
      <c r="AV10" s="1957"/>
      <c r="AW10" s="2450"/>
      <c r="AX10" s="1957"/>
      <c r="AY10" s="3041"/>
      <c r="AZ10" s="3041"/>
      <c r="BA10" s="3042" t="s">
        <v>540</v>
      </c>
      <c r="BB10" s="3095"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3" t="str">
        <f>AR9</f>
        <v>地下</v>
      </c>
    </row>
    <row r="11" spans="1:72" s="2737" customFormat="1" ht="12.75">
      <c r="A11" s="3037"/>
      <c r="B11" s="3037"/>
      <c r="C11" s="3037"/>
      <c r="D11" s="3037"/>
      <c r="E11" s="3037"/>
      <c r="F11" s="3037"/>
      <c r="G11" s="195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7"/>
      <c r="AD11" s="3070" t="s">
        <v>552</v>
      </c>
      <c r="AE11" s="1061"/>
      <c r="AF11" s="3070" t="s">
        <v>552</v>
      </c>
      <c r="AG11" s="1061"/>
      <c r="AH11" s="3070" t="s">
        <v>553</v>
      </c>
      <c r="AI11" s="3074"/>
      <c r="AJ11" s="3070" t="s">
        <v>553</v>
      </c>
      <c r="AK11" s="1061"/>
      <c r="AL11" s="1004"/>
      <c r="AM11" s="1061"/>
      <c r="AN11" s="1004"/>
      <c r="AO11" s="1061"/>
      <c r="AP11" s="1004"/>
      <c r="AQ11" s="1061"/>
      <c r="AR11" s="1004"/>
      <c r="AS11" s="1061"/>
      <c r="AT11" s="2450"/>
      <c r="AU11" s="3037"/>
      <c r="AV11" s="1957"/>
      <c r="AW11" s="2450"/>
      <c r="AX11" s="195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4" t="str">
        <f>AR10</f>
        <v>未注明</v>
      </c>
    </row>
    <row r="12" spans="1:72" s="3016" customFormat="1" ht="12.75">
      <c r="A12" s="3043"/>
      <c r="B12" s="3043"/>
      <c r="C12" s="3043"/>
      <c r="D12" s="3043"/>
      <c r="E12" s="3043"/>
      <c r="F12" s="3043"/>
      <c r="G12" s="602"/>
      <c r="H12" s="3044"/>
      <c r="I12" s="250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2" t="s">
        <v>555</v>
      </c>
      <c r="W12" s="1006" t="s">
        <v>554</v>
      </c>
      <c r="X12" s="1006" t="s">
        <v>555</v>
      </c>
      <c r="Y12" s="1006" t="s">
        <v>554</v>
      </c>
      <c r="Z12" s="1006" t="s">
        <v>555</v>
      </c>
      <c r="AA12" s="1006" t="s">
        <v>554</v>
      </c>
      <c r="AB12" s="1006" t="s">
        <v>555</v>
      </c>
      <c r="AC12" s="3071"/>
      <c r="AD12" s="250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3" t="s">
        <v>555</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4">
        <f>AR11</f>
        <v>0</v>
      </c>
    </row>
    <row r="13" spans="1:72" s="3016" customFormat="1" ht="12.75">
      <c r="A13" s="3045"/>
      <c r="B13" s="3045"/>
      <c r="C13" s="3045"/>
      <c r="D13" s="3046" t="s">
        <v>556</v>
      </c>
      <c r="E13" s="3031">
        <f>IF($C$3="是",ROUND($A$3*G13/$B$3,2),ROUND($A$3*(G13-AT13)/$B$3,2))</f>
        <v>0</v>
      </c>
      <c r="F13" s="3047"/>
      <c r="G13" s="3048">
        <f>H13+AC13+AT13</f>
        <v>93.61</v>
      </c>
      <c r="H13" s="3034">
        <f>SUMIF(I$12:AB$12,"总值",I13:AB13)</f>
        <v>93.61</v>
      </c>
      <c r="I13" s="3062">
        <v>93.61</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93.61</v>
      </c>
      <c r="BA13" s="3031">
        <f>SUM(BB13:BK13)</f>
        <v>93.61</v>
      </c>
      <c r="BB13" s="3031">
        <f>IF($D13="是",I13-J13,0)</f>
        <v>93.61</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08" t="s">
        <v>558</v>
      </c>
      <c r="B2" s="3508"/>
      <c r="C2" s="3508"/>
      <c r="D2" s="2244" t="s">
        <v>559</v>
      </c>
      <c r="E2" s="2933" t="s">
        <v>560</v>
      </c>
      <c r="F2" s="2934"/>
      <c r="G2" s="2935"/>
      <c r="H2" s="2936"/>
      <c r="I2" s="2586" t="s">
        <v>561</v>
      </c>
      <c r="J2" s="2934"/>
      <c r="K2" s="2934"/>
      <c r="L2" s="2934"/>
      <c r="M2" s="2934"/>
      <c r="N2" s="1410"/>
      <c r="O2" s="2934"/>
      <c r="P2" s="2934"/>
    </row>
    <row r="3" spans="1:16" ht="15">
      <c r="A3" s="3509" t="s">
        <v>562</v>
      </c>
      <c r="B3" s="3509"/>
      <c r="C3" s="3509"/>
      <c r="D3" s="2937">
        <f>'数据-基础表'!AY6</f>
        <v>0</v>
      </c>
      <c r="E3" s="2937">
        <f>'数据-基础表'!AZ5</f>
        <v>93.61</v>
      </c>
      <c r="F3" s="2934"/>
      <c r="G3" s="2938"/>
      <c r="H3" s="2389" t="s">
        <v>563</v>
      </c>
      <c r="I3" s="2997" t="e">
        <f>ROUND('数据-基础表'!B3/'数据-基础表'!A3,2)</f>
        <v>#DIV/0!</v>
      </c>
      <c r="J3" s="2934"/>
      <c r="K3" s="2934"/>
      <c r="L3" s="2934"/>
      <c r="M3" s="2934"/>
      <c r="N3" s="1410"/>
      <c r="O3" s="2934"/>
      <c r="P3" s="2934"/>
    </row>
    <row r="4" spans="1:16" ht="15">
      <c r="A4" s="3510"/>
      <c r="B4" s="3511"/>
      <c r="C4" s="3512"/>
      <c r="D4" s="2939" t="s">
        <v>559</v>
      </c>
      <c r="E4" s="2940" t="s">
        <v>560</v>
      </c>
      <c r="F4" s="2934"/>
      <c r="G4" s="2941" t="s">
        <v>564</v>
      </c>
      <c r="H4" s="2389" t="s">
        <v>565</v>
      </c>
      <c r="I4" s="2997" t="e">
        <f>ROUND(SUMIF('数据-基础表'!I9:AS9,"地上",'数据-基础表'!I5:AS5)/'数据-基础表'!A3,2)</f>
        <v>#DIV/0!</v>
      </c>
      <c r="J4" s="2934"/>
      <c r="K4" s="2934"/>
      <c r="L4" s="2934"/>
      <c r="M4" s="2934"/>
      <c r="N4" s="1410"/>
      <c r="O4" s="2934"/>
      <c r="P4" s="2934"/>
    </row>
    <row r="5" spans="1:16">
      <c r="A5" s="2942" t="s">
        <v>566</v>
      </c>
      <c r="B5" s="3513" t="s">
        <v>567</v>
      </c>
      <c r="C5" s="3513"/>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13" t="s">
        <v>568</v>
      </c>
      <c r="C6" s="3513"/>
      <c r="D6" s="2943">
        <f>ROUND($D$3*E6/$E$3,2)</f>
        <v>0</v>
      </c>
      <c r="E6" s="2944">
        <f>E3-E5</f>
        <v>93.61</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93.61</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93.61</v>
      </c>
      <c r="F16" s="2934"/>
      <c r="G16" s="2953"/>
      <c r="H16" s="2958" t="s">
        <v>583</v>
      </c>
      <c r="I16" s="3000"/>
      <c r="J16" s="2437"/>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7"/>
      <c r="K17" s="3520" t="s">
        <v>589</v>
      </c>
      <c r="L17" s="3521"/>
      <c r="M17" s="3522"/>
      <c r="N17" s="3520" t="s">
        <v>590</v>
      </c>
      <c r="O17" s="3521"/>
      <c r="P17" s="3522"/>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201</v>
      </c>
      <c r="D19" s="2943">
        <f>ROUND($D$3*E19/$E$3,2)</f>
        <v>0</v>
      </c>
      <c r="E19" s="2973">
        <f t="shared" ref="E19:E26" si="1">SUM(F19:G19)</f>
        <v>93.61</v>
      </c>
      <c r="F19" s="2974">
        <f>'数据-基础表'!I13</f>
        <v>93.61</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93.61</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93.61</v>
      </c>
      <c r="F27" s="2981">
        <f>IF(SUM(F19:F26)=E8,SUM(F19:F26),"地上面积有误")</f>
        <v>93.61</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93.61</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86" t="s">
        <v>604</v>
      </c>
      <c r="D31" s="2991">
        <f>D27+D30</f>
        <v>0</v>
      </c>
      <c r="E31" s="2991">
        <f>E27+E30</f>
        <v>93.61</v>
      </c>
      <c r="F31" s="2992">
        <f>F27+F30</f>
        <v>93.61</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pane="topRight"/>
      <selection pane="bottomLeft"/>
      <selection pane="bottomRight" activeCell="W7" sqref="W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2"/>
      <c r="D1" s="2740"/>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0" customFormat="1" ht="15">
      <c r="A2" s="2741" t="s">
        <v>607</v>
      </c>
      <c r="B2" s="2742">
        <f>项目基本情况!D3</f>
        <v>45176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7" t="s">
        <v>627</v>
      </c>
      <c r="R5" s="2866" t="s">
        <v>628</v>
      </c>
      <c r="S5" s="2867" t="s">
        <v>629</v>
      </c>
      <c r="T5" s="2868" t="s">
        <v>630</v>
      </c>
      <c r="U5" s="2869" t="s">
        <v>631</v>
      </c>
      <c r="V5" s="2753" t="s">
        <v>632</v>
      </c>
      <c r="W5" s="2753" t="s">
        <v>633</v>
      </c>
      <c r="X5" s="1103"/>
      <c r="Y5" s="1547" t="s">
        <v>634</v>
      </c>
      <c r="Z5" s="2894" t="s">
        <v>631</v>
      </c>
      <c r="AA5" s="2753" t="s">
        <v>632</v>
      </c>
      <c r="AB5" s="2753" t="s">
        <v>633</v>
      </c>
      <c r="AC5" s="1103"/>
      <c r="AD5" s="1103" t="s">
        <v>634</v>
      </c>
      <c r="AE5" s="2869" t="s">
        <v>635</v>
      </c>
      <c r="AF5" s="2753" t="s">
        <v>636</v>
      </c>
      <c r="AG5" s="1547" t="s">
        <v>637</v>
      </c>
      <c r="AH5" s="2869" t="s">
        <v>638</v>
      </c>
      <c r="AI5" s="2894" t="s">
        <v>639</v>
      </c>
      <c r="AJ5" s="2894" t="s">
        <v>640</v>
      </c>
      <c r="AK5" s="2753" t="s">
        <v>641</v>
      </c>
      <c r="AL5" s="2753" t="s">
        <v>642</v>
      </c>
      <c r="AM5" s="154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201</v>
      </c>
      <c r="B6" s="2756" t="str">
        <f>IF(A6=0,"","经营性")</f>
        <v>经营性</v>
      </c>
      <c r="C6" s="2757" t="s">
        <v>547</v>
      </c>
      <c r="D6" s="2758">
        <f>SUMIF(项目基本情况!C$12:I$12,C6,项目基本情况!C$14:I$14)</f>
        <v>40</v>
      </c>
      <c r="E6" s="2759">
        <f>IF(B6="","",SUMIF(项目基本情况!C$12:I$12,C6,项目基本情况!C$13:I$13))</f>
        <v>56690</v>
      </c>
      <c r="F6" s="2760">
        <f>SUMIF(项目基本情况!C$12:I$12,C6,项目基本情况!C$15:I$15)</f>
        <v>31.54</v>
      </c>
      <c r="G6" s="2761">
        <f>IF(ISERROR(ROUND(POWER(1+H6,D6-F6)*(POWER(1+H6,F6)-1)/(POWER(1+H6,D6)-1),3)),0,ROUND(POWER(1+H6,D6-F6)*(POWER(1+H6,F6)-1)/(POWER(1+H6,D6)-1),3))</f>
        <v>0.91500000000000004</v>
      </c>
      <c r="H6" s="2762">
        <v>0.05</v>
      </c>
      <c r="I6" s="2762">
        <v>5.5E-2</v>
      </c>
      <c r="J6" s="2763">
        <v>7.0000000000000007E-2</v>
      </c>
      <c r="K6" s="2850">
        <f>SUMIF('数据-汇总表'!C$19:C$33,A6,'数据-汇总表'!E$19:E$33)</f>
        <v>93.61</v>
      </c>
      <c r="L6" s="2851">
        <v>3500</v>
      </c>
      <c r="M6" s="2852">
        <f t="shared" ref="M6:M14" si="0">ROUND(K6*L6/10000,0)</f>
        <v>33</v>
      </c>
      <c r="N6" s="2853">
        <f>N19</f>
        <v>0.92</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4</v>
      </c>
      <c r="V6" s="2875">
        <v>2.5000000000000001E-2</v>
      </c>
      <c r="W6" s="2875">
        <v>0.15</v>
      </c>
      <c r="X6" s="2876"/>
      <c r="Y6" s="2895">
        <f>N6</f>
        <v>0.92</v>
      </c>
      <c r="Z6" s="2896"/>
      <c r="AA6" s="2763"/>
      <c r="AB6" s="2763"/>
      <c r="AC6" s="2876"/>
      <c r="AD6" s="2897"/>
      <c r="AE6" s="2898">
        <f ca="1">IF(AN6="",0,SUMIF(INDIRECT("'"&amp;AN6&amp;"'"&amp;"!E:E"),$AE$5,INDIRECT("'"&amp;AN6&amp;"'"&amp;"!F:F")))</f>
        <v>31.54</v>
      </c>
      <c r="AF6" s="2375"/>
      <c r="AG6" s="1702">
        <f>IF(AF6="",0,AE6-AF6)</f>
        <v>0</v>
      </c>
      <c r="AH6" s="2907"/>
      <c r="AI6" s="2908">
        <v>365</v>
      </c>
      <c r="AJ6" s="2909"/>
      <c r="AK6" s="2910">
        <v>5.0000000000000001E-3</v>
      </c>
      <c r="AL6" s="2911">
        <v>1E-3</v>
      </c>
      <c r="AM6" s="2912">
        <v>0.01</v>
      </c>
      <c r="AN6" s="2913" t="s">
        <v>266</v>
      </c>
      <c r="AO6" s="1295">
        <f ca="1">SUMIF(INDIRECT("'"&amp;AN6&amp;"'"&amp;"!A:A"),"总价",INDIRECT("'"&amp;AN6&amp;"'"&amp;"!B:B"))</f>
        <v>187.1215</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2">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2">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2">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2">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2">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2">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2">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2"/>
      <c r="AH14" s="2898"/>
      <c r="AI14" s="1283"/>
      <c r="AJ14" s="1294"/>
      <c r="AK14" s="2921"/>
      <c r="AL14" s="2922"/>
      <c r="AM14" s="2923"/>
      <c r="AN14" s="2227"/>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2"/>
      <c r="AH15" s="2898"/>
      <c r="AI15" s="1283"/>
      <c r="AJ15" s="1294"/>
      <c r="AK15" s="2921"/>
      <c r="AL15" s="2922"/>
      <c r="AM15" s="2923"/>
      <c r="AN15" s="2227"/>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84"/>
      <c r="D16" s="2769"/>
      <c r="E16" s="2768"/>
      <c r="F16" s="2768"/>
      <c r="G16" s="2770">
        <f>ROUND(SUMPRODUCT(G6:G13,K6:K13)/SUMPRODUCT((G6:G13&gt;0)*(K6:K13)),3)</f>
        <v>0.91500000000000004</v>
      </c>
      <c r="H16" s="2771">
        <f>ROUND(SUMPRODUCT(H6:H13,K6:K13)/SUMPRODUCT((H6:H13&gt;0)*(K6:K13)),3)</f>
        <v>0.05</v>
      </c>
      <c r="I16" s="2859"/>
      <c r="J16" s="2859"/>
      <c r="K16" s="2860">
        <f>SUM(K6:K15)</f>
        <v>93.61</v>
      </c>
      <c r="L16" s="2861">
        <f>ROUND(M16*10000/SUM(K6:K14),0)</f>
        <v>3525</v>
      </c>
      <c r="M16" s="2861">
        <f>SUM(M6:M14)</f>
        <v>33</v>
      </c>
      <c r="N16" s="2862">
        <f>ROUND(SUMPRODUCT(M6:M14,N6:N14)/M16,3)</f>
        <v>0.92</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27"/>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27"/>
      <c r="D17" s="2774"/>
      <c r="E17" s="2774"/>
      <c r="F17" s="2227"/>
      <c r="G17" s="2227"/>
      <c r="H17" s="2227"/>
      <c r="I17" s="2227"/>
      <c r="J17" s="2227"/>
      <c r="K17" s="2863"/>
      <c r="L17" s="2863"/>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5"/>
      <c r="C18" s="2776"/>
      <c r="D18" s="2777"/>
      <c r="E18" s="2776"/>
      <c r="F18" s="2776"/>
      <c r="G18" s="2776"/>
      <c r="H18" s="2776"/>
      <c r="I18" s="2776"/>
      <c r="J18" s="2776"/>
      <c r="K18" s="2863"/>
      <c r="L18" s="2863"/>
      <c r="M18" s="2227"/>
      <c r="N18" s="2227">
        <v>2018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8" t="s">
        <v>651</v>
      </c>
      <c r="B19" s="2779">
        <v>0</v>
      </c>
      <c r="C19" s="2780" t="s">
        <v>652</v>
      </c>
      <c r="D19" s="2777"/>
      <c r="E19" s="2776"/>
      <c r="F19" s="2776"/>
      <c r="G19" s="2776"/>
      <c r="H19" s="2776"/>
      <c r="I19" s="2776"/>
      <c r="J19" s="2776"/>
      <c r="K19" s="2863"/>
      <c r="L19" s="2863"/>
      <c r="M19" s="2227"/>
      <c r="N19" s="2227">
        <f>ROUND(1-(2023-N18)/60,2)</f>
        <v>0.92</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1" t="s">
        <v>653</v>
      </c>
      <c r="B20" s="2782">
        <v>2</v>
      </c>
      <c r="C20" s="2783" t="s">
        <v>654</v>
      </c>
      <c r="D20" s="2777"/>
      <c r="E20" s="2776"/>
      <c r="F20" s="2776"/>
      <c r="G20" s="2776"/>
      <c r="H20" s="2776"/>
      <c r="I20" s="2776"/>
      <c r="J20" s="2776"/>
      <c r="K20" s="2863"/>
      <c r="L20" s="286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4" t="s">
        <v>655</v>
      </c>
      <c r="B21" s="2782">
        <v>2</v>
      </c>
      <c r="C21" s="2776"/>
      <c r="D21" s="2777"/>
      <c r="E21" s="2776"/>
      <c r="F21" s="2776"/>
      <c r="G21" s="2776"/>
      <c r="H21" s="2776"/>
      <c r="I21" s="2776"/>
      <c r="J21" s="2776"/>
      <c r="K21" s="2863"/>
      <c r="L21" s="286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1" t="s">
        <v>656</v>
      </c>
      <c r="B22" s="2785">
        <f>B19+B20</f>
        <v>2</v>
      </c>
      <c r="C22" s="2776"/>
      <c r="D22" s="2777"/>
      <c r="E22" s="2776"/>
      <c r="F22" s="2776"/>
      <c r="G22" s="2776"/>
      <c r="H22" s="2776"/>
      <c r="I22" s="2776"/>
      <c r="J22" s="2776"/>
      <c r="K22" s="2863"/>
      <c r="L22" s="286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4" t="s">
        <v>657</v>
      </c>
      <c r="B23" s="2785">
        <f>B19+B21</f>
        <v>2</v>
      </c>
      <c r="C23" s="2776"/>
      <c r="D23" s="2777"/>
      <c r="E23" s="2776"/>
      <c r="F23" s="2776"/>
      <c r="G23" s="2776"/>
      <c r="H23" s="2776"/>
      <c r="I23" s="2776"/>
      <c r="J23" s="2776"/>
      <c r="K23" s="2863"/>
      <c r="L23" s="286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6" t="s">
        <v>658</v>
      </c>
      <c r="B24" s="2787">
        <f>B20-B21</f>
        <v>0</v>
      </c>
      <c r="C24" s="2776"/>
      <c r="D24" s="2777"/>
      <c r="E24" s="2776"/>
      <c r="F24" s="2776"/>
      <c r="G24" s="2776"/>
      <c r="H24" s="2776"/>
      <c r="I24" s="2776"/>
      <c r="J24" s="2776"/>
      <c r="K24" s="2863"/>
      <c r="L24" s="286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5"/>
      <c r="B25" s="2746"/>
      <c r="C25" s="2776"/>
      <c r="D25" s="2777"/>
      <c r="E25" s="2776"/>
      <c r="F25" s="2776"/>
      <c r="G25" s="2776"/>
      <c r="H25" s="2776"/>
      <c r="I25" s="2776"/>
      <c r="J25" s="2776"/>
      <c r="K25" s="2863"/>
      <c r="L25" s="286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1" t="s">
        <v>659</v>
      </c>
      <c r="B26" s="2788" t="s">
        <v>660</v>
      </c>
      <c r="C26" s="2789" t="s">
        <v>661</v>
      </c>
      <c r="D26" s="2777"/>
      <c r="E26" s="2776"/>
      <c r="F26" s="2776"/>
      <c r="G26" s="2776"/>
      <c r="H26" s="2776"/>
      <c r="I26" s="2776"/>
      <c r="J26" s="2776"/>
      <c r="K26" s="2863"/>
      <c r="L26" s="286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2" customFormat="1" ht="27.75">
      <c r="A27" s="2790" t="s">
        <v>662</v>
      </c>
      <c r="B27" s="2791"/>
      <c r="C27" s="2792" t="s">
        <v>663</v>
      </c>
      <c r="D27" s="2793"/>
      <c r="E27" s="1410"/>
      <c r="F27" s="1410"/>
      <c r="G27" s="2776"/>
      <c r="H27" s="2776"/>
      <c r="I27" s="2776"/>
      <c r="J27" s="2776"/>
      <c r="K27" s="2863"/>
      <c r="L27" s="286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2" customFormat="1" ht="27.75">
      <c r="A28" s="2794" t="s">
        <v>664</v>
      </c>
      <c r="B28" s="2795">
        <v>190</v>
      </c>
      <c r="C28" s="2796"/>
      <c r="D28" s="2793"/>
      <c r="E28" s="1410"/>
      <c r="F28" s="1410"/>
      <c r="G28" s="2776"/>
      <c r="H28" s="2776"/>
      <c r="I28" s="2776"/>
      <c r="J28" s="2776"/>
      <c r="K28" s="2863"/>
      <c r="L28" s="286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2" customFormat="1" ht="27.75">
      <c r="A29" s="2797" t="s">
        <v>665</v>
      </c>
      <c r="B29" s="2798"/>
      <c r="C29" s="2799" t="s">
        <v>666</v>
      </c>
      <c r="D29" s="2793"/>
      <c r="E29" s="1410"/>
      <c r="F29" s="1410"/>
      <c r="G29" s="2776"/>
      <c r="H29" s="2776"/>
      <c r="I29" s="2776"/>
      <c r="J29" s="2776"/>
      <c r="K29" s="2863"/>
      <c r="L29" s="286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2" customFormat="1" ht="27">
      <c r="A30" s="2800" t="s">
        <v>667</v>
      </c>
      <c r="B30" s="2801">
        <v>200</v>
      </c>
      <c r="C30" s="2796"/>
      <c r="D30" s="2793"/>
      <c r="E30" s="1410"/>
      <c r="F30" s="1410"/>
      <c r="G30" s="2776"/>
      <c r="H30" s="2776"/>
      <c r="I30" s="2776"/>
      <c r="J30" s="2776"/>
      <c r="K30" s="2863"/>
      <c r="L30" s="286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2" customFormat="1" ht="27">
      <c r="A31" s="2794" t="s">
        <v>668</v>
      </c>
      <c r="B31" s="2802">
        <f>B30-B32</f>
        <v>200</v>
      </c>
      <c r="C31" s="2803"/>
      <c r="D31" s="2793"/>
      <c r="E31" s="1410"/>
      <c r="F31" s="1410"/>
      <c r="G31" s="2776"/>
      <c r="H31" s="2776"/>
      <c r="I31" s="2776"/>
      <c r="J31" s="2776"/>
      <c r="K31" s="2863"/>
      <c r="L31" s="286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2" customFormat="1" ht="27">
      <c r="A32" s="2804" t="s">
        <v>669</v>
      </c>
      <c r="B32" s="2805"/>
      <c r="C32" s="2796"/>
      <c r="D32" s="2777"/>
      <c r="E32" s="2776"/>
      <c r="F32" s="2776"/>
      <c r="G32" s="2776"/>
      <c r="H32" s="2776"/>
      <c r="I32" s="2776"/>
      <c r="J32" s="2776"/>
      <c r="K32" s="2863"/>
      <c r="L32" s="286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2" customFormat="1" ht="14.25">
      <c r="A33" s="2790" t="s">
        <v>670</v>
      </c>
      <c r="B33" s="2806">
        <v>0.03</v>
      </c>
      <c r="C33" s="2807" t="s">
        <v>671</v>
      </c>
      <c r="D33" s="2777"/>
      <c r="E33" s="2776"/>
      <c r="F33" s="2776"/>
      <c r="G33" s="2776"/>
      <c r="H33" s="2776"/>
      <c r="I33" s="2776"/>
      <c r="J33" s="2776"/>
      <c r="K33" s="2863"/>
      <c r="L33" s="286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2" customFormat="1" ht="14.25">
      <c r="A34" s="2794" t="s">
        <v>672</v>
      </c>
      <c r="B34" s="2808">
        <v>0</v>
      </c>
      <c r="C34" s="2807" t="s">
        <v>673</v>
      </c>
      <c r="D34" s="2809" t="s">
        <v>674</v>
      </c>
      <c r="E34" s="2773"/>
      <c r="F34" s="2776"/>
      <c r="G34" s="2776"/>
      <c r="H34" s="2776"/>
      <c r="I34" s="2776"/>
      <c r="J34" s="2776"/>
      <c r="K34" s="2863"/>
      <c r="L34" s="286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2" customFormat="1" ht="14.25">
      <c r="A35" s="2794" t="s">
        <v>675</v>
      </c>
      <c r="B35" s="2795">
        <v>200</v>
      </c>
      <c r="C35" s="2807" t="s">
        <v>676</v>
      </c>
      <c r="D35" s="2793"/>
      <c r="E35" s="1410"/>
      <c r="F35" s="1410"/>
      <c r="G35" s="2776"/>
      <c r="H35" s="2776"/>
      <c r="I35" s="2776"/>
      <c r="J35" s="2776"/>
      <c r="K35" s="2863"/>
      <c r="L35" s="286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7" t="s">
        <v>677</v>
      </c>
      <c r="B36" s="2810">
        <v>1.4999999999999999E-2</v>
      </c>
      <c r="C36" s="2807" t="s">
        <v>678</v>
      </c>
      <c r="D36" s="2777"/>
      <c r="E36" s="2776"/>
      <c r="F36" s="2776"/>
      <c r="G36" s="2776"/>
      <c r="H36" s="2776"/>
      <c r="I36" s="2776"/>
      <c r="J36" s="2776"/>
      <c r="K36" s="2863"/>
      <c r="L36" s="286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0" t="s">
        <v>679</v>
      </c>
      <c r="B37" s="2811">
        <v>0.02</v>
      </c>
      <c r="C37" s="2807" t="s">
        <v>680</v>
      </c>
      <c r="D37" s="2777"/>
      <c r="E37" s="2776"/>
      <c r="F37" s="2776"/>
      <c r="G37" s="2776"/>
      <c r="H37" s="2776"/>
      <c r="I37" s="2776"/>
      <c r="J37" s="2776"/>
      <c r="K37" s="2863"/>
      <c r="L37" s="286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4" t="s">
        <v>681</v>
      </c>
      <c r="B38" s="2808">
        <v>0.02</v>
      </c>
      <c r="C38" s="2807" t="s">
        <v>680</v>
      </c>
      <c r="D38" s="2777"/>
      <c r="E38" s="2776"/>
      <c r="F38" s="2776"/>
      <c r="G38" s="2776"/>
      <c r="H38" s="2776"/>
      <c r="I38" s="2776"/>
      <c r="J38" s="2776"/>
      <c r="K38" s="2863"/>
      <c r="L38" s="286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4" t="s">
        <v>682</v>
      </c>
      <c r="B39" s="2812">
        <f ca="1">存贷款利率!I1</f>
        <v>1.4999999999999999E-2</v>
      </c>
      <c r="C39" s="2813"/>
      <c r="D39" s="2777"/>
      <c r="E39" s="2776"/>
      <c r="F39" s="2776"/>
      <c r="G39" s="2776"/>
      <c r="H39" s="2776"/>
      <c r="I39" s="2776"/>
      <c r="J39" s="2776"/>
      <c r="K39" s="2863"/>
      <c r="L39" s="286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4" t="s">
        <v>683</v>
      </c>
      <c r="B40" s="2815">
        <f ca="1">IF(A40="利息：取LPR",存贷款利率!G1,存贷款利率!G1+C40)</f>
        <v>3.4500000000000003E-2</v>
      </c>
      <c r="C40" s="2816">
        <v>5.0000000000000001E-3</v>
      </c>
      <c r="D40" s="2227"/>
      <c r="E40" s="2777"/>
      <c r="F40" s="2776"/>
      <c r="G40" s="2776"/>
      <c r="H40" s="2776"/>
      <c r="I40" s="2776"/>
      <c r="J40" s="2776"/>
      <c r="K40" s="2863"/>
      <c r="L40" s="286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0" t="s">
        <v>684</v>
      </c>
      <c r="B41" s="2817">
        <f>B42+B43</f>
        <v>5.5000000000000007E-2</v>
      </c>
      <c r="C41" s="2803"/>
      <c r="D41" s="2227"/>
      <c r="E41" s="2777"/>
      <c r="F41" s="2776"/>
      <c r="G41" s="2776"/>
      <c r="H41" s="2776"/>
      <c r="I41" s="2776"/>
      <c r="J41" s="2776"/>
      <c r="K41" s="2863"/>
      <c r="L41" s="286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8" t="s">
        <v>685</v>
      </c>
      <c r="B42" s="2819">
        <v>0.05</v>
      </c>
      <c r="C42" s="2820">
        <f>IF(B2&lt;DATE(2016,5,1),0,B42)</f>
        <v>0.05</v>
      </c>
      <c r="D42" s="2777"/>
      <c r="E42" s="2776"/>
      <c r="F42" s="2776"/>
      <c r="G42" s="2776"/>
      <c r="H42" s="2776"/>
      <c r="I42" s="2776"/>
      <c r="J42" s="2776"/>
      <c r="K42" s="2863"/>
      <c r="L42" s="286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8" t="s">
        <v>686</v>
      </c>
      <c r="B43" s="2821">
        <f>B42*(B44+B45+B46)+B47</f>
        <v>5.000000000000001E-3</v>
      </c>
      <c r="C43" s="2803"/>
      <c r="D43" s="2777"/>
      <c r="E43" s="2776"/>
      <c r="F43" s="2776"/>
      <c r="G43" s="2776"/>
      <c r="H43" s="2776"/>
      <c r="I43" s="2776"/>
      <c r="J43" s="2776"/>
      <c r="K43" s="2863"/>
      <c r="L43" s="286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2" t="s">
        <v>687</v>
      </c>
      <c r="B44" s="2823">
        <v>0.05</v>
      </c>
      <c r="C44" s="2807" t="s">
        <v>688</v>
      </c>
      <c r="D44" s="2777"/>
      <c r="E44" s="2776"/>
      <c r="F44" s="2776"/>
      <c r="G44" s="2776"/>
      <c r="H44" s="2776"/>
      <c r="I44" s="2776"/>
      <c r="J44" s="2776"/>
      <c r="K44" s="2863"/>
      <c r="L44" s="286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2" t="s">
        <v>689</v>
      </c>
      <c r="B45" s="2819">
        <v>0.03</v>
      </c>
      <c r="C45" s="2799" t="s">
        <v>690</v>
      </c>
      <c r="D45" s="2777"/>
      <c r="E45" s="2776"/>
      <c r="F45" s="2776"/>
      <c r="G45" s="2776"/>
      <c r="H45" s="2776"/>
      <c r="I45" s="2776"/>
      <c r="J45" s="2776"/>
      <c r="K45" s="2863"/>
      <c r="L45" s="286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2" t="s">
        <v>691</v>
      </c>
      <c r="B46" s="2819">
        <v>0.02</v>
      </c>
      <c r="C46" s="2799" t="s">
        <v>692</v>
      </c>
      <c r="D46" s="2777"/>
      <c r="E46" s="2776"/>
      <c r="F46" s="2776"/>
      <c r="G46" s="2776"/>
      <c r="H46" s="2776"/>
      <c r="I46" s="2776"/>
      <c r="J46" s="2776"/>
      <c r="K46" s="2863"/>
      <c r="L46" s="286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4" t="s">
        <v>693</v>
      </c>
      <c r="B47" s="2825"/>
      <c r="C47" s="2826" t="s">
        <v>694</v>
      </c>
      <c r="D47" s="2777"/>
      <c r="E47" s="2776"/>
      <c r="F47" s="2776"/>
      <c r="G47" s="2776"/>
      <c r="H47" s="2776"/>
      <c r="I47" s="2776"/>
      <c r="J47" s="2776"/>
      <c r="K47" s="2863"/>
      <c r="L47" s="286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7" t="s">
        <v>695</v>
      </c>
      <c r="B48" s="2828">
        <v>0.03</v>
      </c>
      <c r="C48" s="2799" t="s">
        <v>690</v>
      </c>
      <c r="D48" s="2777"/>
      <c r="E48" s="2776"/>
      <c r="F48" s="2776"/>
      <c r="G48" s="2776"/>
      <c r="H48" s="2776"/>
      <c r="I48" s="2776"/>
      <c r="J48" s="2776"/>
      <c r="K48" s="2863"/>
      <c r="L48" s="286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4" t="s">
        <v>696</v>
      </c>
      <c r="B49" s="2819">
        <v>5.0000000000000001E-4</v>
      </c>
      <c r="C49" s="2799" t="s">
        <v>697</v>
      </c>
      <c r="D49" s="2777"/>
      <c r="E49" s="2776"/>
      <c r="F49" s="2776"/>
      <c r="G49" s="2776"/>
      <c r="H49" s="2776"/>
      <c r="I49" s="2776"/>
      <c r="J49" s="2776"/>
      <c r="K49" s="2863"/>
      <c r="L49" s="286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9" t="s">
        <v>698</v>
      </c>
      <c r="B50" s="2830">
        <v>1.2E-2</v>
      </c>
      <c r="C50" s="1410"/>
      <c r="D50" s="2777"/>
      <c r="E50" s="2776"/>
      <c r="F50" s="2776"/>
      <c r="G50" s="2776"/>
      <c r="H50" s="2776"/>
      <c r="I50" s="2776"/>
      <c r="J50" s="2776"/>
      <c r="K50" s="2863"/>
      <c r="L50" s="286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7" t="s">
        <v>699</v>
      </c>
      <c r="B51" s="2831">
        <v>0.12</v>
      </c>
      <c r="C51" s="1410"/>
      <c r="D51" s="2777"/>
      <c r="E51" s="2776"/>
      <c r="F51" s="2776"/>
      <c r="G51" s="2776"/>
      <c r="H51" s="2776"/>
      <c r="I51" s="2776"/>
      <c r="J51" s="2776"/>
      <c r="K51" s="2863"/>
      <c r="L51" s="286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9" t="s">
        <v>700</v>
      </c>
      <c r="B52" s="2832">
        <f>SUMIF(A54:A63,B53,B54:B63)</f>
        <v>0</v>
      </c>
      <c r="C52" s="1410"/>
      <c r="D52" s="2777"/>
      <c r="E52" s="2776"/>
      <c r="F52" s="2776"/>
      <c r="G52" s="2776"/>
      <c r="H52" s="2776"/>
      <c r="I52" s="2776"/>
      <c r="J52" s="2776"/>
      <c r="K52" s="2863"/>
      <c r="L52" s="286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4" t="s">
        <v>701</v>
      </c>
      <c r="B53" s="2833"/>
      <c r="C53" s="1410" t="s">
        <v>702</v>
      </c>
      <c r="D53" s="2834" t="s">
        <v>703</v>
      </c>
      <c r="E53" s="2776"/>
      <c r="F53" s="2776"/>
      <c r="G53" s="2776"/>
      <c r="H53" s="2776"/>
      <c r="I53" s="2776"/>
      <c r="J53" s="2776"/>
      <c r="K53" s="2863"/>
      <c r="L53" s="286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5" t="s">
        <v>704</v>
      </c>
      <c r="B54" s="2836"/>
      <c r="C54" s="1410">
        <v>30</v>
      </c>
      <c r="D54" s="2777"/>
      <c r="E54" s="2776"/>
      <c r="F54" s="2776"/>
      <c r="G54" s="2776"/>
      <c r="H54" s="2776"/>
      <c r="I54" s="2776"/>
      <c r="J54" s="2776"/>
      <c r="K54" s="2863"/>
      <c r="L54" s="286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5" t="s">
        <v>705</v>
      </c>
      <c r="B55" s="2836"/>
      <c r="C55" s="1410">
        <v>24</v>
      </c>
      <c r="D55" s="2777"/>
      <c r="E55" s="2776"/>
      <c r="F55" s="2776"/>
      <c r="G55" s="2776"/>
      <c r="H55" s="2776"/>
      <c r="I55" s="2864"/>
      <c r="J55" s="2776"/>
      <c r="K55" s="2863"/>
      <c r="L55" s="286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5" t="s">
        <v>706</v>
      </c>
      <c r="B56" s="2836"/>
      <c r="C56" s="1410">
        <v>18</v>
      </c>
      <c r="D56" s="2777"/>
      <c r="E56" s="2776"/>
      <c r="F56" s="2776"/>
      <c r="G56" s="2776"/>
      <c r="H56" s="2776"/>
      <c r="I56" s="2776"/>
      <c r="J56" s="2776"/>
      <c r="K56" s="2863"/>
      <c r="L56" s="286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5" t="s">
        <v>707</v>
      </c>
      <c r="B57" s="2836"/>
      <c r="C57" s="1410">
        <v>12</v>
      </c>
      <c r="D57" s="2777"/>
      <c r="E57" s="2776"/>
      <c r="F57" s="2776"/>
      <c r="G57" s="2776"/>
      <c r="H57" s="2776"/>
      <c r="I57" s="2776"/>
      <c r="J57" s="2776"/>
      <c r="K57" s="2863"/>
      <c r="L57" s="286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5" t="s">
        <v>708</v>
      </c>
      <c r="B58" s="2836"/>
      <c r="C58" s="1410">
        <v>3</v>
      </c>
      <c r="D58" s="2777"/>
      <c r="E58" s="2776"/>
      <c r="F58" s="2776"/>
      <c r="G58" s="2776"/>
      <c r="H58" s="2776"/>
      <c r="I58" s="2776"/>
      <c r="J58" s="2776"/>
      <c r="K58" s="2863"/>
      <c r="L58" s="286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5" t="s">
        <v>709</v>
      </c>
      <c r="B59" s="2836"/>
      <c r="C59" s="1410">
        <v>1.5</v>
      </c>
      <c r="D59" s="2777"/>
      <c r="E59" s="2776"/>
      <c r="F59" s="2776"/>
      <c r="G59" s="2776"/>
      <c r="H59" s="2776"/>
      <c r="I59" s="2776"/>
      <c r="J59" s="2776"/>
      <c r="K59" s="2863"/>
      <c r="L59" s="286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5" t="s">
        <v>710</v>
      </c>
      <c r="B60" s="2836"/>
      <c r="C60" s="2776"/>
      <c r="D60" s="2777"/>
      <c r="E60" s="2776"/>
      <c r="F60" s="2776"/>
      <c r="G60" s="2776"/>
      <c r="H60" s="2776"/>
      <c r="I60" s="2776"/>
      <c r="J60" s="2776"/>
      <c r="K60" s="2863"/>
      <c r="L60" s="286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5" t="s">
        <v>711</v>
      </c>
      <c r="B61" s="2836"/>
      <c r="C61" s="2776"/>
      <c r="D61" s="2777"/>
      <c r="E61" s="2776"/>
      <c r="F61" s="2776"/>
      <c r="G61" s="2776"/>
      <c r="H61" s="2776"/>
      <c r="I61" s="2776"/>
      <c r="J61" s="2776"/>
      <c r="K61" s="2863"/>
      <c r="L61" s="286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5" t="s">
        <v>712</v>
      </c>
      <c r="B62" s="2836"/>
      <c r="C62" s="2776"/>
      <c r="D62" s="2777"/>
      <c r="E62" s="2776"/>
      <c r="F62" s="2776"/>
      <c r="G62" s="2776"/>
      <c r="H62" s="2776"/>
      <c r="I62" s="2776"/>
      <c r="J62" s="2776"/>
      <c r="K62" s="2863"/>
      <c r="L62" s="286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7" t="s">
        <v>713</v>
      </c>
      <c r="B63" s="2838"/>
      <c r="C63" s="2776"/>
      <c r="D63" s="2777"/>
      <c r="E63" s="2776"/>
      <c r="F63" s="2776"/>
      <c r="G63" s="2776"/>
      <c r="H63" s="2776"/>
      <c r="I63" s="2776"/>
      <c r="J63" s="2776"/>
      <c r="K63" s="2863"/>
      <c r="L63" s="286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9"/>
      <c r="B64" s="2227"/>
      <c r="C64" s="2227"/>
      <c r="D64" s="2774"/>
      <c r="E64" s="2227"/>
      <c r="F64" s="2227"/>
      <c r="G64" s="2227"/>
      <c r="H64" s="2227"/>
      <c r="I64" s="2227"/>
      <c r="J64" s="2227"/>
      <c r="K64" s="2863"/>
      <c r="L64" s="286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9"/>
      <c r="B65" s="2227"/>
      <c r="C65" s="2227"/>
      <c r="D65" s="2774"/>
      <c r="E65" s="2227"/>
      <c r="F65" s="2227"/>
      <c r="G65" s="2227"/>
      <c r="H65" s="2227"/>
      <c r="I65" s="2227"/>
      <c r="J65" s="2227"/>
      <c r="K65" s="2863"/>
      <c r="L65" s="286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9"/>
      <c r="B66" s="2227"/>
      <c r="C66" s="2227"/>
      <c r="D66" s="2774"/>
      <c r="E66" s="2227"/>
      <c r="F66" s="2227"/>
      <c r="G66" s="2227"/>
      <c r="H66" s="2227"/>
      <c r="I66" s="2227"/>
      <c r="J66" s="2227"/>
      <c r="K66" s="2863"/>
      <c r="L66" s="286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9"/>
      <c r="B67" s="2227"/>
      <c r="C67" s="2227"/>
      <c r="D67" s="2774"/>
      <c r="E67" s="2227"/>
      <c r="F67" s="2227"/>
      <c r="G67" s="2227"/>
      <c r="H67" s="2227"/>
      <c r="I67" s="2227"/>
      <c r="J67" s="2227"/>
      <c r="K67" s="2863"/>
      <c r="L67" s="286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9"/>
      <c r="B68" s="2227"/>
      <c r="C68" s="2227"/>
      <c r="D68" s="2774"/>
      <c r="E68" s="2227"/>
      <c r="F68" s="2227"/>
      <c r="G68" s="2227"/>
      <c r="H68" s="2227"/>
      <c r="I68" s="2227"/>
      <c r="J68" s="2227"/>
      <c r="K68" s="2863"/>
      <c r="L68" s="286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8"/>
      <c r="D69" s="2928"/>
      <c r="K69" s="1044"/>
      <c r="L69" s="1044"/>
    </row>
    <row r="70" spans="1:44" s="2299" customFormat="1">
      <c r="A70" s="2638"/>
      <c r="D70" s="2928"/>
      <c r="K70" s="1044"/>
      <c r="L70" s="1044"/>
    </row>
    <row r="71" spans="1:44" s="2299" customFormat="1">
      <c r="A71" s="2638"/>
      <c r="D71" s="2928"/>
      <c r="K71" s="1044"/>
      <c r="L71" s="1044"/>
    </row>
    <row r="72" spans="1:44" s="2299" customFormat="1">
      <c r="A72" s="2638"/>
      <c r="D72" s="2928"/>
      <c r="K72" s="1044"/>
      <c r="L72" s="1044"/>
    </row>
    <row r="73" spans="1:44" s="2299" customFormat="1">
      <c r="A73" s="2638"/>
      <c r="D73" s="2928"/>
      <c r="K73" s="1044"/>
      <c r="L73" s="1044"/>
    </row>
    <row r="74" spans="1:44" s="2299" customFormat="1">
      <c r="A74" s="2638"/>
      <c r="D74" s="2928"/>
      <c r="K74" s="1044"/>
      <c r="L74" s="1044"/>
    </row>
    <row r="75" spans="1:44" s="2299" customFormat="1">
      <c r="A75" s="2638"/>
      <c r="D75" s="2928"/>
      <c r="K75" s="1044"/>
      <c r="L75" s="1044"/>
    </row>
    <row r="76" spans="1:44" s="2299" customFormat="1">
      <c r="A76" s="2638"/>
      <c r="D76" s="2928"/>
      <c r="K76" s="1044"/>
      <c r="L76" s="1044"/>
    </row>
    <row r="77" spans="1:44" s="2299" customFormat="1">
      <c r="A77" s="2638"/>
      <c r="D77" s="2928"/>
      <c r="K77" s="1044"/>
      <c r="L77" s="1044"/>
    </row>
    <row r="78" spans="1:44" s="2299" customFormat="1">
      <c r="A78" s="2638"/>
      <c r="D78" s="2928"/>
      <c r="K78" s="1044"/>
      <c r="L78" s="1044"/>
    </row>
    <row r="79" spans="1:44" s="2299" customFormat="1">
      <c r="A79" s="2638"/>
      <c r="D79" s="2928"/>
      <c r="K79" s="1044"/>
      <c r="L79" s="1044"/>
    </row>
    <row r="80" spans="1:44" s="2299" customFormat="1">
      <c r="A80" s="2638"/>
      <c r="D80" s="2928"/>
      <c r="K80" s="1044"/>
      <c r="L80" s="1044"/>
    </row>
    <row r="81" spans="1:12" s="2299" customFormat="1">
      <c r="A81" s="2638"/>
      <c r="D81" s="2928"/>
      <c r="K81" s="1044"/>
      <c r="L81" s="1044"/>
    </row>
    <row r="82" spans="1:12" s="2299" customFormat="1">
      <c r="A82" s="2638"/>
      <c r="D82" s="2928"/>
      <c r="K82" s="1044"/>
      <c r="L82" s="1044"/>
    </row>
    <row r="83" spans="1:12" s="2299" customFormat="1">
      <c r="A83" s="2638"/>
      <c r="D83" s="2928"/>
      <c r="K83" s="1044"/>
      <c r="L83" s="1044"/>
    </row>
    <row r="84" spans="1:12" s="2299" customFormat="1">
      <c r="A84" s="2638"/>
      <c r="D84" s="2928"/>
      <c r="K84" s="1044"/>
      <c r="L84" s="1044"/>
    </row>
    <row r="85" spans="1:12" s="2299" customFormat="1">
      <c r="A85" s="2638"/>
      <c r="D85" s="2928"/>
      <c r="K85" s="1044"/>
      <c r="L85" s="1044"/>
    </row>
    <row r="86" spans="1:12" s="2299" customFormat="1">
      <c r="A86" s="2638"/>
      <c r="D86" s="2928"/>
      <c r="K86" s="1044"/>
      <c r="L86" s="1044"/>
    </row>
    <row r="87" spans="1:12" s="2299" customFormat="1">
      <c r="A87" s="2638"/>
      <c r="D87" s="2928"/>
      <c r="K87" s="1044"/>
      <c r="L87" s="1044"/>
    </row>
    <row r="88" spans="1:12" s="2299" customFormat="1">
      <c r="A88" s="2638"/>
      <c r="D88" s="2928"/>
      <c r="K88" s="1044"/>
      <c r="L88" s="1044"/>
    </row>
    <row r="89" spans="1:12" s="2299" customFormat="1">
      <c r="A89" s="2638"/>
      <c r="D89" s="2928"/>
      <c r="K89" s="1044"/>
      <c r="L89" s="1044"/>
    </row>
    <row r="90" spans="1:12" s="2299" customFormat="1">
      <c r="A90" s="2638"/>
      <c r="D90" s="2928"/>
      <c r="K90" s="1044"/>
      <c r="L90" s="1044"/>
    </row>
    <row r="91" spans="1:12" s="2299" customFormat="1">
      <c r="A91" s="2638"/>
      <c r="D91" s="2928"/>
      <c r="K91" s="1044"/>
      <c r="L91" s="1044"/>
    </row>
    <row r="92" spans="1:12" s="2299" customFormat="1">
      <c r="A92" s="2638"/>
      <c r="D92" s="2928"/>
      <c r="K92" s="1044"/>
      <c r="L92" s="1044"/>
    </row>
    <row r="93" spans="1:12" s="2299" customFormat="1">
      <c r="A93" s="2638"/>
      <c r="D93" s="2928"/>
      <c r="K93" s="1044"/>
      <c r="L93" s="1044"/>
    </row>
    <row r="94" spans="1:12" s="2299" customFormat="1">
      <c r="A94" s="2638"/>
      <c r="D94" s="2928"/>
      <c r="K94" s="1044"/>
      <c r="L94" s="1044"/>
    </row>
    <row r="95" spans="1:12" s="2299" customFormat="1">
      <c r="A95" s="2638"/>
      <c r="D95" s="2928"/>
      <c r="K95" s="1044"/>
      <c r="L95" s="1044"/>
    </row>
    <row r="96" spans="1:12" s="2299" customFormat="1">
      <c r="A96" s="2638"/>
      <c r="D96" s="2928"/>
      <c r="K96" s="1044"/>
      <c r="L96" s="1044"/>
    </row>
    <row r="97" spans="1:12" s="2299" customFormat="1">
      <c r="A97" s="2638"/>
      <c r="D97" s="2928"/>
      <c r="K97" s="1044"/>
      <c r="L97" s="1044"/>
    </row>
    <row r="98" spans="1:12" s="2299" customFormat="1">
      <c r="A98" s="2638"/>
      <c r="D98" s="2928"/>
      <c r="K98" s="1044"/>
      <c r="L98" s="1044"/>
    </row>
    <row r="99" spans="1:12" s="2299" customFormat="1">
      <c r="A99" s="2638"/>
      <c r="D99" s="2928"/>
      <c r="K99" s="1044"/>
      <c r="L99" s="1044"/>
    </row>
    <row r="100" spans="1:12" s="2299" customFormat="1">
      <c r="A100" s="2638"/>
      <c r="D100" s="2928"/>
      <c r="K100" s="1044"/>
      <c r="L100" s="1044"/>
    </row>
    <row r="101" spans="1:12" s="2299" customFormat="1">
      <c r="A101" s="2638"/>
      <c r="D101" s="2928"/>
      <c r="K101" s="1044"/>
      <c r="L101" s="1044"/>
    </row>
    <row r="102" spans="1:12" s="2299" customFormat="1">
      <c r="A102" s="2638"/>
      <c r="D102" s="2928"/>
      <c r="K102" s="1044"/>
      <c r="L102" s="1044"/>
    </row>
    <row r="103" spans="1:12" s="2299" customFormat="1">
      <c r="A103" s="2638"/>
      <c r="D103" s="2928"/>
      <c r="K103" s="1044"/>
      <c r="L103" s="1044"/>
    </row>
    <row r="104" spans="1:12" s="2299" customFormat="1">
      <c r="A104" s="2638"/>
      <c r="D104" s="2928"/>
      <c r="K104" s="1044"/>
      <c r="L104" s="1044"/>
    </row>
    <row r="105" spans="1:12" s="2299" customFormat="1">
      <c r="A105" s="2638"/>
      <c r="D105" s="2928"/>
      <c r="K105" s="1044"/>
      <c r="L105" s="1044"/>
    </row>
    <row r="106" spans="1:12" s="2299" customFormat="1">
      <c r="A106" s="2638"/>
      <c r="D106" s="2928"/>
      <c r="K106" s="1044"/>
      <c r="L106" s="1044"/>
    </row>
    <row r="107" spans="1:12" s="2299" customFormat="1">
      <c r="A107" s="2638"/>
      <c r="D107" s="2928"/>
      <c r="K107" s="1044"/>
      <c r="L107" s="1044"/>
    </row>
    <row r="108" spans="1:12" s="2299" customFormat="1">
      <c r="A108" s="2638"/>
      <c r="D108" s="2928"/>
      <c r="K108" s="1044"/>
      <c r="L108" s="1044"/>
    </row>
    <row r="109" spans="1:12" s="2299" customFormat="1">
      <c r="A109" s="2638"/>
      <c r="D109" s="2928"/>
      <c r="K109" s="1044"/>
      <c r="L109" s="1044"/>
    </row>
    <row r="110" spans="1:12" s="2299" customFormat="1">
      <c r="A110" s="2638"/>
      <c r="D110" s="2928"/>
      <c r="K110" s="1044"/>
      <c r="L110" s="1044"/>
    </row>
    <row r="111" spans="1:12" s="2299" customFormat="1">
      <c r="A111" s="2638"/>
      <c r="D111" s="2928"/>
      <c r="K111" s="1044"/>
      <c r="L111" s="1044"/>
    </row>
    <row r="112" spans="1:12" s="2299" customFormat="1">
      <c r="A112" s="2638"/>
      <c r="D112" s="2928"/>
      <c r="K112" s="1044"/>
      <c r="L112" s="1044"/>
    </row>
    <row r="113" spans="1:12" s="2299" customFormat="1">
      <c r="A113" s="2638"/>
      <c r="D113" s="2928"/>
      <c r="K113" s="1044"/>
      <c r="L113" s="1044"/>
    </row>
    <row r="114" spans="1:12" s="2299" customFormat="1">
      <c r="A114" s="2638"/>
      <c r="D114" s="2928"/>
      <c r="K114" s="1044"/>
      <c r="L114" s="1044"/>
    </row>
    <row r="115" spans="1:12" s="2299" customFormat="1">
      <c r="A115" s="2638"/>
      <c r="D115" s="2928"/>
      <c r="K115" s="1044"/>
      <c r="L115" s="1044"/>
    </row>
    <row r="116" spans="1:12" s="2299" customFormat="1">
      <c r="A116" s="2638"/>
      <c r="D116" s="2928"/>
      <c r="K116" s="1044"/>
      <c r="L116" s="1044"/>
    </row>
    <row r="117" spans="1:12" s="2299" customFormat="1">
      <c r="A117" s="2638"/>
      <c r="D117" s="2928"/>
      <c r="K117" s="1044"/>
      <c r="L117" s="1044"/>
    </row>
    <row r="118" spans="1:12" s="2299" customFormat="1">
      <c r="A118" s="2638"/>
      <c r="D118" s="2928"/>
      <c r="K118" s="1044"/>
      <c r="L118" s="1044"/>
    </row>
    <row r="119" spans="1:12" s="2299" customFormat="1">
      <c r="A119" s="2638"/>
      <c r="D119" s="2928"/>
      <c r="K119" s="1044"/>
      <c r="L119" s="1044"/>
    </row>
    <row r="120" spans="1:12" s="2299" customFormat="1">
      <c r="A120" s="2638"/>
      <c r="D120" s="2928"/>
      <c r="K120" s="1044"/>
      <c r="L120" s="1044"/>
    </row>
    <row r="121" spans="1:12" s="2299" customFormat="1">
      <c r="A121" s="2638"/>
      <c r="D121" s="2928"/>
      <c r="K121" s="1044"/>
      <c r="L121" s="1044"/>
    </row>
    <row r="122" spans="1:12" s="2299" customFormat="1">
      <c r="A122" s="2638"/>
      <c r="D122" s="2928"/>
      <c r="K122" s="1044"/>
      <c r="L122" s="1044"/>
    </row>
    <row r="123" spans="1:12" s="2299" customFormat="1">
      <c r="A123" s="2638"/>
      <c r="D123" s="2928"/>
      <c r="K123" s="1044"/>
      <c r="L123" s="1044"/>
    </row>
    <row r="124" spans="1:12" s="2299" customFormat="1">
      <c r="A124" s="2638"/>
      <c r="D124" s="2928"/>
      <c r="K124" s="1044"/>
      <c r="L124" s="1044"/>
    </row>
    <row r="125" spans="1:12" s="2299" customFormat="1">
      <c r="A125" s="2638"/>
      <c r="D125" s="2928"/>
      <c r="K125" s="1044"/>
      <c r="L125" s="1044"/>
    </row>
    <row r="126" spans="1:12" s="2299" customFormat="1">
      <c r="A126" s="2638"/>
      <c r="D126" s="2928"/>
      <c r="K126" s="1044"/>
      <c r="L126" s="1044"/>
    </row>
    <row r="127" spans="1:12" s="2299" customFormat="1">
      <c r="A127" s="2638"/>
      <c r="D127" s="2928"/>
      <c r="K127" s="1044"/>
      <c r="L127" s="1044"/>
    </row>
    <row r="128" spans="1:12" s="2299" customFormat="1">
      <c r="A128" s="2638"/>
      <c r="D128" s="2928"/>
      <c r="K128" s="1044"/>
      <c r="L128" s="1044"/>
    </row>
    <row r="129" spans="1:12" s="2299" customFormat="1">
      <c r="A129" s="2638"/>
      <c r="D129" s="2928"/>
      <c r="K129" s="1044"/>
      <c r="L129" s="1044"/>
    </row>
    <row r="130" spans="1:12" s="2299" customFormat="1">
      <c r="A130" s="2638"/>
      <c r="D130" s="2928"/>
      <c r="K130" s="1044"/>
      <c r="L130" s="1044"/>
    </row>
    <row r="131" spans="1:12" s="2299" customFormat="1">
      <c r="A131" s="2638"/>
      <c r="D131" s="2928"/>
      <c r="K131" s="1044"/>
      <c r="L131" s="1044"/>
    </row>
    <row r="132" spans="1:12" s="2299" customFormat="1">
      <c r="A132" s="2638"/>
      <c r="D132" s="2928"/>
      <c r="K132" s="1044"/>
      <c r="L132" s="1044"/>
    </row>
    <row r="133" spans="1:12" s="2299"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16"/>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16"/>
      <c r="I2" s="2216"/>
      <c r="J2" s="2216"/>
      <c r="K2" s="2216"/>
      <c r="L2" s="2216"/>
      <c r="M2" s="2216"/>
      <c r="N2" s="2216"/>
      <c r="O2" s="2216"/>
      <c r="P2" s="2216"/>
      <c r="Q2" s="2216"/>
      <c r="R2" s="2216"/>
    </row>
    <row r="3" spans="1:29" ht="48">
      <c r="A3" s="2674" t="s">
        <v>717</v>
      </c>
      <c r="B3" s="2675" t="s">
        <v>718</v>
      </c>
      <c r="C3" s="2676" t="s">
        <v>719</v>
      </c>
      <c r="D3" s="2677"/>
      <c r="E3" s="2678" t="s">
        <v>717</v>
      </c>
      <c r="F3" s="2679" t="s">
        <v>720</v>
      </c>
      <c r="G3" s="2680" t="s">
        <v>721</v>
      </c>
      <c r="H3" s="2216"/>
      <c r="I3" s="2216"/>
      <c r="J3" s="2216"/>
      <c r="K3" s="2216"/>
      <c r="L3" s="2216"/>
      <c r="M3" s="2216"/>
      <c r="N3" s="2216"/>
      <c r="O3" s="2216"/>
      <c r="P3" s="2216"/>
      <c r="Q3" s="2216"/>
      <c r="R3" s="2216"/>
    </row>
    <row r="4" spans="1:29" ht="36.75">
      <c r="A4" s="2678"/>
      <c r="B4" s="2006" t="s">
        <v>722</v>
      </c>
      <c r="C4" s="2681" t="s">
        <v>723</v>
      </c>
      <c r="D4" s="2677"/>
      <c r="E4" s="2682"/>
      <c r="F4" s="2082" t="s">
        <v>724</v>
      </c>
      <c r="G4" s="2683" t="s">
        <v>725</v>
      </c>
      <c r="H4" s="2216"/>
      <c r="I4" s="2216"/>
      <c r="J4" s="2216"/>
      <c r="K4" s="2216"/>
      <c r="L4" s="2216"/>
      <c r="M4" s="2216"/>
      <c r="N4" s="2216"/>
      <c r="O4" s="2216"/>
      <c r="P4" s="2216"/>
      <c r="Q4" s="2216"/>
      <c r="R4" s="2216"/>
    </row>
    <row r="5" spans="1:29" ht="36.75">
      <c r="A5" s="2678"/>
      <c r="B5" s="2006" t="s">
        <v>726</v>
      </c>
      <c r="C5" s="2681" t="s">
        <v>727</v>
      </c>
      <c r="D5" s="2677"/>
      <c r="E5" s="2682"/>
      <c r="F5" s="2006" t="s">
        <v>548</v>
      </c>
      <c r="G5" s="2683" t="s">
        <v>728</v>
      </c>
      <c r="H5" s="2216"/>
      <c r="I5" s="2216"/>
      <c r="J5" s="2216"/>
      <c r="K5" s="2216"/>
      <c r="L5" s="2216"/>
      <c r="M5" s="2216"/>
      <c r="N5" s="2216"/>
      <c r="O5" s="2216"/>
      <c r="P5" s="2216"/>
      <c r="Q5" s="2216"/>
      <c r="R5" s="2216"/>
    </row>
    <row r="6" spans="1:29" ht="36">
      <c r="A6" s="2678"/>
      <c r="B6" s="2006" t="s">
        <v>724</v>
      </c>
      <c r="C6" s="2683" t="s">
        <v>725</v>
      </c>
      <c r="D6" s="2677"/>
      <c r="E6" s="2682"/>
      <c r="F6" s="2006" t="s">
        <v>729</v>
      </c>
      <c r="G6" s="2683" t="s">
        <v>730</v>
      </c>
      <c r="H6" s="2216"/>
      <c r="I6" s="2216"/>
      <c r="J6" s="2216"/>
      <c r="K6" s="2216"/>
      <c r="L6" s="2216"/>
      <c r="M6" s="2216"/>
      <c r="N6" s="2216"/>
      <c r="O6" s="2216"/>
      <c r="P6" s="2216"/>
      <c r="Q6" s="2216"/>
      <c r="R6" s="2216"/>
    </row>
    <row r="7" spans="1:29" ht="24">
      <c r="A7" s="2678"/>
      <c r="B7" s="2006" t="s">
        <v>548</v>
      </c>
      <c r="C7" s="2683" t="s">
        <v>728</v>
      </c>
      <c r="D7" s="2684"/>
      <c r="E7" s="2685"/>
      <c r="F7" s="2686" t="s">
        <v>731</v>
      </c>
      <c r="G7" s="2687" t="s">
        <v>732</v>
      </c>
      <c r="H7" s="2216"/>
      <c r="I7" s="2216"/>
      <c r="J7" s="2216"/>
      <c r="K7" s="2216"/>
      <c r="L7" s="2216"/>
      <c r="M7" s="2216"/>
      <c r="N7" s="2216"/>
      <c r="O7" s="2216"/>
      <c r="P7" s="2216"/>
      <c r="Q7" s="2216"/>
      <c r="R7" s="2216"/>
    </row>
    <row r="8" spans="1:29">
      <c r="A8" s="2678"/>
      <c r="B8" s="2006" t="s">
        <v>729</v>
      </c>
      <c r="C8" s="2683" t="s">
        <v>730</v>
      </c>
      <c r="D8" s="2684"/>
      <c r="E8" s="2684"/>
      <c r="F8" s="2126"/>
      <c r="G8" s="2126"/>
      <c r="H8" s="2216"/>
      <c r="I8" s="2216"/>
      <c r="J8" s="2216"/>
      <c r="K8" s="2216"/>
      <c r="L8" s="2216"/>
      <c r="M8" s="2216"/>
      <c r="N8" s="2216"/>
      <c r="O8" s="2216"/>
      <c r="P8" s="2216"/>
      <c r="Q8" s="2216"/>
      <c r="R8" s="2216"/>
    </row>
    <row r="9" spans="1:29" ht="24">
      <c r="A9" s="2678"/>
      <c r="B9" s="2006" t="s">
        <v>733</v>
      </c>
      <c r="C9" s="2681" t="s">
        <v>734</v>
      </c>
      <c r="D9" s="2677"/>
      <c r="E9" s="2684"/>
      <c r="F9" s="2126"/>
      <c r="G9" s="2126"/>
      <c r="H9" s="2216"/>
      <c r="I9" s="2216"/>
      <c r="J9" s="2216"/>
      <c r="K9" s="2216"/>
      <c r="L9" s="2216"/>
      <c r="M9" s="2216"/>
      <c r="N9" s="2216"/>
      <c r="O9" s="2216"/>
      <c r="P9" s="2216"/>
      <c r="Q9" s="2216"/>
      <c r="R9" s="2216"/>
    </row>
    <row r="10" spans="1:29" s="2660" customFormat="1">
      <c r="A10" s="2688"/>
      <c r="B10" s="2689" t="s">
        <v>735</v>
      </c>
      <c r="C10" s="2690"/>
      <c r="D10" s="2677"/>
      <c r="E10" s="2677"/>
      <c r="F10" s="2126"/>
      <c r="G10" s="2126"/>
      <c r="H10" s="2691"/>
      <c r="I10" s="2721"/>
      <c r="J10" s="2722"/>
      <c r="K10" s="2691"/>
      <c r="L10" s="2721"/>
      <c r="M10" s="2722"/>
      <c r="N10" s="2691"/>
      <c r="O10" s="2721"/>
      <c r="P10" s="2722"/>
      <c r="Q10" s="2691"/>
      <c r="R10" s="2721"/>
      <c r="S10" s="2216"/>
      <c r="T10" s="2216"/>
      <c r="U10" s="2216"/>
      <c r="V10" s="2216"/>
      <c r="W10" s="2216"/>
      <c r="X10" s="2216"/>
      <c r="Y10" s="2216"/>
      <c r="Z10" s="2216"/>
      <c r="AA10" s="2216"/>
      <c r="AB10" s="2216"/>
      <c r="AC10" s="2216"/>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16"/>
      <c r="T11" s="2216"/>
      <c r="U11" s="2216"/>
      <c r="V11" s="2216"/>
      <c r="W11" s="2216"/>
      <c r="X11" s="2216"/>
      <c r="Y11" s="2216"/>
      <c r="Z11" s="2216"/>
      <c r="AA11" s="2216"/>
      <c r="AB11" s="2216"/>
      <c r="AC11" s="2216"/>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06"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06" t="s">
        <v>729</v>
      </c>
      <c r="G20" s="2710" t="str">
        <f>G6</f>
        <v>估价对象所在区域基础设施水平</v>
      </c>
    </row>
    <row r="21" spans="1:18" ht="25.5">
      <c r="A21" s="2705"/>
      <c r="B21" s="2006" t="s">
        <v>548</v>
      </c>
      <c r="C21" s="2710" t="str">
        <f>C7</f>
        <v>估价对象所在区域公共配套设施齐备情况</v>
      </c>
      <c r="D21" s="2677"/>
      <c r="E21" s="2708"/>
      <c r="F21" s="2709" t="s">
        <v>739</v>
      </c>
      <c r="G21" s="2712"/>
    </row>
    <row r="22" spans="1:18" ht="13.5" customHeight="1">
      <c r="A22" s="2705"/>
      <c r="B22" s="2006" t="s">
        <v>729</v>
      </c>
      <c r="C22" s="2710" t="str">
        <f>C8</f>
        <v>估价对象所在区域基础设施水平</v>
      </c>
      <c r="D22" s="2677"/>
      <c r="E22" s="2708"/>
      <c r="F22" s="2709" t="s">
        <v>735</v>
      </c>
      <c r="G22" s="2711"/>
    </row>
    <row r="23" spans="1:18" s="2216"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16"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16" customFormat="1">
      <c r="B25" s="2665"/>
      <c r="C25" s="2665"/>
      <c r="D25" s="2665"/>
      <c r="H25" s="2665"/>
      <c r="I25" s="2666"/>
      <c r="J25" s="2665"/>
      <c r="K25" s="2665"/>
      <c r="L25" s="2666"/>
      <c r="M25" s="2665"/>
      <c r="N25" s="2665"/>
      <c r="O25" s="2666"/>
      <c r="P25" s="2665"/>
      <c r="Q25" s="2665"/>
      <c r="R25" s="2667"/>
    </row>
    <row r="26" spans="1:18" s="2216" customFormat="1">
      <c r="B26" s="2665"/>
      <c r="C26" s="2665"/>
      <c r="D26" s="2665"/>
      <c r="H26" s="2665"/>
      <c r="I26" s="2666"/>
      <c r="J26" s="2665"/>
      <c r="K26" s="2665"/>
      <c r="L26" s="2666"/>
      <c r="M26" s="2665"/>
      <c r="N26" s="2665"/>
      <c r="O26" s="2666"/>
      <c r="P26" s="2665"/>
      <c r="Q26" s="2665"/>
      <c r="R26" s="2667"/>
    </row>
    <row r="27" spans="1:18" s="2216" customFormat="1">
      <c r="B27" s="2665"/>
      <c r="C27" s="2665"/>
      <c r="D27" s="2665"/>
      <c r="H27" s="2665"/>
      <c r="I27" s="2666"/>
      <c r="J27" s="2665"/>
      <c r="K27" s="2665"/>
      <c r="L27" s="2666"/>
      <c r="M27" s="2665"/>
      <c r="N27" s="2665"/>
      <c r="O27" s="2666"/>
      <c r="P27" s="2665"/>
      <c r="Q27" s="2665"/>
      <c r="R27" s="2667"/>
    </row>
    <row r="28" spans="1:18" s="2216" customFormat="1">
      <c r="B28" s="2665"/>
      <c r="C28" s="2665"/>
      <c r="D28" s="2665"/>
      <c r="H28" s="2665"/>
      <c r="I28" s="2666"/>
      <c r="J28" s="2665"/>
      <c r="K28" s="2665"/>
      <c r="L28" s="2666"/>
      <c r="M28" s="2665"/>
      <c r="N28" s="2665"/>
      <c r="O28" s="2666"/>
      <c r="P28" s="2665"/>
      <c r="Q28" s="2665"/>
      <c r="R28" s="2667"/>
    </row>
    <row r="29" spans="1:18" s="2216" customFormat="1">
      <c r="B29" s="2665"/>
      <c r="C29" s="2665"/>
      <c r="D29" s="2665"/>
      <c r="H29" s="2665"/>
      <c r="I29" s="2666"/>
      <c r="J29" s="2665"/>
      <c r="K29" s="2665"/>
      <c r="L29" s="2666"/>
      <c r="M29" s="2665"/>
      <c r="N29" s="2665"/>
      <c r="O29" s="2666"/>
      <c r="P29" s="2665"/>
      <c r="Q29" s="2665"/>
      <c r="R29" s="2667"/>
    </row>
    <row r="30" spans="1:18" s="2216" customFormat="1">
      <c r="B30" s="2665"/>
      <c r="C30" s="2665"/>
      <c r="D30" s="2665"/>
      <c r="H30" s="2665"/>
      <c r="I30" s="2666"/>
      <c r="J30" s="2665"/>
      <c r="K30" s="2665"/>
      <c r="L30" s="2666"/>
      <c r="M30" s="2665"/>
      <c r="N30" s="2665"/>
      <c r="O30" s="2666"/>
      <c r="P30" s="2665"/>
      <c r="Q30" s="2665"/>
      <c r="R30" s="2667"/>
    </row>
    <row r="31" spans="1:18" s="2216" customFormat="1">
      <c r="B31" s="2665"/>
      <c r="C31" s="2665"/>
      <c r="D31" s="2665"/>
      <c r="H31" s="2665"/>
      <c r="I31" s="2666"/>
      <c r="J31" s="2665"/>
      <c r="K31" s="2665"/>
      <c r="L31" s="2666"/>
      <c r="M31" s="2665"/>
      <c r="N31" s="2665"/>
      <c r="O31" s="2666"/>
      <c r="P31" s="2665"/>
      <c r="Q31" s="2665"/>
      <c r="R31" s="2667"/>
    </row>
    <row r="32" spans="1:18" s="2216" customFormat="1">
      <c r="B32" s="2665"/>
      <c r="C32" s="2665"/>
      <c r="D32" s="2665"/>
      <c r="H32" s="2665"/>
      <c r="I32" s="2666"/>
      <c r="J32" s="2665"/>
      <c r="K32" s="2665"/>
      <c r="L32" s="2666"/>
      <c r="M32" s="2665"/>
      <c r="N32" s="2665"/>
      <c r="O32" s="2666"/>
      <c r="P32" s="2665"/>
      <c r="Q32" s="2665"/>
      <c r="R32" s="2667"/>
    </row>
    <row r="33" spans="2:18" s="2216" customFormat="1">
      <c r="B33" s="2665"/>
      <c r="C33" s="2665"/>
      <c r="D33" s="2665"/>
      <c r="H33" s="2665"/>
      <c r="I33" s="2666"/>
      <c r="J33" s="2665"/>
      <c r="K33" s="2665"/>
      <c r="L33" s="2666"/>
      <c r="M33" s="2665"/>
      <c r="N33" s="2665"/>
      <c r="O33" s="2666"/>
      <c r="P33" s="2665"/>
      <c r="Q33" s="2665"/>
      <c r="R33" s="2667"/>
    </row>
    <row r="34" spans="2:18" s="2216" customFormat="1">
      <c r="B34" s="2665"/>
      <c r="C34" s="2665"/>
      <c r="D34" s="2665"/>
      <c r="H34" s="2665"/>
      <c r="I34" s="2666"/>
      <c r="J34" s="2665"/>
      <c r="K34" s="2665"/>
      <c r="L34" s="2666"/>
      <c r="M34" s="2665"/>
      <c r="N34" s="2665"/>
      <c r="O34" s="2666"/>
      <c r="P34" s="2665"/>
      <c r="Q34" s="2665"/>
      <c r="R34" s="2667"/>
    </row>
    <row r="35" spans="2:18" s="2216" customFormat="1">
      <c r="B35" s="2665"/>
      <c r="C35" s="2665"/>
      <c r="D35" s="2665"/>
      <c r="H35" s="2665"/>
      <c r="I35" s="2666"/>
      <c r="J35" s="2665"/>
      <c r="K35" s="2665"/>
      <c r="L35" s="2666"/>
      <c r="M35" s="2665"/>
      <c r="N35" s="2665"/>
      <c r="O35" s="2666"/>
      <c r="P35" s="2665"/>
      <c r="Q35" s="2665"/>
      <c r="R35" s="2667"/>
    </row>
    <row r="36" spans="2:18" s="2216" customFormat="1">
      <c r="B36" s="2665"/>
      <c r="C36" s="2665"/>
      <c r="D36" s="2665"/>
      <c r="H36" s="2665"/>
      <c r="I36" s="2666"/>
      <c r="J36" s="2665"/>
      <c r="K36" s="2665"/>
      <c r="L36" s="2666"/>
      <c r="M36" s="2665"/>
      <c r="N36" s="2665"/>
      <c r="O36" s="2666"/>
      <c r="P36" s="2665"/>
      <c r="Q36" s="2665"/>
      <c r="R36" s="2667"/>
    </row>
    <row r="37" spans="2:18" s="2216" customFormat="1">
      <c r="B37" s="2665"/>
      <c r="C37" s="2665"/>
      <c r="D37" s="2665"/>
      <c r="H37" s="2665"/>
      <c r="I37" s="2666"/>
      <c r="J37" s="2665"/>
      <c r="K37" s="2665"/>
      <c r="L37" s="2666"/>
      <c r="M37" s="2665"/>
      <c r="N37" s="2665"/>
      <c r="O37" s="2666"/>
      <c r="P37" s="2665"/>
      <c r="Q37" s="2665"/>
      <c r="R37" s="2667"/>
    </row>
    <row r="38" spans="2:18" s="2216" customFormat="1">
      <c r="B38" s="2665"/>
      <c r="C38" s="2665"/>
      <c r="D38" s="2665"/>
      <c r="E38" s="2665"/>
      <c r="F38" s="2665"/>
      <c r="G38" s="2666"/>
      <c r="H38" s="2665"/>
      <c r="I38" s="2666"/>
      <c r="J38" s="2665"/>
      <c r="K38" s="2665"/>
      <c r="L38" s="2666"/>
      <c r="M38" s="2665"/>
      <c r="N38" s="2665"/>
      <c r="O38" s="2666"/>
      <c r="P38" s="2665"/>
      <c r="Q38" s="2665"/>
      <c r="R38" s="2667"/>
    </row>
    <row r="39" spans="2:18" s="2216" customFormat="1">
      <c r="B39" s="2665"/>
      <c r="C39" s="2665"/>
      <c r="D39" s="2665"/>
      <c r="E39" s="2665"/>
      <c r="F39" s="2665"/>
      <c r="G39" s="2666"/>
      <c r="H39" s="2665"/>
      <c r="I39" s="2666"/>
      <c r="J39" s="2665"/>
      <c r="K39" s="2665"/>
      <c r="L39" s="2666"/>
      <c r="M39" s="2665"/>
      <c r="N39" s="2665"/>
      <c r="O39" s="2666"/>
      <c r="P39" s="2665"/>
      <c r="Q39" s="2665"/>
      <c r="R39" s="2667"/>
    </row>
    <row r="40" spans="2:18" s="2216" customFormat="1">
      <c r="B40" s="2665"/>
      <c r="C40" s="2665"/>
      <c r="D40" s="2665"/>
      <c r="E40" s="2665"/>
      <c r="F40" s="2665"/>
      <c r="G40" s="2666"/>
      <c r="H40" s="2665"/>
      <c r="I40" s="2666"/>
      <c r="J40" s="2665"/>
      <c r="K40" s="2665"/>
      <c r="L40" s="2666"/>
      <c r="M40" s="2665"/>
      <c r="N40" s="2665"/>
      <c r="O40" s="2666"/>
      <c r="P40" s="2665"/>
      <c r="Q40" s="2665"/>
      <c r="R40" s="2667"/>
    </row>
    <row r="41" spans="2:18" s="2216" customFormat="1">
      <c r="B41" s="2665"/>
      <c r="C41" s="2665"/>
      <c r="D41" s="2665"/>
      <c r="E41" s="2665"/>
      <c r="F41" s="2665"/>
      <c r="G41" s="2666"/>
      <c r="H41" s="2665"/>
      <c r="I41" s="2666"/>
      <c r="J41" s="2665"/>
      <c r="K41" s="2665"/>
      <c r="L41" s="2666"/>
      <c r="M41" s="2665"/>
      <c r="N41" s="2665"/>
      <c r="O41" s="2666"/>
      <c r="P41" s="2665"/>
      <c r="Q41" s="2665"/>
      <c r="R41" s="2667"/>
    </row>
    <row r="42" spans="2:18" s="2216" customFormat="1">
      <c r="B42" s="2665"/>
      <c r="C42" s="2665"/>
      <c r="D42" s="2665"/>
      <c r="E42" s="2665"/>
      <c r="F42" s="2665"/>
      <c r="G42" s="2666"/>
      <c r="H42" s="2665"/>
      <c r="I42" s="2666"/>
      <c r="J42" s="2665"/>
      <c r="K42" s="2665"/>
      <c r="L42" s="2666"/>
      <c r="M42" s="2665"/>
      <c r="N42" s="2665"/>
      <c r="O42" s="2666"/>
      <c r="P42" s="2665"/>
      <c r="Q42" s="2665"/>
      <c r="R42" s="2667"/>
    </row>
    <row r="43" spans="2:18" s="2216" customFormat="1">
      <c r="B43" s="2665"/>
      <c r="C43" s="2665"/>
      <c r="D43" s="2665"/>
      <c r="E43" s="2665"/>
      <c r="F43" s="2665"/>
      <c r="G43" s="2666"/>
      <c r="H43" s="2665"/>
      <c r="I43" s="2666"/>
      <c r="J43" s="2665"/>
      <c r="K43" s="2665"/>
      <c r="L43" s="2666"/>
      <c r="M43" s="2665"/>
      <c r="N43" s="2665"/>
      <c r="O43" s="2666"/>
      <c r="P43" s="2665"/>
      <c r="Q43" s="2665"/>
      <c r="R43" s="2667"/>
    </row>
    <row r="44" spans="2:18" s="2216" customFormat="1">
      <c r="B44" s="2665"/>
      <c r="C44" s="2665"/>
      <c r="D44" s="2665"/>
      <c r="E44" s="2665"/>
      <c r="F44" s="2665"/>
      <c r="G44" s="2666"/>
      <c r="H44" s="2665"/>
      <c r="I44" s="2666"/>
      <c r="J44" s="2665"/>
      <c r="K44" s="2665"/>
      <c r="L44" s="2666"/>
      <c r="M44" s="2665"/>
      <c r="N44" s="2665"/>
      <c r="O44" s="2666"/>
      <c r="P44" s="2665"/>
      <c r="Q44" s="2665"/>
      <c r="R44" s="2667"/>
    </row>
    <row r="45" spans="2:18" s="2216" customFormat="1">
      <c r="B45" s="2665"/>
      <c r="C45" s="2665"/>
      <c r="D45" s="2665"/>
      <c r="E45" s="2665"/>
      <c r="F45" s="2665"/>
      <c r="G45" s="2666"/>
      <c r="H45" s="2665"/>
      <c r="I45" s="2666"/>
      <c r="J45" s="2665"/>
      <c r="K45" s="2665"/>
      <c r="L45" s="2666"/>
      <c r="M45" s="2665"/>
      <c r="N45" s="2665"/>
      <c r="O45" s="2666"/>
      <c r="P45" s="2665"/>
      <c r="Q45" s="2665"/>
      <c r="R45" s="2667"/>
    </row>
    <row r="46" spans="2:18" s="2216" customFormat="1">
      <c r="B46" s="2665"/>
      <c r="C46" s="2665"/>
      <c r="D46" s="2665"/>
      <c r="E46" s="2665"/>
      <c r="F46" s="2665"/>
      <c r="G46" s="2666"/>
      <c r="H46" s="2665"/>
      <c r="I46" s="2666"/>
      <c r="J46" s="2665"/>
      <c r="K46" s="2665"/>
      <c r="L46" s="2666"/>
      <c r="M46" s="2665"/>
      <c r="N46" s="2665"/>
      <c r="O46" s="2666"/>
      <c r="P46" s="2665"/>
      <c r="Q46" s="2665"/>
      <c r="R46" s="2667"/>
    </row>
    <row r="47" spans="2:18" s="2216" customFormat="1">
      <c r="B47" s="2665"/>
      <c r="C47" s="2665"/>
      <c r="D47" s="2665"/>
      <c r="E47" s="2665"/>
      <c r="F47" s="2665"/>
      <c r="G47" s="2666"/>
      <c r="H47" s="2665"/>
      <c r="I47" s="2666"/>
      <c r="J47" s="2665"/>
      <c r="K47" s="2665"/>
      <c r="L47" s="2666"/>
      <c r="M47" s="2665"/>
      <c r="N47" s="2665"/>
      <c r="O47" s="2666"/>
      <c r="P47" s="2665"/>
      <c r="Q47" s="2665"/>
      <c r="R47" s="2667"/>
    </row>
    <row r="48" spans="2:18" s="2216" customFormat="1">
      <c r="B48" s="2665"/>
      <c r="C48" s="2665"/>
      <c r="D48" s="2665"/>
      <c r="E48" s="2665"/>
      <c r="F48" s="2665"/>
      <c r="G48" s="2666"/>
      <c r="H48" s="2665"/>
      <c r="I48" s="2666"/>
      <c r="J48" s="2665"/>
      <c r="K48" s="2665"/>
      <c r="L48" s="2666"/>
      <c r="M48" s="2665"/>
      <c r="N48" s="2665"/>
      <c r="O48" s="2666"/>
      <c r="P48" s="2665"/>
      <c r="Q48" s="2665"/>
      <c r="R48" s="2667"/>
    </row>
    <row r="49" spans="2:18" s="2216" customFormat="1">
      <c r="B49" s="2665"/>
      <c r="C49" s="2665"/>
      <c r="D49" s="2665"/>
      <c r="E49" s="2665"/>
      <c r="F49" s="2665"/>
      <c r="G49" s="2666"/>
      <c r="H49" s="2665"/>
      <c r="I49" s="2666"/>
      <c r="J49" s="2665"/>
      <c r="K49" s="2665"/>
      <c r="L49" s="2666"/>
      <c r="M49" s="2665"/>
      <c r="N49" s="2665"/>
      <c r="O49" s="2666"/>
      <c r="P49" s="2665"/>
      <c r="Q49" s="2665"/>
      <c r="R49" s="2667"/>
    </row>
    <row r="50" spans="2:18" s="2216" customFormat="1">
      <c r="B50" s="2665"/>
      <c r="C50" s="2665"/>
      <c r="D50" s="2665"/>
      <c r="E50" s="2665"/>
      <c r="F50" s="2665"/>
      <c r="G50" s="2666"/>
      <c r="H50" s="2665"/>
      <c r="I50" s="2666"/>
      <c r="J50" s="2665"/>
      <c r="K50" s="2665"/>
      <c r="L50" s="2666"/>
      <c r="M50" s="2665"/>
      <c r="N50" s="2665"/>
      <c r="O50" s="2666"/>
      <c r="P50" s="2665"/>
      <c r="Q50" s="2665"/>
      <c r="R50" s="2667"/>
    </row>
    <row r="51" spans="2:18" s="2216" customFormat="1">
      <c r="B51" s="2665"/>
      <c r="C51" s="2665"/>
      <c r="D51" s="2665"/>
      <c r="E51" s="2665"/>
      <c r="F51" s="2665"/>
      <c r="G51" s="2666"/>
      <c r="H51" s="2665"/>
      <c r="I51" s="2666"/>
      <c r="J51" s="2665"/>
      <c r="K51" s="2665"/>
      <c r="L51" s="2666"/>
      <c r="M51" s="2665"/>
      <c r="N51" s="2665"/>
      <c r="O51" s="2666"/>
      <c r="P51" s="2665"/>
      <c r="Q51" s="2665"/>
      <c r="R51" s="2667"/>
    </row>
    <row r="52" spans="2:18" s="2216" customFormat="1">
      <c r="B52" s="2665"/>
      <c r="C52" s="2665"/>
      <c r="D52" s="2665"/>
      <c r="E52" s="2665"/>
      <c r="F52" s="2665"/>
      <c r="G52" s="2666"/>
      <c r="H52" s="2665"/>
      <c r="I52" s="2666"/>
      <c r="J52" s="2665"/>
      <c r="K52" s="2665"/>
      <c r="L52" s="2666"/>
      <c r="M52" s="2665"/>
      <c r="N52" s="2665"/>
      <c r="O52" s="2666"/>
      <c r="P52" s="2665"/>
      <c r="Q52" s="2665"/>
      <c r="R52" s="2667"/>
    </row>
    <row r="53" spans="2:18" s="2216" customFormat="1">
      <c r="B53" s="2665"/>
      <c r="C53" s="2665"/>
      <c r="D53" s="2665"/>
      <c r="E53" s="2665"/>
      <c r="F53" s="2665"/>
      <c r="G53" s="2666"/>
      <c r="H53" s="2665"/>
      <c r="I53" s="2666"/>
      <c r="J53" s="2665"/>
      <c r="K53" s="2665"/>
      <c r="L53" s="2666"/>
      <c r="M53" s="2665"/>
      <c r="N53" s="2665"/>
      <c r="O53" s="2666"/>
      <c r="P53" s="2665"/>
      <c r="Q53" s="2665"/>
      <c r="R53" s="2667"/>
    </row>
    <row r="54" spans="2:18" s="2216" customFormat="1">
      <c r="B54" s="2665"/>
      <c r="C54" s="2665"/>
      <c r="D54" s="2665"/>
      <c r="E54" s="2665"/>
      <c r="F54" s="2665"/>
      <c r="G54" s="2666"/>
      <c r="H54" s="2665"/>
      <c r="I54" s="2666"/>
      <c r="J54" s="2665"/>
      <c r="K54" s="2665"/>
      <c r="L54" s="2666"/>
      <c r="M54" s="2665"/>
      <c r="N54" s="2665"/>
      <c r="O54" s="2666"/>
      <c r="P54" s="2665"/>
      <c r="Q54" s="2665"/>
      <c r="R54" s="2667"/>
    </row>
    <row r="55" spans="2:18" s="2216" customFormat="1">
      <c r="B55" s="2665"/>
      <c r="C55" s="2665"/>
      <c r="D55" s="2665"/>
      <c r="E55" s="2665"/>
      <c r="F55" s="2665"/>
      <c r="G55" s="2666"/>
      <c r="H55" s="2665"/>
      <c r="I55" s="2666"/>
      <c r="J55" s="2665"/>
      <c r="K55" s="2665"/>
      <c r="L55" s="2666"/>
      <c r="M55" s="2665"/>
      <c r="N55" s="2665"/>
      <c r="O55" s="2666"/>
      <c r="P55" s="2665"/>
      <c r="Q55" s="2665"/>
      <c r="R55" s="2667"/>
    </row>
    <row r="56" spans="2:18" s="2216" customFormat="1">
      <c r="B56" s="2665"/>
      <c r="C56" s="2665"/>
      <c r="D56" s="2665"/>
      <c r="E56" s="2665"/>
      <c r="F56" s="2665"/>
      <c r="G56" s="2666"/>
      <c r="H56" s="2665"/>
      <c r="I56" s="2666"/>
      <c r="J56" s="2665"/>
      <c r="K56" s="2665"/>
      <c r="L56" s="2666"/>
      <c r="M56" s="2665"/>
      <c r="N56" s="2665"/>
      <c r="O56" s="2666"/>
      <c r="P56" s="2665"/>
      <c r="Q56" s="2665"/>
      <c r="R56" s="2667"/>
    </row>
    <row r="57" spans="2:18" s="2216" customFormat="1">
      <c r="B57" s="2665"/>
      <c r="C57" s="2665"/>
      <c r="D57" s="2665"/>
      <c r="E57" s="2665"/>
      <c r="F57" s="2665"/>
      <c r="G57" s="2666"/>
      <c r="H57" s="2665"/>
      <c r="I57" s="2666"/>
      <c r="J57" s="2665"/>
      <c r="K57" s="2665"/>
      <c r="L57" s="2666"/>
      <c r="M57" s="2665"/>
      <c r="N57" s="2665"/>
      <c r="O57" s="2666"/>
      <c r="P57" s="2665"/>
      <c r="Q57" s="2665"/>
      <c r="R57" s="2667"/>
    </row>
    <row r="58" spans="2:18" s="2216" customFormat="1">
      <c r="B58" s="2665"/>
      <c r="C58" s="2665"/>
      <c r="D58" s="2665"/>
      <c r="E58" s="2665"/>
      <c r="F58" s="2665"/>
      <c r="G58" s="2666"/>
      <c r="H58" s="2665"/>
      <c r="I58" s="2666"/>
      <c r="J58" s="2665"/>
      <c r="K58" s="2665"/>
      <c r="L58" s="2666"/>
      <c r="M58" s="2665"/>
      <c r="N58" s="2665"/>
      <c r="O58" s="2666"/>
      <c r="P58" s="2665"/>
      <c r="Q58" s="2665"/>
      <c r="R58" s="2667"/>
    </row>
    <row r="59" spans="2:18" s="2216" customFormat="1">
      <c r="B59" s="2665"/>
      <c r="C59" s="2665"/>
      <c r="D59" s="2665"/>
      <c r="E59" s="2665"/>
      <c r="F59" s="2665"/>
      <c r="G59" s="2666"/>
      <c r="H59" s="2665"/>
      <c r="I59" s="2666"/>
      <c r="J59" s="2665"/>
      <c r="K59" s="2665"/>
      <c r="L59" s="2666"/>
      <c r="M59" s="2665"/>
      <c r="N59" s="2665"/>
      <c r="O59" s="2666"/>
      <c r="P59" s="2665"/>
      <c r="Q59" s="2665"/>
      <c r="R59" s="2667"/>
    </row>
    <row r="60" spans="2:18" s="2216" customFormat="1">
      <c r="B60" s="2665"/>
      <c r="C60" s="2665"/>
      <c r="D60" s="2665"/>
      <c r="E60" s="2665"/>
      <c r="F60" s="2665"/>
      <c r="G60" s="2666"/>
      <c r="H60" s="2665"/>
      <c r="I60" s="2666"/>
      <c r="J60" s="2665"/>
      <c r="K60" s="2665"/>
      <c r="L60" s="2666"/>
      <c r="M60" s="2665"/>
      <c r="N60" s="2665"/>
      <c r="O60" s="2666"/>
      <c r="P60" s="2665"/>
      <c r="Q60" s="2665"/>
      <c r="R60" s="2667"/>
    </row>
    <row r="61" spans="2:18" s="2216" customFormat="1">
      <c r="B61" s="2665"/>
      <c r="C61" s="2665"/>
      <c r="D61" s="2665"/>
      <c r="E61" s="2665"/>
      <c r="F61" s="2665"/>
      <c r="G61" s="2666"/>
      <c r="H61" s="2665"/>
      <c r="I61" s="2666"/>
      <c r="J61" s="2665"/>
      <c r="K61" s="2665"/>
      <c r="L61" s="2666"/>
      <c r="M61" s="2665"/>
      <c r="N61" s="2665"/>
      <c r="O61" s="2666"/>
      <c r="P61" s="2665"/>
      <c r="Q61" s="2665"/>
      <c r="R61" s="2667"/>
    </row>
    <row r="62" spans="2:18" s="2216" customFormat="1">
      <c r="B62" s="2665"/>
      <c r="C62" s="2665"/>
      <c r="D62" s="2665"/>
      <c r="E62" s="2665"/>
      <c r="F62" s="2665"/>
      <c r="G62" s="2666"/>
      <c r="H62" s="2665"/>
      <c r="I62" s="2666"/>
      <c r="J62" s="2665"/>
      <c r="K62" s="2665"/>
      <c r="L62" s="2666"/>
      <c r="M62" s="2665"/>
      <c r="N62" s="2665"/>
      <c r="O62" s="2666"/>
      <c r="P62" s="2665"/>
      <c r="Q62" s="2665"/>
      <c r="R62" s="2667"/>
    </row>
    <row r="63" spans="2:18" s="2216" customFormat="1">
      <c r="B63" s="2665"/>
      <c r="C63" s="2665"/>
      <c r="D63" s="2665"/>
      <c r="E63" s="2665"/>
      <c r="F63" s="2665"/>
      <c r="G63" s="2666"/>
      <c r="H63" s="2665"/>
      <c r="I63" s="2666"/>
      <c r="J63" s="2665"/>
      <c r="K63" s="2665"/>
      <c r="L63" s="2666"/>
      <c r="M63" s="2665"/>
      <c r="N63" s="2665"/>
      <c r="O63" s="2666"/>
      <c r="P63" s="2665"/>
      <c r="Q63" s="2665"/>
      <c r="R63" s="2667"/>
    </row>
    <row r="64" spans="2:18" s="2216" customFormat="1">
      <c r="B64" s="2665"/>
      <c r="C64" s="2665"/>
      <c r="D64" s="2665"/>
      <c r="E64" s="2665"/>
      <c r="F64" s="2665"/>
      <c r="G64" s="2666"/>
      <c r="H64" s="2665"/>
      <c r="I64" s="2666"/>
      <c r="J64" s="2665"/>
      <c r="K64" s="2665"/>
      <c r="L64" s="2666"/>
      <c r="M64" s="2665"/>
      <c r="N64" s="2665"/>
      <c r="O64" s="2666"/>
      <c r="P64" s="2665"/>
      <c r="Q64" s="2665"/>
      <c r="R64" s="2667"/>
    </row>
    <row r="65" spans="2:18" s="2216" customFormat="1">
      <c r="B65" s="2665"/>
      <c r="C65" s="2665"/>
      <c r="D65" s="2665"/>
      <c r="E65" s="2665"/>
      <c r="F65" s="2665"/>
      <c r="G65" s="2666"/>
      <c r="H65" s="2665"/>
      <c r="I65" s="2666"/>
      <c r="J65" s="2665"/>
      <c r="K65" s="2665"/>
      <c r="L65" s="2666"/>
      <c r="M65" s="2665"/>
      <c r="N65" s="2665"/>
      <c r="O65" s="2666"/>
      <c r="P65" s="2665"/>
      <c r="Q65" s="2665"/>
      <c r="R65" s="2667"/>
    </row>
    <row r="66" spans="2:18" s="2216" customFormat="1">
      <c r="B66" s="2665"/>
      <c r="C66" s="2665"/>
      <c r="D66" s="2665"/>
      <c r="E66" s="2665"/>
      <c r="F66" s="2665"/>
      <c r="G66" s="2666"/>
      <c r="H66" s="2665"/>
      <c r="I66" s="2666"/>
      <c r="J66" s="2665"/>
      <c r="K66" s="2665"/>
      <c r="L66" s="2666"/>
      <c r="M66" s="2665"/>
      <c r="N66" s="2665"/>
      <c r="O66" s="2666"/>
      <c r="P66" s="2665"/>
      <c r="Q66" s="2665"/>
      <c r="R66" s="2667"/>
    </row>
    <row r="67" spans="2:18" s="2216" customFormat="1">
      <c r="B67" s="2665"/>
      <c r="C67" s="2665"/>
      <c r="D67" s="2665"/>
      <c r="E67" s="2665"/>
      <c r="F67" s="2665"/>
      <c r="G67" s="2666"/>
      <c r="H67" s="2665"/>
      <c r="I67" s="2666"/>
      <c r="J67" s="2665"/>
      <c r="K67" s="2665"/>
      <c r="L67" s="2666"/>
      <c r="M67" s="2665"/>
      <c r="N67" s="2665"/>
      <c r="O67" s="2666"/>
      <c r="P67" s="2665"/>
      <c r="Q67" s="2665"/>
      <c r="R67" s="2667"/>
    </row>
    <row r="68" spans="2:18" s="2216" customFormat="1">
      <c r="B68" s="2665"/>
      <c r="C68" s="2665"/>
      <c r="D68" s="2665"/>
      <c r="E68" s="2665"/>
      <c r="F68" s="2665"/>
      <c r="G68" s="2666"/>
      <c r="H68" s="2665"/>
      <c r="I68" s="2666"/>
      <c r="J68" s="2665"/>
      <c r="K68" s="2665"/>
      <c r="L68" s="2666"/>
      <c r="M68" s="2665"/>
      <c r="N68" s="2665"/>
      <c r="O68" s="2666"/>
      <c r="P68" s="2665"/>
      <c r="Q68" s="2665"/>
      <c r="R68" s="2667"/>
    </row>
    <row r="69" spans="2:18" s="2216" customFormat="1">
      <c r="B69" s="2665"/>
      <c r="C69" s="2665"/>
      <c r="D69" s="2665"/>
      <c r="E69" s="2665"/>
      <c r="F69" s="2665"/>
      <c r="G69" s="2666"/>
      <c r="H69" s="2665"/>
      <c r="I69" s="2666"/>
      <c r="J69" s="2665"/>
      <c r="K69" s="2665"/>
      <c r="L69" s="2666"/>
      <c r="M69" s="2665"/>
      <c r="N69" s="2665"/>
      <c r="O69" s="2666"/>
      <c r="P69" s="2665"/>
      <c r="Q69" s="2665"/>
      <c r="R69" s="2667"/>
    </row>
    <row r="70" spans="2:18" s="2216" customFormat="1">
      <c r="B70" s="2665"/>
      <c r="C70" s="2665"/>
      <c r="D70" s="2665"/>
      <c r="E70" s="2665"/>
      <c r="F70" s="2665"/>
      <c r="G70" s="2666"/>
      <c r="H70" s="2665"/>
      <c r="I70" s="2666"/>
      <c r="J70" s="2665"/>
      <c r="K70" s="2665"/>
      <c r="L70" s="2666"/>
      <c r="M70" s="2665"/>
      <c r="N70" s="2665"/>
      <c r="O70" s="2666"/>
      <c r="P70" s="2665"/>
      <c r="Q70" s="2665"/>
      <c r="R70" s="2667"/>
    </row>
    <row r="71" spans="2:18" s="2216" customFormat="1">
      <c r="B71" s="2665"/>
      <c r="C71" s="2665"/>
      <c r="D71" s="2665"/>
      <c r="E71" s="2665"/>
      <c r="F71" s="2665"/>
      <c r="G71" s="2666"/>
      <c r="H71" s="2665"/>
      <c r="I71" s="2666"/>
      <c r="J71" s="2665"/>
      <c r="K71" s="2665"/>
      <c r="L71" s="2666"/>
      <c r="M71" s="2665"/>
      <c r="N71" s="2665"/>
      <c r="O71" s="2666"/>
      <c r="P71" s="2665"/>
      <c r="Q71" s="2665"/>
      <c r="R71" s="2667"/>
    </row>
    <row r="72" spans="2:18" s="2216" customFormat="1">
      <c r="B72" s="2665"/>
      <c r="C72" s="2665"/>
      <c r="D72" s="2665"/>
      <c r="E72" s="2665"/>
      <c r="F72" s="2665"/>
      <c r="G72" s="2666"/>
      <c r="H72" s="2665"/>
      <c r="I72" s="2666"/>
      <c r="J72" s="2665"/>
      <c r="K72" s="2665"/>
      <c r="L72" s="2666"/>
      <c r="M72" s="2665"/>
      <c r="N72" s="2665"/>
      <c r="O72" s="2666"/>
      <c r="P72" s="2665"/>
      <c r="Q72" s="2665"/>
      <c r="R72" s="2667"/>
    </row>
    <row r="73" spans="2:18" s="2216" customFormat="1">
      <c r="B73" s="2665"/>
      <c r="C73" s="2665"/>
      <c r="D73" s="2665"/>
      <c r="E73" s="2665"/>
      <c r="F73" s="2665"/>
      <c r="G73" s="2666"/>
      <c r="H73" s="2665"/>
      <c r="I73" s="2666"/>
      <c r="J73" s="2665"/>
      <c r="K73" s="2665"/>
      <c r="L73" s="2666"/>
      <c r="M73" s="2665"/>
      <c r="N73" s="2665"/>
      <c r="O73" s="2666"/>
      <c r="P73" s="2665"/>
      <c r="Q73" s="2665"/>
      <c r="R73" s="2667"/>
    </row>
    <row r="74" spans="2:18" s="2216" customFormat="1">
      <c r="B74" s="2665"/>
      <c r="C74" s="2665"/>
      <c r="D74" s="2665"/>
      <c r="E74" s="2665"/>
      <c r="F74" s="2665"/>
      <c r="G74" s="2666"/>
      <c r="H74" s="2665"/>
      <c r="I74" s="2666"/>
      <c r="J74" s="2665"/>
      <c r="K74" s="2665"/>
      <c r="L74" s="2666"/>
      <c r="M74" s="2665"/>
      <c r="N74" s="2665"/>
      <c r="O74" s="2666"/>
      <c r="P74" s="2665"/>
      <c r="Q74" s="2665"/>
      <c r="R74" s="2667"/>
    </row>
    <row r="75" spans="2:18" s="2216" customFormat="1">
      <c r="B75" s="2665"/>
      <c r="C75" s="2665"/>
      <c r="D75" s="2665"/>
      <c r="E75" s="2665"/>
      <c r="F75" s="2665"/>
      <c r="G75" s="2666"/>
      <c r="H75" s="2665"/>
      <c r="I75" s="2666"/>
      <c r="J75" s="2665"/>
      <c r="K75" s="2665"/>
      <c r="L75" s="2666"/>
      <c r="M75" s="2665"/>
      <c r="N75" s="2665"/>
      <c r="O75" s="2666"/>
      <c r="P75" s="2665"/>
      <c r="Q75" s="2665"/>
      <c r="R75" s="2667"/>
    </row>
    <row r="76" spans="2:18" s="2216" customFormat="1">
      <c r="B76" s="2665"/>
      <c r="C76" s="2665"/>
      <c r="D76" s="2665"/>
      <c r="E76" s="2665"/>
      <c r="F76" s="2665"/>
      <c r="G76" s="2666"/>
      <c r="H76" s="2665"/>
      <c r="I76" s="2666"/>
      <c r="J76" s="2665"/>
      <c r="K76" s="2665"/>
      <c r="L76" s="2666"/>
      <c r="M76" s="2665"/>
      <c r="N76" s="2665"/>
      <c r="O76" s="2666"/>
      <c r="P76" s="2665"/>
      <c r="Q76" s="2665"/>
      <c r="R76" s="2667"/>
    </row>
    <row r="77" spans="2:18" s="2216" customFormat="1">
      <c r="B77" s="2665"/>
      <c r="C77" s="2665"/>
      <c r="D77" s="2665"/>
      <c r="E77" s="2665"/>
      <c r="F77" s="2665"/>
      <c r="G77" s="2666"/>
      <c r="H77" s="2665"/>
      <c r="I77" s="2666"/>
      <c r="J77" s="2665"/>
      <c r="K77" s="2665"/>
      <c r="L77" s="2666"/>
      <c r="M77" s="2665"/>
      <c r="N77" s="2665"/>
      <c r="O77" s="2666"/>
      <c r="P77" s="2665"/>
      <c r="Q77" s="2665"/>
      <c r="R77" s="2667"/>
    </row>
    <row r="78" spans="2:18" s="2216" customFormat="1">
      <c r="B78" s="2665"/>
      <c r="C78" s="2665"/>
      <c r="D78" s="2665"/>
      <c r="E78" s="2665"/>
      <c r="F78" s="2665"/>
      <c r="G78" s="2666"/>
      <c r="H78" s="2665"/>
      <c r="I78" s="2666"/>
      <c r="J78" s="2665"/>
      <c r="K78" s="2665"/>
      <c r="L78" s="2666"/>
      <c r="M78" s="2665"/>
      <c r="N78" s="2665"/>
      <c r="O78" s="2666"/>
      <c r="P78" s="2665"/>
      <c r="Q78" s="2665"/>
      <c r="R78" s="2667"/>
    </row>
    <row r="79" spans="2:18" s="2216" customFormat="1">
      <c r="B79" s="2665"/>
      <c r="C79" s="2665"/>
      <c r="D79" s="2665"/>
      <c r="E79" s="2665"/>
      <c r="F79" s="2665"/>
      <c r="G79" s="2666"/>
      <c r="H79" s="2665"/>
      <c r="I79" s="2666"/>
      <c r="J79" s="2665"/>
      <c r="K79" s="2665"/>
      <c r="L79" s="2666"/>
      <c r="M79" s="2665"/>
      <c r="N79" s="2665"/>
      <c r="O79" s="2666"/>
      <c r="P79" s="2665"/>
      <c r="Q79" s="2665"/>
      <c r="R79" s="2667"/>
    </row>
    <row r="80" spans="2:18" s="2216" customFormat="1">
      <c r="B80" s="2665"/>
      <c r="C80" s="2665"/>
      <c r="D80" s="2665"/>
      <c r="E80" s="2665"/>
      <c r="F80" s="2665"/>
      <c r="G80" s="2666"/>
      <c r="H80" s="2665"/>
      <c r="I80" s="2666"/>
      <c r="J80" s="2665"/>
      <c r="K80" s="2665"/>
      <c r="L80" s="2666"/>
      <c r="M80" s="2665"/>
      <c r="N80" s="2665"/>
      <c r="O80" s="2666"/>
      <c r="P80" s="2665"/>
      <c r="Q80" s="2665"/>
      <c r="R80" s="2667"/>
    </row>
    <row r="81" spans="2:18" s="2216" customFormat="1">
      <c r="B81" s="2665"/>
      <c r="C81" s="2665"/>
      <c r="D81" s="2665"/>
      <c r="E81" s="2665"/>
      <c r="F81" s="2665"/>
      <c r="G81" s="2666"/>
      <c r="H81" s="2665"/>
      <c r="I81" s="2666"/>
      <c r="J81" s="2665"/>
      <c r="K81" s="2665"/>
      <c r="L81" s="2666"/>
      <c r="M81" s="2665"/>
      <c r="N81" s="2665"/>
      <c r="O81" s="2666"/>
      <c r="P81" s="2665"/>
      <c r="Q81" s="2665"/>
      <c r="R81" s="2667"/>
    </row>
    <row r="82" spans="2:18" s="2216" customFormat="1">
      <c r="B82" s="2665"/>
      <c r="C82" s="2665"/>
      <c r="D82" s="2665"/>
      <c r="E82" s="2665"/>
      <c r="F82" s="2665"/>
      <c r="G82" s="2666"/>
      <c r="H82" s="2665"/>
      <c r="I82" s="2666"/>
      <c r="J82" s="2665"/>
      <c r="K82" s="2665"/>
      <c r="L82" s="2666"/>
      <c r="M82" s="2665"/>
      <c r="N82" s="2665"/>
      <c r="O82" s="2666"/>
      <c r="P82" s="2665"/>
      <c r="Q82" s="2665"/>
      <c r="R82" s="2667"/>
    </row>
    <row r="83" spans="2:18" s="2216" customFormat="1">
      <c r="B83" s="2665"/>
      <c r="C83" s="2665"/>
      <c r="D83" s="2665"/>
      <c r="E83" s="2665"/>
      <c r="F83" s="2665"/>
      <c r="G83" s="2666"/>
      <c r="H83" s="2665"/>
      <c r="I83" s="2666"/>
      <c r="J83" s="2665"/>
      <c r="K83" s="2665"/>
      <c r="L83" s="2666"/>
      <c r="M83" s="2665"/>
      <c r="N83" s="2665"/>
      <c r="O83" s="2666"/>
      <c r="P83" s="2665"/>
      <c r="Q83" s="2665"/>
      <c r="R83" s="2667"/>
    </row>
    <row r="84" spans="2:18" s="2216" customFormat="1">
      <c r="B84" s="2665"/>
      <c r="C84" s="2665"/>
      <c r="D84" s="2665"/>
      <c r="E84" s="2665"/>
      <c r="F84" s="2665"/>
      <c r="G84" s="2666"/>
      <c r="H84" s="2665"/>
      <c r="I84" s="2666"/>
      <c r="J84" s="2665"/>
      <c r="K84" s="2665"/>
      <c r="L84" s="2666"/>
      <c r="M84" s="2665"/>
      <c r="N84" s="2665"/>
      <c r="O84" s="2666"/>
      <c r="P84" s="2665"/>
      <c r="Q84" s="2665"/>
      <c r="R84" s="2667"/>
    </row>
    <row r="85" spans="2:18" s="2216" customFormat="1">
      <c r="B85" s="2665"/>
      <c r="C85" s="2665"/>
      <c r="D85" s="2665"/>
      <c r="E85" s="2665"/>
      <c r="F85" s="2665"/>
      <c r="G85" s="2666"/>
      <c r="H85" s="2665"/>
      <c r="I85" s="2666"/>
      <c r="J85" s="2665"/>
      <c r="K85" s="2665"/>
      <c r="L85" s="2666"/>
      <c r="M85" s="2665"/>
      <c r="N85" s="2665"/>
      <c r="O85" s="2666"/>
      <c r="P85" s="2665"/>
      <c r="Q85" s="2665"/>
      <c r="R85" s="2667"/>
    </row>
    <row r="86" spans="2:18" s="2216" customFormat="1">
      <c r="B86" s="2665"/>
      <c r="C86" s="2665"/>
      <c r="D86" s="2665"/>
      <c r="E86" s="2665"/>
      <c r="F86" s="2665"/>
      <c r="G86" s="2666"/>
      <c r="H86" s="2665"/>
      <c r="I86" s="2666"/>
      <c r="J86" s="2665"/>
      <c r="K86" s="2665"/>
      <c r="L86" s="2666"/>
      <c r="M86" s="2665"/>
      <c r="N86" s="2665"/>
      <c r="O86" s="2666"/>
      <c r="P86" s="2665"/>
      <c r="Q86" s="2665"/>
      <c r="R86" s="2667"/>
    </row>
    <row r="87" spans="2:18" s="2216" customFormat="1">
      <c r="B87" s="2665"/>
      <c r="C87" s="2665"/>
      <c r="D87" s="2665"/>
      <c r="E87" s="2665"/>
      <c r="F87" s="2665"/>
      <c r="G87" s="2666"/>
      <c r="H87" s="2665"/>
      <c r="I87" s="2666"/>
      <c r="J87" s="2665"/>
      <c r="K87" s="2665"/>
      <c r="L87" s="2666"/>
      <c r="M87" s="2665"/>
      <c r="N87" s="2665"/>
      <c r="O87" s="2666"/>
      <c r="P87" s="2665"/>
      <c r="Q87" s="2665"/>
      <c r="R87" s="2667"/>
    </row>
    <row r="88" spans="2:18" s="2216" customFormat="1">
      <c r="B88" s="2665"/>
      <c r="C88" s="2665"/>
      <c r="D88" s="2665"/>
      <c r="E88" s="2665"/>
      <c r="F88" s="2665"/>
      <c r="G88" s="2666"/>
      <c r="H88" s="2665"/>
      <c r="I88" s="2666"/>
      <c r="J88" s="2665"/>
      <c r="K88" s="2665"/>
      <c r="L88" s="2666"/>
      <c r="M88" s="2665"/>
      <c r="N88" s="2665"/>
      <c r="O88" s="2666"/>
      <c r="P88" s="2665"/>
      <c r="Q88" s="2665"/>
      <c r="R88" s="2667"/>
    </row>
    <row r="89" spans="2:18" s="2216" customFormat="1">
      <c r="B89" s="2665"/>
      <c r="C89" s="2665"/>
      <c r="D89" s="2665"/>
      <c r="E89" s="2665"/>
      <c r="F89" s="2665"/>
      <c r="G89" s="2666"/>
      <c r="H89" s="2665"/>
      <c r="I89" s="2666"/>
      <c r="J89" s="2665"/>
      <c r="K89" s="2665"/>
      <c r="L89" s="2666"/>
      <c r="M89" s="2665"/>
      <c r="N89" s="2665"/>
      <c r="O89" s="2666"/>
      <c r="P89" s="2665"/>
      <c r="Q89" s="2665"/>
      <c r="R89" s="2667"/>
    </row>
    <row r="90" spans="2:18" s="2216" customFormat="1">
      <c r="B90" s="2665"/>
      <c r="C90" s="2665"/>
      <c r="D90" s="2665"/>
      <c r="E90" s="2665"/>
      <c r="F90" s="2665"/>
      <c r="G90" s="2666"/>
      <c r="H90" s="2665"/>
      <c r="I90" s="2666"/>
      <c r="J90" s="2665"/>
      <c r="K90" s="2665"/>
      <c r="L90" s="2666"/>
      <c r="M90" s="2665"/>
      <c r="N90" s="2665"/>
      <c r="O90" s="2666"/>
      <c r="P90" s="2665"/>
      <c r="Q90" s="2665"/>
      <c r="R90" s="2667"/>
    </row>
    <row r="91" spans="2:18" s="2216" customFormat="1">
      <c r="B91" s="2665"/>
      <c r="C91" s="2665"/>
      <c r="D91" s="2665"/>
      <c r="E91" s="2665"/>
      <c r="F91" s="2665"/>
      <c r="G91" s="2666"/>
      <c r="H91" s="2665"/>
      <c r="I91" s="2666"/>
      <c r="J91" s="2665"/>
      <c r="K91" s="2665"/>
      <c r="L91" s="2666"/>
      <c r="M91" s="2665"/>
      <c r="N91" s="2665"/>
      <c r="O91" s="2666"/>
      <c r="P91" s="2665"/>
      <c r="Q91" s="2665"/>
      <c r="R91" s="2667"/>
    </row>
    <row r="92" spans="2:18" s="2216" customFormat="1">
      <c r="B92" s="2665"/>
      <c r="C92" s="2665"/>
      <c r="D92" s="2665"/>
      <c r="E92" s="2665"/>
      <c r="F92" s="2665"/>
      <c r="G92" s="2666"/>
      <c r="H92" s="2665"/>
      <c r="I92" s="2666"/>
      <c r="J92" s="2665"/>
      <c r="K92" s="2665"/>
      <c r="L92" s="2666"/>
      <c r="M92" s="2665"/>
      <c r="N92" s="2665"/>
      <c r="O92" s="2666"/>
      <c r="P92" s="2665"/>
      <c r="Q92" s="2665"/>
      <c r="R92" s="2667"/>
    </row>
    <row r="93" spans="2:18" s="2216" customFormat="1">
      <c r="B93" s="2665"/>
      <c r="C93" s="2665"/>
      <c r="D93" s="2665"/>
      <c r="E93" s="2665"/>
      <c r="F93" s="2665"/>
      <c r="G93" s="2666"/>
      <c r="H93" s="2665"/>
      <c r="I93" s="2666"/>
      <c r="J93" s="2665"/>
      <c r="K93" s="2665"/>
      <c r="L93" s="2666"/>
      <c r="M93" s="2665"/>
      <c r="N93" s="2665"/>
      <c r="O93" s="2666"/>
      <c r="P93" s="2665"/>
      <c r="Q93" s="2665"/>
      <c r="R93" s="2667"/>
    </row>
    <row r="94" spans="2:18" s="2216" customFormat="1">
      <c r="B94" s="2665"/>
      <c r="C94" s="2665"/>
      <c r="D94" s="2665"/>
      <c r="E94" s="2665"/>
      <c r="F94" s="2665"/>
      <c r="G94" s="2666"/>
      <c r="H94" s="2665"/>
      <c r="I94" s="2666"/>
      <c r="J94" s="2665"/>
      <c r="K94" s="2665"/>
      <c r="L94" s="2666"/>
      <c r="M94" s="2665"/>
      <c r="N94" s="2665"/>
      <c r="O94" s="2666"/>
      <c r="P94" s="2665"/>
      <c r="Q94" s="2665"/>
      <c r="R94" s="2667"/>
    </row>
    <row r="95" spans="2:18" s="2216" customFormat="1">
      <c r="B95" s="2665"/>
      <c r="C95" s="2665"/>
      <c r="D95" s="2665"/>
      <c r="E95" s="2665"/>
      <c r="F95" s="2665"/>
      <c r="G95" s="2666"/>
      <c r="H95" s="2665"/>
      <c r="I95" s="2666"/>
      <c r="J95" s="2665"/>
      <c r="K95" s="2665"/>
      <c r="L95" s="2666"/>
      <c r="M95" s="2665"/>
      <c r="N95" s="2665"/>
      <c r="O95" s="2666"/>
      <c r="P95" s="2665"/>
      <c r="Q95" s="2665"/>
      <c r="R95" s="2667"/>
    </row>
    <row r="96" spans="2:18" s="2216" customFormat="1">
      <c r="B96" s="2665"/>
      <c r="C96" s="2665"/>
      <c r="D96" s="2665"/>
      <c r="E96" s="2665"/>
      <c r="F96" s="2665"/>
      <c r="G96" s="2666"/>
      <c r="H96" s="2665"/>
      <c r="I96" s="2666"/>
      <c r="J96" s="2665"/>
      <c r="K96" s="2665"/>
      <c r="L96" s="2666"/>
      <c r="M96" s="2665"/>
      <c r="N96" s="2665"/>
      <c r="O96" s="2666"/>
      <c r="P96" s="2665"/>
      <c r="Q96" s="2665"/>
      <c r="R96" s="2667"/>
    </row>
    <row r="97" spans="2:18" s="2216" customFormat="1">
      <c r="B97" s="2665"/>
      <c r="C97" s="2665"/>
      <c r="D97" s="2665"/>
      <c r="E97" s="2665"/>
      <c r="F97" s="2665"/>
      <c r="G97" s="2666"/>
      <c r="H97" s="2665"/>
      <c r="I97" s="2666"/>
      <c r="J97" s="2665"/>
      <c r="K97" s="2665"/>
      <c r="L97" s="2666"/>
      <c r="M97" s="2665"/>
      <c r="N97" s="2665"/>
      <c r="O97" s="2666"/>
      <c r="P97" s="2665"/>
      <c r="Q97" s="2665"/>
      <c r="R97" s="2667"/>
    </row>
    <row r="98" spans="2:18" s="2216" customFormat="1">
      <c r="B98" s="2665"/>
      <c r="C98" s="2665"/>
      <c r="D98" s="2665"/>
      <c r="E98" s="2665"/>
      <c r="F98" s="2665"/>
      <c r="G98" s="2666"/>
      <c r="H98" s="2665"/>
      <c r="I98" s="2666"/>
      <c r="J98" s="2665"/>
      <c r="K98" s="2665"/>
      <c r="L98" s="2666"/>
      <c r="M98" s="2665"/>
      <c r="N98" s="2665"/>
      <c r="O98" s="2666"/>
      <c r="P98" s="2665"/>
      <c r="Q98" s="2665"/>
      <c r="R98" s="2667"/>
    </row>
    <row r="99" spans="2:18" s="2216" customFormat="1">
      <c r="B99" s="2665"/>
      <c r="C99" s="2665"/>
      <c r="D99" s="2665"/>
      <c r="E99" s="2665"/>
      <c r="F99" s="2665"/>
      <c r="G99" s="2666"/>
      <c r="H99" s="2665"/>
      <c r="I99" s="2666"/>
      <c r="J99" s="2665"/>
      <c r="K99" s="2665"/>
      <c r="L99" s="2666"/>
      <c r="M99" s="2665"/>
      <c r="N99" s="2665"/>
      <c r="O99" s="2666"/>
      <c r="P99" s="2665"/>
      <c r="Q99" s="2665"/>
      <c r="R99" s="2667"/>
    </row>
    <row r="100" spans="2:18" s="2216" customFormat="1">
      <c r="B100" s="2665"/>
      <c r="C100" s="2665"/>
      <c r="D100" s="2665"/>
      <c r="E100" s="2665"/>
      <c r="F100" s="2665"/>
      <c r="G100" s="2666"/>
      <c r="H100" s="2665"/>
      <c r="I100" s="2666"/>
      <c r="J100" s="2665"/>
      <c r="K100" s="2665"/>
      <c r="L100" s="2666"/>
      <c r="M100" s="2665"/>
      <c r="N100" s="2665"/>
      <c r="O100" s="2666"/>
      <c r="P100" s="2665"/>
      <c r="Q100" s="2665"/>
      <c r="R100" s="2667"/>
    </row>
    <row r="101" spans="2:18" s="2216" customFormat="1">
      <c r="B101" s="2665"/>
      <c r="C101" s="2665"/>
      <c r="D101" s="2665"/>
      <c r="E101" s="2665"/>
      <c r="F101" s="2665"/>
      <c r="G101" s="2666"/>
      <c r="H101" s="2665"/>
      <c r="I101" s="2666"/>
      <c r="J101" s="2665"/>
      <c r="K101" s="2665"/>
      <c r="L101" s="2666"/>
      <c r="M101" s="2665"/>
      <c r="N101" s="2665"/>
      <c r="O101" s="2666"/>
      <c r="P101" s="2665"/>
      <c r="Q101" s="2665"/>
      <c r="R101" s="2667"/>
    </row>
    <row r="102" spans="2:18" s="2216" customFormat="1">
      <c r="B102" s="2665"/>
      <c r="C102" s="2665"/>
      <c r="D102" s="2665"/>
      <c r="E102" s="2665"/>
      <c r="F102" s="2665"/>
      <c r="G102" s="2666"/>
      <c r="H102" s="2665"/>
      <c r="I102" s="2666"/>
      <c r="J102" s="2665"/>
      <c r="K102" s="2665"/>
      <c r="L102" s="2666"/>
      <c r="M102" s="2665"/>
      <c r="N102" s="2665"/>
      <c r="O102" s="2666"/>
      <c r="P102" s="2665"/>
      <c r="Q102" s="2665"/>
      <c r="R102" s="2667"/>
    </row>
    <row r="103" spans="2:18" s="2216" customFormat="1">
      <c r="B103" s="2665"/>
      <c r="C103" s="2665"/>
      <c r="D103" s="2665"/>
      <c r="E103" s="2665"/>
      <c r="F103" s="2665"/>
      <c r="G103" s="2666"/>
      <c r="H103" s="2665"/>
      <c r="I103" s="2666"/>
      <c r="J103" s="2665"/>
      <c r="K103" s="2665"/>
      <c r="L103" s="2666"/>
      <c r="M103" s="2665"/>
      <c r="N103" s="2665"/>
      <c r="O103" s="2666"/>
      <c r="P103" s="2665"/>
      <c r="Q103" s="2665"/>
      <c r="R103" s="2667"/>
    </row>
    <row r="104" spans="2:18" s="2216" customFormat="1">
      <c r="B104" s="2665"/>
      <c r="C104" s="2665"/>
      <c r="D104" s="2665"/>
      <c r="E104" s="2665"/>
      <c r="F104" s="2665"/>
      <c r="G104" s="2666"/>
      <c r="H104" s="2665"/>
      <c r="I104" s="2666"/>
      <c r="J104" s="2665"/>
      <c r="K104" s="2665"/>
      <c r="L104" s="2666"/>
      <c r="M104" s="2665"/>
      <c r="N104" s="2665"/>
      <c r="O104" s="2666"/>
      <c r="P104" s="2665"/>
      <c r="Q104" s="2665"/>
      <c r="R104" s="2667"/>
    </row>
    <row r="105" spans="2:18" s="2216" customFormat="1">
      <c r="B105" s="2665"/>
      <c r="C105" s="2665"/>
      <c r="D105" s="2665"/>
      <c r="E105" s="2665"/>
      <c r="F105" s="2665"/>
      <c r="G105" s="2666"/>
      <c r="H105" s="2665"/>
      <c r="I105" s="2666"/>
      <c r="J105" s="2665"/>
      <c r="K105" s="2665"/>
      <c r="L105" s="2666"/>
      <c r="M105" s="2665"/>
      <c r="N105" s="2665"/>
      <c r="O105" s="2666"/>
      <c r="P105" s="2665"/>
      <c r="Q105" s="2665"/>
      <c r="R105" s="2667"/>
    </row>
    <row r="106" spans="2:18" s="2216" customFormat="1">
      <c r="B106" s="2665"/>
      <c r="C106" s="2665"/>
      <c r="D106" s="2665"/>
      <c r="E106" s="2665"/>
      <c r="F106" s="2665"/>
      <c r="G106" s="2666"/>
      <c r="H106" s="2665"/>
      <c r="I106" s="2666"/>
      <c r="J106" s="2665"/>
      <c r="K106" s="2665"/>
      <c r="L106" s="2666"/>
      <c r="M106" s="2665"/>
      <c r="N106" s="2665"/>
      <c r="O106" s="2666"/>
      <c r="P106" s="2665"/>
      <c r="Q106" s="2665"/>
      <c r="R106" s="2667"/>
    </row>
    <row r="107" spans="2:18" s="2216" customFormat="1">
      <c r="B107" s="2665"/>
      <c r="C107" s="2665"/>
      <c r="D107" s="2665"/>
      <c r="E107" s="2665"/>
      <c r="F107" s="2665"/>
      <c r="G107" s="2666"/>
      <c r="H107" s="2665"/>
      <c r="I107" s="2666"/>
      <c r="J107" s="2665"/>
      <c r="K107" s="2665"/>
      <c r="L107" s="2666"/>
      <c r="M107" s="2665"/>
      <c r="N107" s="2665"/>
      <c r="O107" s="2666"/>
      <c r="P107" s="2665"/>
      <c r="Q107" s="2665"/>
      <c r="R107" s="2667"/>
    </row>
    <row r="108" spans="2:18" s="2216" customFormat="1">
      <c r="B108" s="2665"/>
      <c r="C108" s="2665"/>
      <c r="D108" s="2665"/>
      <c r="E108" s="2665"/>
      <c r="F108" s="2665"/>
      <c r="G108" s="2666"/>
      <c r="H108" s="2665"/>
      <c r="I108" s="2666"/>
      <c r="J108" s="2665"/>
      <c r="K108" s="2665"/>
      <c r="L108" s="2666"/>
      <c r="M108" s="2665"/>
      <c r="N108" s="2665"/>
      <c r="O108" s="2666"/>
      <c r="P108" s="2665"/>
      <c r="Q108" s="2665"/>
      <c r="R108" s="2667"/>
    </row>
    <row r="109" spans="2:18" s="2216" customFormat="1">
      <c r="B109" s="2665"/>
      <c r="C109" s="2665"/>
      <c r="D109" s="2665"/>
      <c r="E109" s="2665"/>
      <c r="F109" s="2665"/>
      <c r="G109" s="2666"/>
      <c r="H109" s="2665"/>
      <c r="I109" s="2666"/>
      <c r="J109" s="2665"/>
      <c r="K109" s="2665"/>
      <c r="L109" s="2666"/>
      <c r="M109" s="2665"/>
      <c r="N109" s="2665"/>
      <c r="O109" s="2666"/>
      <c r="P109" s="2665"/>
      <c r="Q109" s="2665"/>
      <c r="R109" s="2667"/>
    </row>
    <row r="110" spans="2:18" s="2216" customFormat="1">
      <c r="B110" s="2665"/>
      <c r="C110" s="2665"/>
      <c r="D110" s="2665"/>
      <c r="E110" s="2665"/>
      <c r="F110" s="2665"/>
      <c r="G110" s="2666"/>
      <c r="H110" s="2665"/>
      <c r="I110" s="2666"/>
      <c r="J110" s="2665"/>
      <c r="K110" s="2665"/>
      <c r="L110" s="2666"/>
      <c r="M110" s="2665"/>
      <c r="N110" s="2665"/>
      <c r="O110" s="2666"/>
      <c r="P110" s="2665"/>
      <c r="Q110" s="2665"/>
      <c r="R110" s="2667"/>
    </row>
    <row r="111" spans="2:18" s="2216" customFormat="1">
      <c r="B111" s="2665"/>
      <c r="C111" s="2665"/>
      <c r="D111" s="2665"/>
      <c r="E111" s="2665"/>
      <c r="F111" s="2665"/>
      <c r="G111" s="2666"/>
      <c r="H111" s="2665"/>
      <c r="I111" s="2666"/>
      <c r="J111" s="2665"/>
      <c r="K111" s="2665"/>
      <c r="L111" s="2666"/>
      <c r="M111" s="2665"/>
      <c r="N111" s="2665"/>
      <c r="O111" s="2666"/>
      <c r="P111" s="2665"/>
      <c r="Q111" s="2665"/>
      <c r="R111" s="2667"/>
    </row>
    <row r="112" spans="2:18" s="2216" customFormat="1">
      <c r="B112" s="2665"/>
      <c r="C112" s="2665"/>
      <c r="D112" s="2665"/>
      <c r="E112" s="2665"/>
      <c r="F112" s="2665"/>
      <c r="G112" s="2666"/>
      <c r="H112" s="2665"/>
      <c r="I112" s="2666"/>
      <c r="J112" s="2665"/>
      <c r="K112" s="2665"/>
      <c r="L112" s="2666"/>
      <c r="M112" s="2665"/>
      <c r="N112" s="2665"/>
      <c r="O112" s="2666"/>
      <c r="P112" s="2665"/>
      <c r="Q112" s="2665"/>
      <c r="R112" s="2667"/>
    </row>
    <row r="113" spans="2:18" s="2216" customFormat="1">
      <c r="B113" s="2665"/>
      <c r="C113" s="2665"/>
      <c r="D113" s="2665"/>
      <c r="E113" s="2665"/>
      <c r="F113" s="2665"/>
      <c r="G113" s="2666"/>
      <c r="H113" s="2665"/>
      <c r="I113" s="2666"/>
      <c r="J113" s="2665"/>
      <c r="K113" s="2665"/>
      <c r="L113" s="2666"/>
      <c r="M113" s="2665"/>
      <c r="N113" s="2665"/>
      <c r="O113" s="2666"/>
      <c r="P113" s="2665"/>
      <c r="Q113" s="2665"/>
      <c r="R113" s="2667"/>
    </row>
    <row r="114" spans="2:18" s="2216" customFormat="1">
      <c r="B114" s="2665"/>
      <c r="C114" s="2665"/>
      <c r="D114" s="2665"/>
      <c r="E114" s="2665"/>
      <c r="F114" s="2665"/>
      <c r="G114" s="2666"/>
      <c r="H114" s="2665"/>
      <c r="I114" s="2666"/>
      <c r="J114" s="2665"/>
      <c r="K114" s="2665"/>
      <c r="L114" s="2666"/>
      <c r="M114" s="2665"/>
      <c r="N114" s="2665"/>
      <c r="O114" s="2666"/>
      <c r="P114" s="2665"/>
      <c r="Q114" s="2665"/>
      <c r="R114" s="2667"/>
    </row>
    <row r="115" spans="2:18" s="2216" customFormat="1">
      <c r="B115" s="2665"/>
      <c r="C115" s="2665"/>
      <c r="D115" s="2665"/>
      <c r="E115" s="2665"/>
      <c r="F115" s="2665"/>
      <c r="G115" s="2666"/>
      <c r="H115" s="2665"/>
      <c r="I115" s="2666"/>
      <c r="J115" s="2665"/>
      <c r="K115" s="2665"/>
      <c r="L115" s="2666"/>
      <c r="M115" s="2665"/>
      <c r="N115" s="2665"/>
      <c r="O115" s="2666"/>
      <c r="P115" s="2665"/>
      <c r="Q115" s="2665"/>
      <c r="R115" s="2667"/>
    </row>
    <row r="116" spans="2:18" s="2216" customFormat="1">
      <c r="B116" s="2665"/>
      <c r="C116" s="2665"/>
      <c r="D116" s="2665"/>
      <c r="E116" s="2665"/>
      <c r="F116" s="2665"/>
      <c r="G116" s="2666"/>
      <c r="H116" s="2665"/>
      <c r="I116" s="2666"/>
      <c r="J116" s="2665"/>
      <c r="K116" s="2665"/>
      <c r="L116" s="2666"/>
      <c r="M116" s="2665"/>
      <c r="N116" s="2665"/>
      <c r="O116" s="2666"/>
      <c r="P116" s="2665"/>
      <c r="Q116" s="2665"/>
      <c r="R116" s="2667"/>
    </row>
    <row r="117" spans="2:18" s="2216" customFormat="1">
      <c r="B117" s="2665"/>
      <c r="C117" s="2665"/>
      <c r="D117" s="2665"/>
      <c r="E117" s="2665"/>
      <c r="F117" s="2665"/>
      <c r="G117" s="2666"/>
      <c r="H117" s="2665"/>
      <c r="I117" s="2666"/>
      <c r="J117" s="2665"/>
      <c r="K117" s="2665"/>
      <c r="L117" s="2666"/>
      <c r="M117" s="2665"/>
      <c r="N117" s="2665"/>
      <c r="O117" s="2666"/>
      <c r="P117" s="2665"/>
      <c r="Q117" s="2665"/>
      <c r="R117" s="2667"/>
    </row>
    <row r="118" spans="2:18" s="2216" customFormat="1">
      <c r="B118" s="2665"/>
      <c r="C118" s="2665"/>
      <c r="D118" s="2665"/>
      <c r="E118" s="2665"/>
      <c r="F118" s="2665"/>
      <c r="G118" s="2666"/>
      <c r="H118" s="2665"/>
      <c r="I118" s="2666"/>
      <c r="J118" s="2665"/>
      <c r="K118" s="2665"/>
      <c r="L118" s="2666"/>
      <c r="M118" s="2665"/>
      <c r="N118" s="2665"/>
      <c r="O118" s="2666"/>
      <c r="P118" s="2665"/>
      <c r="Q118" s="2665"/>
      <c r="R118" s="2667"/>
    </row>
    <row r="119" spans="2:18" s="2216" customFormat="1">
      <c r="B119" s="2665"/>
      <c r="C119" s="2665"/>
      <c r="D119" s="2665"/>
      <c r="E119" s="2665"/>
      <c r="F119" s="2665"/>
      <c r="G119" s="2666"/>
      <c r="H119" s="2665"/>
      <c r="I119" s="2666"/>
      <c r="J119" s="2665"/>
      <c r="K119" s="2665"/>
      <c r="L119" s="2666"/>
      <c r="M119" s="2665"/>
      <c r="N119" s="2665"/>
      <c r="O119" s="2666"/>
      <c r="P119" s="2665"/>
      <c r="Q119" s="2665"/>
      <c r="R119" s="2667"/>
    </row>
    <row r="120" spans="2:18" s="2216" customFormat="1">
      <c r="B120" s="2665"/>
      <c r="C120" s="2665"/>
      <c r="D120" s="2665"/>
      <c r="E120" s="2665"/>
      <c r="F120" s="2665"/>
      <c r="G120" s="2666"/>
      <c r="H120" s="2665"/>
      <c r="I120" s="2666"/>
      <c r="J120" s="2665"/>
      <c r="K120" s="2665"/>
      <c r="L120" s="2666"/>
      <c r="M120" s="2665"/>
      <c r="N120" s="2665"/>
      <c r="O120" s="2666"/>
      <c r="P120" s="2665"/>
      <c r="Q120" s="2665"/>
      <c r="R120" s="2667"/>
    </row>
    <row r="121" spans="2:18" s="2216" customFormat="1">
      <c r="B121" s="2665"/>
      <c r="C121" s="2665"/>
      <c r="D121" s="2665"/>
      <c r="E121" s="2665"/>
      <c r="F121" s="2665"/>
      <c r="G121" s="2666"/>
      <c r="H121" s="2665"/>
      <c r="I121" s="2666"/>
      <c r="J121" s="2665"/>
      <c r="K121" s="2665"/>
      <c r="L121" s="2666"/>
      <c r="M121" s="2665"/>
      <c r="N121" s="2665"/>
      <c r="O121" s="2666"/>
      <c r="P121" s="2665"/>
      <c r="Q121" s="2665"/>
      <c r="R121" s="2667"/>
    </row>
    <row r="122" spans="2:18" s="2216" customFormat="1">
      <c r="B122" s="2665"/>
      <c r="C122" s="2665"/>
      <c r="D122" s="2665"/>
      <c r="E122" s="2665"/>
      <c r="F122" s="2665"/>
      <c r="G122" s="2666"/>
      <c r="H122" s="2665"/>
      <c r="I122" s="2666"/>
      <c r="J122" s="2665"/>
      <c r="K122" s="2665"/>
      <c r="L122" s="2666"/>
      <c r="M122" s="2665"/>
      <c r="N122" s="2665"/>
      <c r="O122" s="2666"/>
      <c r="P122" s="2665"/>
      <c r="Q122" s="2665"/>
      <c r="R122" s="2667"/>
    </row>
    <row r="123" spans="2:18" s="2216" customFormat="1">
      <c r="B123" s="2665"/>
      <c r="C123" s="2665"/>
      <c r="D123" s="2665"/>
      <c r="E123" s="2665"/>
      <c r="F123" s="2665"/>
      <c r="G123" s="2666"/>
      <c r="H123" s="2665"/>
      <c r="I123" s="2666"/>
      <c r="J123" s="2665"/>
      <c r="K123" s="2665"/>
      <c r="L123" s="2666"/>
      <c r="M123" s="2665"/>
      <c r="N123" s="2665"/>
      <c r="O123" s="2666"/>
      <c r="P123" s="2665"/>
      <c r="Q123" s="2665"/>
      <c r="R123" s="2667"/>
    </row>
    <row r="124" spans="2:18" s="2216" customFormat="1">
      <c r="B124" s="2665"/>
      <c r="C124" s="2665"/>
      <c r="D124" s="2665"/>
      <c r="E124" s="2665"/>
      <c r="F124" s="2665"/>
      <c r="G124" s="2666"/>
      <c r="H124" s="2665"/>
      <c r="I124" s="2666"/>
      <c r="J124" s="2665"/>
      <c r="K124" s="2665"/>
      <c r="L124" s="2666"/>
      <c r="M124" s="2665"/>
      <c r="N124" s="2665"/>
      <c r="O124" s="2666"/>
      <c r="P124" s="2665"/>
      <c r="Q124" s="2665"/>
      <c r="R124" s="2667"/>
    </row>
    <row r="125" spans="2:18" s="2216" customFormat="1">
      <c r="B125" s="2665"/>
      <c r="C125" s="2665"/>
      <c r="D125" s="2665"/>
      <c r="E125" s="2665"/>
      <c r="F125" s="2665"/>
      <c r="G125" s="2666"/>
      <c r="H125" s="2665"/>
      <c r="I125" s="2666"/>
      <c r="J125" s="2665"/>
      <c r="K125" s="2665"/>
      <c r="L125" s="2666"/>
      <c r="M125" s="2665"/>
      <c r="N125" s="2665"/>
      <c r="O125" s="2666"/>
      <c r="P125" s="2665"/>
      <c r="Q125" s="2665"/>
      <c r="R125" s="2667"/>
    </row>
    <row r="126" spans="2:18" s="2216" customFormat="1">
      <c r="B126" s="2665"/>
      <c r="C126" s="2665"/>
      <c r="D126" s="2665"/>
      <c r="E126" s="2665"/>
      <c r="F126" s="2665"/>
      <c r="G126" s="2666"/>
      <c r="H126" s="2665"/>
      <c r="I126" s="2666"/>
      <c r="J126" s="2665"/>
      <c r="K126" s="2665"/>
      <c r="L126" s="2666"/>
      <c r="M126" s="2665"/>
      <c r="N126" s="2665"/>
      <c r="O126" s="2666"/>
      <c r="P126" s="2665"/>
      <c r="Q126" s="2665"/>
      <c r="R126" s="2667"/>
    </row>
    <row r="127" spans="2:18" s="2216" customFormat="1">
      <c r="B127" s="2665"/>
      <c r="C127" s="2665"/>
      <c r="D127" s="2665"/>
      <c r="E127" s="2665"/>
      <c r="F127" s="2665"/>
      <c r="G127" s="2666"/>
      <c r="H127" s="2665"/>
      <c r="I127" s="2666"/>
      <c r="J127" s="2665"/>
      <c r="K127" s="2665"/>
      <c r="L127" s="2666"/>
      <c r="M127" s="2665"/>
      <c r="N127" s="2665"/>
      <c r="O127" s="2666"/>
      <c r="P127" s="2665"/>
      <c r="Q127" s="2665"/>
      <c r="R127" s="2667"/>
    </row>
    <row r="128" spans="2:18" s="2216" customFormat="1">
      <c r="B128" s="2665"/>
      <c r="C128" s="2665"/>
      <c r="D128" s="2665"/>
      <c r="E128" s="2665"/>
      <c r="F128" s="2665"/>
      <c r="G128" s="2666"/>
      <c r="H128" s="2665"/>
      <c r="I128" s="2666"/>
      <c r="J128" s="2665"/>
      <c r="K128" s="2665"/>
      <c r="L128" s="2666"/>
      <c r="M128" s="2665"/>
      <c r="N128" s="2665"/>
      <c r="O128" s="2666"/>
      <c r="P128" s="2665"/>
      <c r="Q128" s="2665"/>
      <c r="R128" s="2667"/>
    </row>
    <row r="129" spans="2:18" s="2216" customFormat="1">
      <c r="B129" s="2665"/>
      <c r="C129" s="2665"/>
      <c r="D129" s="2665"/>
      <c r="E129" s="2665"/>
      <c r="F129" s="2665"/>
      <c r="G129" s="2666"/>
      <c r="H129" s="2665"/>
      <c r="I129" s="2666"/>
      <c r="J129" s="2665"/>
      <c r="K129" s="2665"/>
      <c r="L129" s="2666"/>
      <c r="M129" s="2665"/>
      <c r="N129" s="2665"/>
      <c r="O129" s="2666"/>
      <c r="P129" s="2665"/>
      <c r="Q129" s="2665"/>
      <c r="R129" s="2667"/>
    </row>
    <row r="130" spans="2:18" s="2216" customFormat="1">
      <c r="B130" s="2665"/>
      <c r="C130" s="2665"/>
      <c r="D130" s="2665"/>
      <c r="E130" s="2665"/>
      <c r="F130" s="2665"/>
      <c r="G130" s="2666"/>
      <c r="H130" s="2665"/>
      <c r="I130" s="2666"/>
      <c r="J130" s="2665"/>
      <c r="K130" s="2665"/>
      <c r="L130" s="2666"/>
      <c r="M130" s="2665"/>
      <c r="N130" s="2665"/>
      <c r="O130" s="2666"/>
      <c r="P130" s="2665"/>
      <c r="Q130" s="2665"/>
      <c r="R130" s="2667"/>
    </row>
    <row r="131" spans="2:18" s="2216" customFormat="1">
      <c r="B131" s="2665"/>
      <c r="C131" s="2665"/>
      <c r="D131" s="2665"/>
      <c r="E131" s="2665"/>
      <c r="F131" s="2665"/>
      <c r="G131" s="2666"/>
      <c r="H131" s="2665"/>
      <c r="I131" s="2666"/>
      <c r="J131" s="2665"/>
      <c r="K131" s="2665"/>
      <c r="L131" s="2666"/>
      <c r="M131" s="2665"/>
      <c r="N131" s="2665"/>
      <c r="O131" s="2666"/>
      <c r="P131" s="2665"/>
      <c r="Q131" s="2665"/>
      <c r="R131" s="2667"/>
    </row>
    <row r="132" spans="2:18" s="2216" customFormat="1">
      <c r="B132" s="2665"/>
      <c r="C132" s="2665"/>
      <c r="D132" s="2665"/>
      <c r="E132" s="2665"/>
      <c r="F132" s="2665"/>
      <c r="G132" s="2666"/>
      <c r="H132" s="2665"/>
      <c r="I132" s="2666"/>
      <c r="J132" s="2665"/>
      <c r="K132" s="2665"/>
      <c r="L132" s="2666"/>
      <c r="M132" s="2665"/>
      <c r="N132" s="2665"/>
      <c r="O132" s="2666"/>
      <c r="P132" s="2665"/>
      <c r="Q132" s="2665"/>
      <c r="R132" s="2667"/>
    </row>
    <row r="133" spans="2:18" s="2216" customFormat="1">
      <c r="B133" s="2665"/>
      <c r="C133" s="2665"/>
      <c r="D133" s="2665"/>
      <c r="E133" s="2665"/>
      <c r="F133" s="2665"/>
      <c r="G133" s="2666"/>
      <c r="H133" s="2665"/>
      <c r="I133" s="2666"/>
      <c r="J133" s="2665"/>
      <c r="K133" s="2665"/>
      <c r="L133" s="2666"/>
      <c r="M133" s="2665"/>
      <c r="N133" s="2665"/>
      <c r="O133" s="2666"/>
      <c r="P133" s="2665"/>
      <c r="Q133" s="2665"/>
      <c r="R133" s="2667"/>
    </row>
    <row r="134" spans="2:18" s="2216" customFormat="1">
      <c r="B134" s="2665"/>
      <c r="C134" s="2665"/>
      <c r="D134" s="2665"/>
      <c r="E134" s="2665"/>
      <c r="F134" s="2665"/>
      <c r="G134" s="2666"/>
      <c r="H134" s="2665"/>
      <c r="I134" s="2666"/>
      <c r="J134" s="2665"/>
      <c r="K134" s="2665"/>
      <c r="L134" s="2666"/>
      <c r="M134" s="2665"/>
      <c r="N134" s="2665"/>
      <c r="O134" s="2666"/>
      <c r="P134" s="2665"/>
      <c r="Q134" s="2665"/>
      <c r="R134" s="2667"/>
    </row>
    <row r="135" spans="2:18" s="2216" customFormat="1">
      <c r="B135" s="2665"/>
      <c r="C135" s="2665"/>
      <c r="D135" s="2665"/>
      <c r="E135" s="2665"/>
      <c r="F135" s="2665"/>
      <c r="G135" s="2666"/>
      <c r="H135" s="2665"/>
      <c r="I135" s="2666"/>
      <c r="J135" s="2665"/>
      <c r="K135" s="2665"/>
      <c r="L135" s="2666"/>
      <c r="M135" s="2665"/>
      <c r="N135" s="2665"/>
      <c r="O135" s="2666"/>
      <c r="P135" s="2665"/>
      <c r="Q135" s="2665"/>
      <c r="R135" s="2667"/>
    </row>
    <row r="136" spans="2:18" s="2216" customFormat="1">
      <c r="B136" s="2665"/>
      <c r="C136" s="2665"/>
      <c r="D136" s="2665"/>
      <c r="E136" s="2665"/>
      <c r="F136" s="2665"/>
      <c r="G136" s="2666"/>
      <c r="H136" s="2665"/>
      <c r="I136" s="2666"/>
      <c r="J136" s="2665"/>
      <c r="K136" s="2665"/>
      <c r="L136" s="2666"/>
      <c r="M136" s="2665"/>
      <c r="N136" s="2665"/>
      <c r="O136" s="2666"/>
      <c r="P136" s="2665"/>
      <c r="Q136" s="2665"/>
      <c r="R136" s="2667"/>
    </row>
    <row r="137" spans="2:18" s="2216" customFormat="1">
      <c r="B137" s="2665"/>
      <c r="C137" s="2665"/>
      <c r="D137" s="2665"/>
      <c r="E137" s="2665"/>
      <c r="F137" s="2665"/>
      <c r="G137" s="2666"/>
      <c r="H137" s="2665"/>
      <c r="I137" s="2666"/>
      <c r="J137" s="2665"/>
      <c r="K137" s="2665"/>
      <c r="L137" s="2666"/>
      <c r="M137" s="2665"/>
      <c r="N137" s="2665"/>
      <c r="O137" s="2666"/>
      <c r="P137" s="2665"/>
      <c r="Q137" s="2665"/>
      <c r="R137" s="2667"/>
    </row>
    <row r="138" spans="2:18" s="2216" customFormat="1">
      <c r="B138" s="2665"/>
      <c r="C138" s="2665"/>
      <c r="D138" s="2665"/>
      <c r="E138" s="2665"/>
      <c r="F138" s="2665"/>
      <c r="G138" s="2666"/>
      <c r="H138" s="2665"/>
      <c r="I138" s="2666"/>
      <c r="J138" s="2665"/>
      <c r="K138" s="2665"/>
      <c r="L138" s="2666"/>
      <c r="M138" s="2665"/>
      <c r="N138" s="2665"/>
      <c r="O138" s="2666"/>
      <c r="P138" s="2665"/>
      <c r="Q138" s="2665"/>
      <c r="R138" s="2667"/>
    </row>
    <row r="139" spans="2:18" s="2216" customFormat="1">
      <c r="B139" s="2665"/>
      <c r="C139" s="2665"/>
      <c r="D139" s="2665"/>
      <c r="E139" s="2665"/>
      <c r="F139" s="2665"/>
      <c r="G139" s="2666"/>
      <c r="H139" s="2665"/>
      <c r="I139" s="2666"/>
      <c r="J139" s="2665"/>
      <c r="K139" s="2665"/>
      <c r="L139" s="2666"/>
      <c r="M139" s="2665"/>
      <c r="N139" s="2665"/>
      <c r="O139" s="2666"/>
      <c r="P139" s="2665"/>
      <c r="Q139" s="2665"/>
      <c r="R139" s="2667"/>
    </row>
    <row r="140" spans="2:18" s="2216" customFormat="1">
      <c r="B140" s="2665"/>
      <c r="C140" s="2665"/>
      <c r="D140" s="2665"/>
      <c r="E140" s="2665"/>
      <c r="F140" s="2665"/>
      <c r="G140" s="2666"/>
      <c r="H140" s="2665"/>
      <c r="I140" s="2666"/>
      <c r="J140" s="2665"/>
      <c r="K140" s="2665"/>
      <c r="L140" s="2666"/>
      <c r="M140" s="2665"/>
      <c r="N140" s="2665"/>
      <c r="O140" s="2666"/>
      <c r="P140" s="2665"/>
      <c r="Q140" s="2665"/>
      <c r="R140" s="2667"/>
    </row>
    <row r="141" spans="2:18" s="2216" customFormat="1">
      <c r="B141" s="2665"/>
      <c r="C141" s="2665"/>
      <c r="D141" s="2665"/>
      <c r="E141" s="2665"/>
      <c r="F141" s="2665"/>
      <c r="G141" s="2666"/>
      <c r="H141" s="2665"/>
      <c r="I141" s="2666"/>
      <c r="J141" s="2665"/>
      <c r="K141" s="2665"/>
      <c r="L141" s="2666"/>
      <c r="M141" s="2665"/>
      <c r="N141" s="2665"/>
      <c r="O141" s="2666"/>
      <c r="P141" s="2665"/>
      <c r="Q141" s="2665"/>
      <c r="R141" s="2667"/>
    </row>
    <row r="142" spans="2:18" s="2216" customFormat="1">
      <c r="B142" s="2665"/>
      <c r="C142" s="2665"/>
      <c r="D142" s="2665"/>
      <c r="E142" s="2665"/>
      <c r="F142" s="2665"/>
      <c r="G142" s="2666"/>
      <c r="H142" s="2665"/>
      <c r="I142" s="2666"/>
      <c r="J142" s="2665"/>
      <c r="K142" s="2665"/>
      <c r="L142" s="2666"/>
      <c r="M142" s="2665"/>
      <c r="N142" s="2665"/>
      <c r="O142" s="2666"/>
      <c r="P142" s="2665"/>
      <c r="Q142" s="2665"/>
      <c r="R142" s="2667"/>
    </row>
    <row r="143" spans="2:18" s="2216" customFormat="1">
      <c r="B143" s="2665"/>
      <c r="C143" s="2665"/>
      <c r="D143" s="2665"/>
      <c r="E143" s="2665"/>
      <c r="F143" s="2665"/>
      <c r="G143" s="2666"/>
      <c r="H143" s="2665"/>
      <c r="I143" s="2666"/>
      <c r="J143" s="2665"/>
      <c r="K143" s="2665"/>
      <c r="L143" s="2666"/>
      <c r="M143" s="2665"/>
      <c r="N143" s="2665"/>
      <c r="O143" s="2666"/>
      <c r="P143" s="2665"/>
      <c r="Q143" s="2665"/>
      <c r="R143" s="2667"/>
    </row>
    <row r="144" spans="2:18" s="2216" customFormat="1">
      <c r="B144" s="2665"/>
      <c r="C144" s="2665"/>
      <c r="D144" s="2665"/>
      <c r="E144" s="2665"/>
      <c r="F144" s="2665"/>
      <c r="G144" s="2666"/>
      <c r="H144" s="2665"/>
      <c r="I144" s="2666"/>
      <c r="J144" s="2665"/>
      <c r="K144" s="2665"/>
      <c r="L144" s="2666"/>
      <c r="M144" s="2665"/>
      <c r="N144" s="2665"/>
      <c r="O144" s="2666"/>
      <c r="P144" s="2665"/>
      <c r="Q144" s="2665"/>
      <c r="R144" s="2667"/>
    </row>
    <row r="145" spans="2:18" s="2216" customFormat="1">
      <c r="B145" s="2665"/>
      <c r="C145" s="2665"/>
      <c r="D145" s="2665"/>
      <c r="E145" s="2665"/>
      <c r="F145" s="2665"/>
      <c r="G145" s="2666"/>
      <c r="H145" s="2665"/>
      <c r="I145" s="2666"/>
      <c r="J145" s="2665"/>
      <c r="K145" s="2665"/>
      <c r="L145" s="2666"/>
      <c r="M145" s="2665"/>
      <c r="N145" s="2665"/>
      <c r="O145" s="2666"/>
      <c r="P145" s="2665"/>
      <c r="Q145" s="2665"/>
      <c r="R145" s="2667"/>
    </row>
    <row r="146" spans="2:18" s="2216" customFormat="1">
      <c r="B146" s="2665"/>
      <c r="C146" s="2665"/>
      <c r="D146" s="2665"/>
      <c r="E146" s="2665"/>
      <c r="F146" s="2665"/>
      <c r="G146" s="2666"/>
      <c r="H146" s="2665"/>
      <c r="I146" s="2666"/>
      <c r="J146" s="2665"/>
      <c r="K146" s="2665"/>
      <c r="L146" s="2666"/>
      <c r="M146" s="2665"/>
      <c r="N146" s="2665"/>
      <c r="O146" s="2666"/>
      <c r="P146" s="2665"/>
      <c r="Q146" s="2665"/>
      <c r="R146" s="2667"/>
    </row>
    <row r="147" spans="2:18" s="2216" customFormat="1">
      <c r="B147" s="2665"/>
      <c r="C147" s="2665"/>
      <c r="D147" s="2665"/>
      <c r="E147" s="2665"/>
      <c r="F147" s="2665"/>
      <c r="G147" s="2666"/>
      <c r="H147" s="2665"/>
      <c r="I147" s="2666"/>
      <c r="J147" s="2665"/>
      <c r="K147" s="2665"/>
      <c r="L147" s="2666"/>
      <c r="M147" s="2665"/>
      <c r="N147" s="2665"/>
      <c r="O147" s="2666"/>
      <c r="P147" s="2665"/>
      <c r="Q147" s="2665"/>
      <c r="R147" s="2667"/>
    </row>
    <row r="148" spans="2:18" s="2216" customFormat="1">
      <c r="B148" s="2665"/>
      <c r="C148" s="2665"/>
      <c r="D148" s="2665"/>
      <c r="E148" s="2665"/>
      <c r="F148" s="2665"/>
      <c r="G148" s="2666"/>
      <c r="H148" s="2665"/>
      <c r="I148" s="2666"/>
      <c r="J148" s="2665"/>
      <c r="K148" s="2665"/>
      <c r="L148" s="2666"/>
      <c r="M148" s="2665"/>
      <c r="N148" s="2665"/>
      <c r="O148" s="2666"/>
      <c r="P148" s="2665"/>
      <c r="Q148" s="2665"/>
      <c r="R148" s="2667"/>
    </row>
    <row r="149" spans="2:18" s="2216" customFormat="1">
      <c r="B149" s="2665"/>
      <c r="C149" s="2665"/>
      <c r="D149" s="2665"/>
      <c r="E149" s="2665"/>
      <c r="F149" s="2665"/>
      <c r="G149" s="2666"/>
      <c r="H149" s="2665"/>
      <c r="I149" s="2666"/>
      <c r="J149" s="2665"/>
      <c r="K149" s="2665"/>
      <c r="L149" s="2666"/>
      <c r="M149" s="2665"/>
      <c r="N149" s="2665"/>
      <c r="O149" s="2666"/>
      <c r="P149" s="2665"/>
      <c r="Q149" s="2665"/>
      <c r="R149" s="2667"/>
    </row>
    <row r="150" spans="2:18" s="2216" customFormat="1">
      <c r="B150" s="2665"/>
      <c r="C150" s="2665"/>
      <c r="D150" s="2665"/>
      <c r="E150" s="2665"/>
      <c r="F150" s="2665"/>
      <c r="G150" s="2666"/>
      <c r="H150" s="2665"/>
      <c r="I150" s="2666"/>
      <c r="J150" s="2665"/>
      <c r="K150" s="2665"/>
      <c r="L150" s="2666"/>
      <c r="M150" s="2665"/>
      <c r="N150" s="2665"/>
      <c r="O150" s="2666"/>
      <c r="P150" s="2665"/>
      <c r="Q150" s="2665"/>
      <c r="R150" s="2667"/>
    </row>
    <row r="151" spans="2:18" s="2216" customFormat="1">
      <c r="B151" s="2665"/>
      <c r="C151" s="2665"/>
      <c r="D151" s="2665"/>
      <c r="E151" s="2665"/>
      <c r="F151" s="2665"/>
      <c r="G151" s="2666"/>
      <c r="H151" s="2665"/>
      <c r="I151" s="2666"/>
      <c r="J151" s="2665"/>
      <c r="K151" s="2665"/>
      <c r="L151" s="2666"/>
      <c r="M151" s="2665"/>
      <c r="N151" s="2665"/>
      <c r="O151" s="2666"/>
      <c r="P151" s="2665"/>
      <c r="Q151" s="2665"/>
      <c r="R151" s="2667"/>
    </row>
    <row r="152" spans="2:18" s="2216" customFormat="1">
      <c r="B152" s="2665"/>
      <c r="C152" s="2665"/>
      <c r="D152" s="2665"/>
      <c r="E152" s="2665"/>
      <c r="F152" s="2665"/>
      <c r="G152" s="2666"/>
      <c r="H152" s="2665"/>
      <c r="I152" s="2666"/>
      <c r="J152" s="2665"/>
      <c r="K152" s="2665"/>
      <c r="L152" s="2666"/>
      <c r="M152" s="2665"/>
      <c r="N152" s="2665"/>
      <c r="O152" s="2666"/>
      <c r="P152" s="2665"/>
      <c r="Q152" s="2665"/>
      <c r="R152" s="2667"/>
    </row>
    <row r="153" spans="2:18" s="2216" customFormat="1">
      <c r="B153" s="2665"/>
      <c r="C153" s="2665"/>
      <c r="D153" s="2665"/>
      <c r="E153" s="2665"/>
      <c r="F153" s="2665"/>
      <c r="G153" s="2666"/>
      <c r="H153" s="2665"/>
      <c r="I153" s="2666"/>
      <c r="J153" s="2665"/>
      <c r="K153" s="2665"/>
      <c r="L153" s="2666"/>
      <c r="M153" s="2665"/>
      <c r="N153" s="2665"/>
      <c r="O153" s="2666"/>
      <c r="P153" s="2665"/>
      <c r="Q153" s="2665"/>
      <c r="R153" s="2667"/>
    </row>
    <row r="154" spans="2:18" s="2216" customFormat="1">
      <c r="B154" s="2665"/>
      <c r="C154" s="2665"/>
      <c r="D154" s="2665"/>
      <c r="E154" s="2665"/>
      <c r="F154" s="2665"/>
      <c r="G154" s="2666"/>
      <c r="H154" s="2665"/>
      <c r="I154" s="2666"/>
      <c r="J154" s="2665"/>
      <c r="K154" s="2665"/>
      <c r="L154" s="2666"/>
      <c r="M154" s="2665"/>
      <c r="N154" s="2665"/>
      <c r="O154" s="2666"/>
      <c r="P154" s="2665"/>
      <c r="Q154" s="2665"/>
      <c r="R154" s="2667"/>
    </row>
    <row r="155" spans="2:18" s="2216" customFormat="1">
      <c r="B155" s="2665"/>
      <c r="C155" s="2665"/>
      <c r="D155" s="2665"/>
      <c r="E155" s="2665"/>
      <c r="F155" s="2665"/>
      <c r="G155" s="2666"/>
      <c r="H155" s="2665"/>
      <c r="I155" s="2666"/>
      <c r="J155" s="2665"/>
      <c r="K155" s="2665"/>
      <c r="L155" s="2666"/>
      <c r="M155" s="2665"/>
      <c r="N155" s="2665"/>
      <c r="O155" s="2666"/>
      <c r="P155" s="2665"/>
      <c r="Q155" s="2665"/>
      <c r="R155" s="2667"/>
    </row>
    <row r="156" spans="2:18" s="2216" customFormat="1">
      <c r="B156" s="2665"/>
      <c r="C156" s="2665"/>
      <c r="D156" s="2665"/>
      <c r="E156" s="2665"/>
      <c r="F156" s="2665"/>
      <c r="G156" s="2666"/>
      <c r="H156" s="2665"/>
      <c r="I156" s="2666"/>
      <c r="J156" s="2665"/>
      <c r="K156" s="2665"/>
      <c r="L156" s="2666"/>
      <c r="M156" s="2665"/>
      <c r="N156" s="2665"/>
      <c r="O156" s="2666"/>
      <c r="P156" s="2665"/>
      <c r="Q156" s="2665"/>
      <c r="R156" s="2667"/>
    </row>
    <row r="157" spans="2:18" s="2216" customFormat="1">
      <c r="B157" s="2665"/>
      <c r="C157" s="2665"/>
      <c r="D157" s="2665"/>
      <c r="E157" s="2665"/>
      <c r="F157" s="2665"/>
      <c r="G157" s="2666"/>
      <c r="H157" s="2665"/>
      <c r="I157" s="2666"/>
      <c r="J157" s="2665"/>
      <c r="K157" s="2665"/>
      <c r="L157" s="2666"/>
      <c r="M157" s="2665"/>
      <c r="N157" s="2665"/>
      <c r="O157" s="2666"/>
      <c r="P157" s="2665"/>
      <c r="Q157" s="2665"/>
      <c r="R157" s="2667"/>
    </row>
    <row r="158" spans="2:18" s="2216" customFormat="1">
      <c r="B158" s="2665"/>
      <c r="C158" s="2665"/>
      <c r="D158" s="2665"/>
      <c r="E158" s="2665"/>
      <c r="F158" s="2665"/>
      <c r="G158" s="2666"/>
      <c r="H158" s="2665"/>
      <c r="I158" s="2666"/>
      <c r="J158" s="2665"/>
      <c r="K158" s="2665"/>
      <c r="L158" s="2666"/>
      <c r="M158" s="2665"/>
      <c r="N158" s="2665"/>
      <c r="O158" s="2666"/>
      <c r="P158" s="2665"/>
      <c r="Q158" s="2665"/>
      <c r="R158" s="2667"/>
    </row>
    <row r="159" spans="2:18" s="2216" customFormat="1">
      <c r="B159" s="2665"/>
      <c r="C159" s="2665"/>
      <c r="D159" s="2665"/>
      <c r="E159" s="2665"/>
      <c r="F159" s="2665"/>
      <c r="G159" s="2666"/>
      <c r="H159" s="2665"/>
      <c r="I159" s="2666"/>
      <c r="J159" s="2665"/>
      <c r="K159" s="2665"/>
      <c r="L159" s="2666"/>
      <c r="M159" s="2665"/>
      <c r="N159" s="2665"/>
      <c r="O159" s="2666"/>
      <c r="P159" s="2665"/>
      <c r="Q159" s="2665"/>
      <c r="R159" s="2667"/>
    </row>
    <row r="160" spans="2:18" s="2216" customFormat="1">
      <c r="B160" s="2665"/>
      <c r="C160" s="2665"/>
      <c r="D160" s="2665"/>
      <c r="E160" s="2665"/>
      <c r="F160" s="2665"/>
      <c r="G160" s="2666"/>
      <c r="H160" s="2665"/>
      <c r="I160" s="2666"/>
      <c r="J160" s="2665"/>
      <c r="K160" s="2665"/>
      <c r="L160" s="2666"/>
      <c r="M160" s="2665"/>
      <c r="N160" s="2665"/>
      <c r="O160" s="2666"/>
      <c r="P160" s="2665"/>
      <c r="Q160" s="2665"/>
      <c r="R160" s="2667"/>
    </row>
    <row r="161" spans="2:18" s="2216" customFormat="1">
      <c r="B161" s="2665"/>
      <c r="C161" s="2665"/>
      <c r="D161" s="2665"/>
      <c r="E161" s="2665"/>
      <c r="F161" s="2665"/>
      <c r="G161" s="2666"/>
      <c r="H161" s="2665"/>
      <c r="I161" s="2666"/>
      <c r="J161" s="2665"/>
      <c r="K161" s="2665"/>
      <c r="L161" s="2666"/>
      <c r="M161" s="2665"/>
      <c r="N161" s="2665"/>
      <c r="O161" s="2666"/>
      <c r="P161" s="2665"/>
      <c r="Q161" s="2665"/>
      <c r="R161" s="2667"/>
    </row>
    <row r="162" spans="2:18" s="2216" customFormat="1">
      <c r="B162" s="2665"/>
      <c r="C162" s="2665"/>
      <c r="D162" s="2665"/>
      <c r="E162" s="2665"/>
      <c r="F162" s="2665"/>
      <c r="G162" s="2666"/>
      <c r="H162" s="2665"/>
      <c r="I162" s="2666"/>
      <c r="J162" s="2665"/>
      <c r="K162" s="2665"/>
      <c r="L162" s="2666"/>
      <c r="M162" s="2665"/>
      <c r="N162" s="2665"/>
      <c r="O162" s="2666"/>
      <c r="P162" s="2665"/>
      <c r="Q162" s="2665"/>
      <c r="R162" s="2667"/>
    </row>
    <row r="163" spans="2:18" s="2216" customFormat="1">
      <c r="B163" s="2665"/>
      <c r="C163" s="2665"/>
      <c r="D163" s="2665"/>
      <c r="E163" s="2665"/>
      <c r="F163" s="2665"/>
      <c r="G163" s="2666"/>
      <c r="H163" s="2665"/>
      <c r="I163" s="2666"/>
      <c r="J163" s="2665"/>
      <c r="K163" s="2665"/>
      <c r="L163" s="2666"/>
      <c r="M163" s="2665"/>
      <c r="N163" s="2665"/>
      <c r="O163" s="2666"/>
      <c r="P163" s="2665"/>
      <c r="Q163" s="2665"/>
      <c r="R163" s="2667"/>
    </row>
    <row r="164" spans="2:18" s="2216" customFormat="1">
      <c r="B164" s="2665"/>
      <c r="C164" s="2665"/>
      <c r="D164" s="2665"/>
      <c r="E164" s="2665"/>
      <c r="F164" s="2665"/>
      <c r="G164" s="2666"/>
      <c r="H164" s="2665"/>
      <c r="I164" s="2666"/>
      <c r="J164" s="2665"/>
      <c r="K164" s="2665"/>
      <c r="L164" s="2666"/>
      <c r="M164" s="2665"/>
      <c r="N164" s="2665"/>
      <c r="O164" s="2666"/>
      <c r="P164" s="2665"/>
      <c r="Q164" s="2665"/>
      <c r="R164" s="2667"/>
    </row>
    <row r="165" spans="2:18" s="2216" customFormat="1">
      <c r="B165" s="2665"/>
      <c r="C165" s="2665"/>
      <c r="D165" s="2665"/>
      <c r="E165" s="2665"/>
      <c r="F165" s="2665"/>
      <c r="G165" s="2666"/>
      <c r="H165" s="2665"/>
      <c r="I165" s="2666"/>
      <c r="J165" s="2665"/>
      <c r="K165" s="2665"/>
      <c r="L165" s="2666"/>
      <c r="M165" s="2665"/>
      <c r="N165" s="2665"/>
      <c r="O165" s="2666"/>
      <c r="P165" s="2665"/>
      <c r="Q165" s="2665"/>
      <c r="R165" s="2667"/>
    </row>
    <row r="166" spans="2:18" s="2216" customFormat="1">
      <c r="B166" s="2665"/>
      <c r="C166" s="2665"/>
      <c r="D166" s="2665"/>
      <c r="E166" s="2665"/>
      <c r="F166" s="2665"/>
      <c r="G166" s="2666"/>
      <c r="H166" s="2665"/>
      <c r="I166" s="2666"/>
      <c r="J166" s="2665"/>
      <c r="K166" s="2665"/>
      <c r="L166" s="2666"/>
      <c r="M166" s="2665"/>
      <c r="N166" s="2665"/>
      <c r="O166" s="2666"/>
      <c r="P166" s="2665"/>
      <c r="Q166" s="2665"/>
      <c r="R166" s="2667"/>
    </row>
    <row r="167" spans="2:18" s="2216" customFormat="1">
      <c r="B167" s="2665"/>
      <c r="C167" s="2665"/>
      <c r="D167" s="2665"/>
      <c r="E167" s="2665"/>
      <c r="F167" s="2665"/>
      <c r="G167" s="2666"/>
      <c r="H167" s="2665"/>
      <c r="I167" s="2666"/>
      <c r="J167" s="2665"/>
      <c r="K167" s="2665"/>
      <c r="L167" s="2666"/>
      <c r="M167" s="2665"/>
      <c r="N167" s="2665"/>
      <c r="O167" s="2666"/>
      <c r="P167" s="2665"/>
      <c r="Q167" s="2665"/>
      <c r="R167" s="2667"/>
    </row>
    <row r="168" spans="2:18" s="2216" customFormat="1">
      <c r="B168" s="2665"/>
      <c r="C168" s="2665"/>
      <c r="D168" s="2665"/>
      <c r="E168" s="2665"/>
      <c r="F168" s="2665"/>
      <c r="G168" s="2666"/>
      <c r="H168" s="2665"/>
      <c r="I168" s="2666"/>
      <c r="J168" s="2665"/>
      <c r="K168" s="2665"/>
      <c r="L168" s="2666"/>
      <c r="M168" s="2665"/>
      <c r="N168" s="2665"/>
      <c r="O168" s="2666"/>
      <c r="P168" s="2665"/>
      <c r="Q168" s="2665"/>
      <c r="R168" s="2667"/>
    </row>
    <row r="169" spans="2:18" s="2216" customFormat="1">
      <c r="B169" s="2665"/>
      <c r="C169" s="2665"/>
      <c r="D169" s="2665"/>
      <c r="E169" s="2665"/>
      <c r="F169" s="2665"/>
      <c r="G169" s="2666"/>
      <c r="H169" s="2665"/>
      <c r="I169" s="2666"/>
      <c r="J169" s="2665"/>
      <c r="K169" s="2665"/>
      <c r="L169" s="2666"/>
      <c r="M169" s="2665"/>
      <c r="N169" s="2665"/>
      <c r="O169" s="2666"/>
      <c r="P169" s="2665"/>
      <c r="Q169" s="2665"/>
      <c r="R169" s="2667"/>
    </row>
    <row r="170" spans="2:18" s="2216" customFormat="1">
      <c r="B170" s="2665"/>
      <c r="C170" s="2665"/>
      <c r="D170" s="2665"/>
      <c r="E170" s="2665"/>
      <c r="F170" s="2665"/>
      <c r="G170" s="2666"/>
      <c r="H170" s="2665"/>
      <c r="I170" s="2666"/>
      <c r="J170" s="2665"/>
      <c r="K170" s="2665"/>
      <c r="L170" s="2666"/>
      <c r="M170" s="2665"/>
      <c r="N170" s="2665"/>
      <c r="O170" s="2666"/>
      <c r="P170" s="2665"/>
      <c r="Q170" s="2665"/>
      <c r="R170" s="2667"/>
    </row>
    <row r="171" spans="2:18" s="2216" customFormat="1">
      <c r="B171" s="2665"/>
      <c r="C171" s="2665"/>
      <c r="D171" s="2665"/>
      <c r="E171" s="2665"/>
      <c r="F171" s="2665"/>
      <c r="G171" s="2666"/>
      <c r="H171" s="2665"/>
      <c r="I171" s="2666"/>
      <c r="J171" s="2665"/>
      <c r="K171" s="2665"/>
      <c r="L171" s="2666"/>
      <c r="M171" s="2665"/>
      <c r="N171" s="2665"/>
      <c r="O171" s="2666"/>
      <c r="P171" s="2665"/>
      <c r="Q171" s="2665"/>
      <c r="R171" s="2667"/>
    </row>
    <row r="172" spans="2:18" s="2216" customFormat="1">
      <c r="B172" s="2665"/>
      <c r="C172" s="2665"/>
      <c r="D172" s="2665"/>
      <c r="E172" s="2665"/>
      <c r="F172" s="2665"/>
      <c r="G172" s="2666"/>
      <c r="H172" s="2665"/>
      <c r="I172" s="2666"/>
      <c r="J172" s="2665"/>
      <c r="K172" s="2665"/>
      <c r="L172" s="2666"/>
      <c r="M172" s="2665"/>
      <c r="N172" s="2665"/>
      <c r="O172" s="2666"/>
      <c r="P172" s="2665"/>
      <c r="Q172" s="2665"/>
      <c r="R172" s="2667"/>
    </row>
    <row r="173" spans="2:18" s="2216" customFormat="1">
      <c r="B173" s="2665"/>
      <c r="C173" s="2665"/>
      <c r="D173" s="2665"/>
      <c r="E173" s="2665"/>
      <c r="F173" s="2665"/>
      <c r="G173" s="2666"/>
      <c r="H173" s="2665"/>
      <c r="I173" s="2666"/>
      <c r="J173" s="2665"/>
      <c r="K173" s="2665"/>
      <c r="L173" s="2666"/>
      <c r="M173" s="2665"/>
      <c r="N173" s="2665"/>
      <c r="O173" s="2666"/>
      <c r="P173" s="2665"/>
      <c r="Q173" s="2665"/>
      <c r="R173" s="2667"/>
    </row>
    <row r="174" spans="2:18" s="2216" customFormat="1">
      <c r="B174" s="2665"/>
      <c r="C174" s="2665"/>
      <c r="D174" s="2665"/>
      <c r="E174" s="2665"/>
      <c r="F174" s="2665"/>
      <c r="G174" s="2666"/>
      <c r="H174" s="2665"/>
      <c r="I174" s="2666"/>
      <c r="J174" s="2665"/>
      <c r="K174" s="2665"/>
      <c r="L174" s="2666"/>
      <c r="M174" s="2665"/>
      <c r="N174" s="2665"/>
      <c r="O174" s="2666"/>
      <c r="P174" s="2665"/>
      <c r="Q174" s="2665"/>
      <c r="R174" s="2667"/>
    </row>
    <row r="175" spans="2:18" s="2216" customFormat="1">
      <c r="B175" s="2665"/>
      <c r="C175" s="2665"/>
      <c r="D175" s="2665"/>
      <c r="E175" s="2665"/>
      <c r="F175" s="2665"/>
      <c r="G175" s="2666"/>
      <c r="H175" s="2665"/>
      <c r="I175" s="2666"/>
      <c r="J175" s="2665"/>
      <c r="K175" s="2665"/>
      <c r="L175" s="2666"/>
      <c r="M175" s="2665"/>
      <c r="N175" s="2665"/>
      <c r="O175" s="2666"/>
      <c r="P175" s="2665"/>
      <c r="Q175" s="2665"/>
      <c r="R175" s="2667"/>
    </row>
    <row r="176" spans="2:18" s="2216" customFormat="1">
      <c r="B176" s="2665"/>
      <c r="C176" s="2665"/>
      <c r="D176" s="2665"/>
      <c r="E176" s="2665"/>
      <c r="F176" s="2665"/>
      <c r="G176" s="2666"/>
      <c r="H176" s="2665"/>
      <c r="I176" s="2666"/>
      <c r="J176" s="2665"/>
      <c r="K176" s="2665"/>
      <c r="L176" s="2666"/>
      <c r="M176" s="2665"/>
      <c r="N176" s="2665"/>
      <c r="O176" s="2666"/>
      <c r="P176" s="2665"/>
      <c r="Q176" s="2665"/>
      <c r="R176" s="2667"/>
    </row>
    <row r="177" spans="1:18" s="2216" customFormat="1">
      <c r="B177" s="2665"/>
      <c r="C177" s="2665"/>
      <c r="D177" s="2665"/>
      <c r="E177" s="2665"/>
      <c r="F177" s="2665"/>
      <c r="G177" s="2666"/>
      <c r="H177" s="2665"/>
      <c r="I177" s="2666"/>
      <c r="J177" s="2665"/>
      <c r="K177" s="2665"/>
      <c r="L177" s="2666"/>
      <c r="M177" s="2665"/>
      <c r="N177" s="2665"/>
      <c r="O177" s="2666"/>
      <c r="P177" s="2665"/>
      <c r="Q177" s="2665"/>
      <c r="R177" s="2667"/>
    </row>
    <row r="178" spans="1:18" s="2216" customFormat="1">
      <c r="B178" s="2665"/>
      <c r="C178" s="2665"/>
      <c r="D178" s="2665"/>
      <c r="E178" s="2665"/>
      <c r="F178" s="2665"/>
      <c r="G178" s="2666"/>
      <c r="H178" s="2665"/>
      <c r="I178" s="2666"/>
      <c r="J178" s="2665"/>
      <c r="K178" s="2665"/>
      <c r="L178" s="2666"/>
      <c r="M178" s="2665"/>
      <c r="N178" s="2665"/>
      <c r="O178" s="2666"/>
      <c r="P178" s="2665"/>
      <c r="Q178" s="2665"/>
      <c r="R178" s="2667"/>
    </row>
    <row r="179" spans="1:18" s="2216" customFormat="1">
      <c r="B179" s="2665"/>
      <c r="C179" s="2665"/>
      <c r="D179" s="2665"/>
      <c r="E179" s="2665"/>
      <c r="F179" s="2665"/>
      <c r="G179" s="2666"/>
      <c r="H179" s="2665"/>
      <c r="I179" s="2666"/>
      <c r="J179" s="2665"/>
      <c r="K179" s="2665"/>
      <c r="L179" s="2666"/>
      <c r="M179" s="2665"/>
      <c r="N179" s="2665"/>
      <c r="O179" s="2666"/>
      <c r="P179" s="2665"/>
      <c r="Q179" s="2665"/>
      <c r="R179" s="2667"/>
    </row>
    <row r="180" spans="1:18" s="2216" customFormat="1">
      <c r="B180" s="2665"/>
      <c r="C180" s="2665"/>
      <c r="D180" s="2665"/>
      <c r="E180" s="2665"/>
      <c r="F180" s="2665"/>
      <c r="G180" s="2666"/>
      <c r="H180" s="2665"/>
      <c r="I180" s="2666"/>
      <c r="J180" s="2665"/>
      <c r="K180" s="2665"/>
      <c r="L180" s="2666"/>
      <c r="M180" s="2665"/>
      <c r="N180" s="2665"/>
      <c r="O180" s="2666"/>
      <c r="P180" s="2665"/>
      <c r="Q180" s="2665"/>
      <c r="R180" s="2667"/>
    </row>
    <row r="181" spans="1:18" s="2216" customFormat="1">
      <c r="B181" s="2665"/>
      <c r="C181" s="2665"/>
      <c r="D181" s="2665"/>
      <c r="E181" s="2665"/>
      <c r="F181" s="2665"/>
      <c r="G181" s="2666"/>
      <c r="H181" s="2665"/>
      <c r="I181" s="2666"/>
      <c r="J181" s="2665"/>
      <c r="K181" s="2665"/>
      <c r="L181" s="2666"/>
      <c r="M181" s="2665"/>
      <c r="N181" s="2665"/>
      <c r="O181" s="2666"/>
      <c r="P181" s="2665"/>
      <c r="Q181" s="2665"/>
      <c r="R181" s="2667"/>
    </row>
    <row r="182" spans="1:18" s="2216" customFormat="1">
      <c r="B182" s="2665"/>
      <c r="C182" s="2665"/>
      <c r="D182" s="2665"/>
      <c r="E182" s="2665"/>
      <c r="F182" s="2665"/>
      <c r="G182" s="2666"/>
      <c r="H182" s="2665"/>
      <c r="I182" s="2666"/>
      <c r="J182" s="2665"/>
      <c r="K182" s="2665"/>
      <c r="L182" s="2666"/>
      <c r="M182" s="2665"/>
      <c r="N182" s="2665"/>
      <c r="O182" s="2666"/>
      <c r="P182" s="2665"/>
      <c r="Q182" s="2665"/>
      <c r="R182" s="2667"/>
    </row>
    <row r="183" spans="1:18" s="2216" customFormat="1">
      <c r="B183" s="2665"/>
      <c r="C183" s="2665"/>
      <c r="D183" s="2665"/>
      <c r="E183" s="2665"/>
      <c r="F183" s="2665"/>
      <c r="G183" s="2666"/>
      <c r="H183" s="2665"/>
      <c r="I183" s="2666"/>
      <c r="J183" s="2665"/>
      <c r="K183" s="2665"/>
      <c r="L183" s="2666"/>
      <c r="M183" s="2665"/>
      <c r="N183" s="2665"/>
      <c r="O183" s="2666"/>
      <c r="P183" s="2665"/>
      <c r="Q183" s="2665"/>
      <c r="R183" s="2667"/>
    </row>
    <row r="184" spans="1:18" s="2216" customFormat="1">
      <c r="B184" s="2665"/>
      <c r="C184" s="2665"/>
      <c r="D184" s="2665"/>
      <c r="E184" s="2665"/>
      <c r="F184" s="2665"/>
      <c r="G184" s="2666"/>
      <c r="H184" s="2665"/>
      <c r="I184" s="2666"/>
      <c r="J184" s="2665"/>
      <c r="K184" s="2665"/>
      <c r="L184" s="2666"/>
      <c r="M184" s="2665"/>
      <c r="N184" s="2665"/>
      <c r="O184" s="2666"/>
      <c r="P184" s="2665"/>
      <c r="Q184" s="2665"/>
      <c r="R184" s="2667"/>
    </row>
    <row r="185" spans="1:18" s="2216"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16"/>
      <c r="B186" s="2665"/>
      <c r="C186" s="2665"/>
      <c r="E186" s="2665"/>
      <c r="F186" s="2665"/>
      <c r="G186" s="2666"/>
    </row>
    <row r="187" spans="1:18">
      <c r="A187" s="2216"/>
      <c r="B187" s="2665"/>
      <c r="C187" s="2665"/>
      <c r="E187" s="2665"/>
      <c r="F187" s="2665"/>
      <c r="G187" s="266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2" sqref="E32"/>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93.61</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45176</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238</v>
      </c>
      <c r="C5" s="2644">
        <f ca="1">IF(B5=D14,结果表!H102,ROUND(B5*10000/$B$1,0))</f>
        <v>25435</v>
      </c>
      <c r="D5" s="2644" t="e">
        <f ca="1">ROUND(B5*10000/$B$2,0)</f>
        <v>#DIV/0!</v>
      </c>
      <c r="E5" s="2645"/>
      <c r="F5" s="2646"/>
      <c r="G5" s="2646"/>
      <c r="H5" s="2647"/>
      <c r="I5" s="2647"/>
      <c r="J5" s="2647"/>
      <c r="K5" s="2647"/>
    </row>
    <row r="6" spans="1:11" ht="16.5">
      <c r="A6" s="2644" t="s">
        <v>748</v>
      </c>
      <c r="B6" s="2644">
        <f ca="1">SUM(G14:G23)</f>
        <v>238</v>
      </c>
      <c r="C6" s="2644">
        <f ca="1">IF(B6=G14,结果表!H108,ROUND(B6*10000/$B$1,0))</f>
        <v>25435</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93.61</v>
      </c>
      <c r="C14" s="2656"/>
      <c r="D14" s="2656">
        <f ca="1">ROUND(B14*E14/10000,0)</f>
        <v>238</v>
      </c>
      <c r="E14" s="2656">
        <f ca="1">结果表!G20</f>
        <v>25435</v>
      </c>
      <c r="F14" s="2656" t="e">
        <f ca="1">ROUND(D14*10000/C14,0)</f>
        <v>#DIV/0!</v>
      </c>
      <c r="G14" s="2656">
        <f ca="1">D14</f>
        <v>238</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E28" sqref="E28"/>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9" t="s">
        <v>773</v>
      </c>
      <c r="B4" s="2370" t="s">
        <v>774</v>
      </c>
      <c r="C4" s="2371" t="s">
        <v>775</v>
      </c>
      <c r="D4" s="2371" t="s">
        <v>266</v>
      </c>
      <c r="E4" s="3530" t="s">
        <v>776</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4" t="s">
        <v>777</v>
      </c>
      <c r="B5" s="3600">
        <v>25</v>
      </c>
      <c r="C5" s="3603"/>
      <c r="D5" s="3606"/>
      <c r="E5" s="2005" t="s">
        <v>778</v>
      </c>
      <c r="F5" s="2376"/>
      <c r="G5" s="2376"/>
      <c r="H5" s="2376"/>
      <c r="I5" s="2082"/>
    </row>
    <row r="6" spans="1:12" ht="12.75">
      <c r="A6" s="3584"/>
      <c r="B6" s="3600"/>
      <c r="C6" s="3604"/>
      <c r="D6" s="3606"/>
      <c r="E6" s="2005" t="s">
        <v>779</v>
      </c>
      <c r="F6" s="2376"/>
      <c r="G6" s="2376"/>
      <c r="H6" s="2376"/>
      <c r="I6" s="2082"/>
    </row>
    <row r="7" spans="1:12" ht="12.75">
      <c r="A7" s="3584"/>
      <c r="B7" s="3600"/>
      <c r="C7" s="3605"/>
      <c r="D7" s="3606"/>
      <c r="E7" s="2005" t="s">
        <v>780</v>
      </c>
      <c r="F7" s="2376"/>
      <c r="G7" s="2376"/>
      <c r="H7" s="2376"/>
      <c r="I7" s="2082"/>
    </row>
    <row r="8" spans="1:12" ht="12.75">
      <c r="A8" s="3584" t="s">
        <v>781</v>
      </c>
      <c r="B8" s="3600">
        <v>15</v>
      </c>
      <c r="C8" s="3603"/>
      <c r="D8" s="3606"/>
      <c r="E8" s="2005" t="s">
        <v>782</v>
      </c>
      <c r="F8" s="2376"/>
      <c r="G8" s="2376"/>
      <c r="H8" s="2376"/>
      <c r="I8" s="2082"/>
    </row>
    <row r="9" spans="1:12" ht="12.75">
      <c r="A9" s="3584"/>
      <c r="B9" s="3600"/>
      <c r="C9" s="3605"/>
      <c r="D9" s="3606"/>
      <c r="E9" s="2005" t="s">
        <v>783</v>
      </c>
      <c r="F9" s="2376"/>
      <c r="G9" s="2376"/>
      <c r="H9" s="2376"/>
      <c r="I9" s="2082"/>
    </row>
    <row r="10" spans="1:12" ht="12.75">
      <c r="A10" s="3584" t="s">
        <v>784</v>
      </c>
      <c r="B10" s="3600">
        <v>15</v>
      </c>
      <c r="C10" s="3603"/>
      <c r="D10" s="3606"/>
      <c r="E10" s="2005" t="s">
        <v>785</v>
      </c>
      <c r="F10" s="2376"/>
      <c r="G10" s="2376"/>
      <c r="H10" s="2376"/>
      <c r="I10" s="2082"/>
    </row>
    <row r="11" spans="1:12" ht="12.75">
      <c r="A11" s="3584"/>
      <c r="B11" s="3600"/>
      <c r="C11" s="3605"/>
      <c r="D11" s="3606"/>
      <c r="E11" s="2005" t="s">
        <v>786</v>
      </c>
      <c r="F11" s="2376"/>
      <c r="G11" s="2376"/>
      <c r="H11" s="2376"/>
      <c r="I11" s="2082"/>
    </row>
    <row r="12" spans="1:12" ht="12.75">
      <c r="A12" s="3584" t="s">
        <v>787</v>
      </c>
      <c r="B12" s="3600">
        <v>15</v>
      </c>
      <c r="C12" s="3603"/>
      <c r="D12" s="3606"/>
      <c r="E12" s="2005" t="s">
        <v>788</v>
      </c>
      <c r="F12" s="2376"/>
      <c r="G12" s="2376"/>
      <c r="H12" s="2376"/>
      <c r="I12" s="2082"/>
    </row>
    <row r="13" spans="1:12" ht="12.75">
      <c r="A13" s="3584"/>
      <c r="B13" s="3600"/>
      <c r="C13" s="3605"/>
      <c r="D13" s="3606"/>
      <c r="E13" s="2005" t="s">
        <v>789</v>
      </c>
      <c r="F13" s="2376"/>
      <c r="G13" s="2376"/>
      <c r="H13" s="2376"/>
      <c r="I13" s="2082"/>
    </row>
    <row r="14" spans="1:12" ht="12.75">
      <c r="A14" s="3584" t="s">
        <v>790</v>
      </c>
      <c r="B14" s="3600">
        <v>30</v>
      </c>
      <c r="C14" s="3603">
        <v>65</v>
      </c>
      <c r="D14" s="3606">
        <v>35</v>
      </c>
      <c r="E14" s="2005" t="s">
        <v>791</v>
      </c>
      <c r="F14" s="2376"/>
      <c r="G14" s="2376"/>
      <c r="H14" s="2376"/>
      <c r="I14" s="2082"/>
    </row>
    <row r="15" spans="1:12" ht="12.75">
      <c r="A15" s="3584"/>
      <c r="B15" s="3600"/>
      <c r="C15" s="3604"/>
      <c r="D15" s="3606"/>
      <c r="E15" s="2005" t="s">
        <v>792</v>
      </c>
      <c r="F15" s="2376"/>
      <c r="G15" s="2376"/>
      <c r="H15" s="2376"/>
      <c r="I15" s="2082"/>
    </row>
    <row r="16" spans="1:12" ht="12.75">
      <c r="A16" s="3584"/>
      <c r="B16" s="3600"/>
      <c r="C16" s="3605"/>
      <c r="D16" s="3606"/>
      <c r="E16" s="2005" t="s">
        <v>793</v>
      </c>
      <c r="F16" s="2376"/>
      <c r="G16" s="2376"/>
      <c r="H16" s="2376"/>
      <c r="I16" s="2082"/>
    </row>
    <row r="17" spans="1:36" ht="15">
      <c r="A17" s="2377" t="s">
        <v>794</v>
      </c>
      <c r="B17" s="2378"/>
      <c r="C17" s="2379">
        <f>SUM(C5:C16)</f>
        <v>65</v>
      </c>
      <c r="D17" s="2379">
        <f>SUM(D5:D16)</f>
        <v>35</v>
      </c>
      <c r="E17" s="992"/>
      <c r="F17" s="992"/>
      <c r="G17" s="992"/>
      <c r="H17" s="992"/>
      <c r="I17" s="992"/>
      <c r="K17" s="1964"/>
      <c r="L17" s="1964" t="s">
        <v>795</v>
      </c>
      <c r="M17" s="1964" t="s">
        <v>796</v>
      </c>
    </row>
    <row r="18" spans="1:36" ht="31.9" customHeight="1">
      <c r="A18" s="2380" t="s">
        <v>797</v>
      </c>
      <c r="B18" s="2381"/>
      <c r="C18" s="2382">
        <f>ROUND(C17/SUM(C17:D17),2)</f>
        <v>0.65</v>
      </c>
      <c r="D18" s="2382">
        <f>1-C18</f>
        <v>0.35</v>
      </c>
      <c r="E18" s="3533" t="s">
        <v>798</v>
      </c>
      <c r="F18" s="3534"/>
      <c r="G18" s="3534"/>
      <c r="H18" s="3534"/>
      <c r="I18" s="3534"/>
      <c r="K18" s="1964" t="s">
        <v>456</v>
      </c>
      <c r="L18" s="1964">
        <f>IF(C1="",'数据-汇总表'!E3,SUMIF(项目类型,C1,'数据-汇总表'!E17:E26)+SUMIF(项目类型,C1,'数据-汇总表'!I17:I26))</f>
        <v>93.61</v>
      </c>
      <c r="M18" s="1964">
        <f>IF(C1="",'数据-汇总表'!E3,SUMIF(项目类型,C1,'数据-汇总表'!E17:E26))</f>
        <v>93.61</v>
      </c>
    </row>
    <row r="19" spans="1:36" ht="15">
      <c r="A19" s="2383" t="s">
        <v>799</v>
      </c>
      <c r="B19" s="2384" t="s">
        <v>800</v>
      </c>
      <c r="C19" s="2385">
        <f ca="1">SUMIF(INDIRECT("'"&amp;C4&amp;"'"&amp;"!A:A"),结果表!B19,INDIRECT("'"&amp;C4&amp;"'"&amp;"!B:B"))</f>
        <v>265.55279999999999</v>
      </c>
      <c r="D19" s="1432">
        <f ca="1">SUMIF(INDIRECT("'"&amp;D4&amp;"'"&amp;"!A:A"),结果表!B19,INDIRECT("'"&amp;D4&amp;"'"&amp;"!B:B"))</f>
        <v>187.1215</v>
      </c>
      <c r="E19" s="2383" t="s">
        <v>801</v>
      </c>
      <c r="F19" s="2384" t="s">
        <v>800</v>
      </c>
      <c r="G19" s="2386">
        <f ca="1">ROUND(C19*$C$18+D19*$D$18,0)</f>
        <v>238</v>
      </c>
      <c r="H19" s="2387" t="s">
        <v>802</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8"/>
      <c r="B20" s="2389" t="s">
        <v>803</v>
      </c>
      <c r="C20" s="1699">
        <f ca="1">SUMIF(INDIRECT("'"&amp;C4&amp;"'"&amp;"!A:A"),结果表!B20,INDIRECT("'"&amp;C4&amp;"'"&amp;"!B:B"))</f>
        <v>28368</v>
      </c>
      <c r="D20" s="1702">
        <f ca="1">SUMIF(INDIRECT("'"&amp;D4&amp;"'"&amp;"!A:A"),结果表!B20,INDIRECT("'"&amp;D4&amp;"'"&amp;"!B:B"))</f>
        <v>19989</v>
      </c>
      <c r="E20" s="2388"/>
      <c r="F20" s="2389" t="s">
        <v>803</v>
      </c>
      <c r="G20" s="2390">
        <f ca="1">ROUND(C20*$C$18+D20*$D$18,0)</f>
        <v>25435</v>
      </c>
      <c r="H20" s="2119" t="s">
        <v>804</v>
      </c>
      <c r="I20" s="992"/>
    </row>
    <row r="21" spans="1:36" ht="15" customHeight="1">
      <c r="A21" s="2291"/>
      <c r="B21" s="2391" t="s">
        <v>805</v>
      </c>
      <c r="C21" s="2392" t="e">
        <f ca="1">ROUND(C19*10000/L19,0)</f>
        <v>#DIV/0!</v>
      </c>
      <c r="D21" s="2393" t="e">
        <f ca="1">ROUND(D19*10000/L19,0)</f>
        <v>#DIV/0!</v>
      </c>
      <c r="E21" s="2291"/>
      <c r="F21" s="2391" t="s">
        <v>805</v>
      </c>
      <c r="G21" s="2394" t="e">
        <f ca="1">ROUND(G19*10000/L19,0)</f>
        <v>#DIV/0!</v>
      </c>
      <c r="H21" s="2395" t="s">
        <v>804</v>
      </c>
      <c r="I21" s="992"/>
    </row>
    <row r="22" spans="1:36" ht="14.25">
      <c r="A22" s="2396" t="s">
        <v>806</v>
      </c>
      <c r="B22" s="2397"/>
      <c r="C22" s="2398"/>
      <c r="D22" s="2399">
        <f ca="1">IF(C19&lt;D19,D19/C19-1,C19/D19-1)</f>
        <v>0.41914638349949085</v>
      </c>
      <c r="E22" s="992"/>
      <c r="F22" s="992"/>
      <c r="G22" s="992"/>
      <c r="H22" s="992"/>
      <c r="I22" s="992"/>
    </row>
    <row r="23" spans="1:36" ht="12.75">
      <c r="A23" s="2364"/>
      <c r="B23" s="2364"/>
      <c r="C23" s="2364"/>
      <c r="D23" s="2364"/>
      <c r="E23" s="992"/>
      <c r="F23" s="992"/>
      <c r="G23" s="992"/>
      <c r="H23" s="992"/>
      <c r="I23" s="992"/>
    </row>
    <row r="24" spans="1:36" ht="14.25">
      <c r="A24" s="3593" t="s">
        <v>807</v>
      </c>
      <c r="B24" s="2384" t="s">
        <v>800</v>
      </c>
      <c r="C24" s="2386">
        <f>IF(B30=0,0,D30)</f>
        <v>0</v>
      </c>
      <c r="D24" s="2400"/>
      <c r="E24" s="992"/>
      <c r="F24" s="992"/>
      <c r="G24" s="992"/>
      <c r="H24" s="992"/>
      <c r="I24" s="992"/>
    </row>
    <row r="25" spans="1:36" ht="14.25">
      <c r="A25" s="3594"/>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25435</v>
      </c>
      <c r="D32" s="2412" t="s">
        <v>816</v>
      </c>
      <c r="E32" s="992"/>
      <c r="F32" s="992"/>
      <c r="G32" s="992"/>
      <c r="H32" s="992"/>
      <c r="I32" s="992"/>
    </row>
    <row r="33" spans="1:15" ht="15">
      <c r="A33" s="2232" t="s">
        <v>817</v>
      </c>
      <c r="B33" s="2413"/>
      <c r="C33" s="2414"/>
      <c r="D33" s="2415"/>
      <c r="E33" s="2416" t="s">
        <v>818</v>
      </c>
      <c r="F33" s="2417" t="str">
        <f>IF(D32="楼面单价","取值（单价）","取值（总价）")</f>
        <v>取值（单价）</v>
      </c>
      <c r="G33" s="992"/>
      <c r="H33" s="992"/>
      <c r="I33" s="992"/>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2"/>
      <c r="H34" s="992"/>
      <c r="I34" s="992"/>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2"/>
      <c r="H35" s="992"/>
      <c r="I35" s="992"/>
    </row>
    <row r="36" spans="1:15" ht="15">
      <c r="A36" s="3595" t="s">
        <v>823</v>
      </c>
      <c r="B36" s="2430" t="s">
        <v>824</v>
      </c>
      <c r="C36" s="2431"/>
      <c r="D36" s="2432"/>
      <c r="E36" s="2433"/>
      <c r="F36" s="2434"/>
      <c r="G36" s="992"/>
      <c r="H36" s="992"/>
      <c r="I36" s="992"/>
    </row>
    <row r="37" spans="1:15" ht="15">
      <c r="A37" s="3596"/>
      <c r="B37" s="2435" t="s">
        <v>825</v>
      </c>
      <c r="C37" s="2436"/>
      <c r="D37" s="2437"/>
      <c r="E37" s="2437"/>
      <c r="F37" s="2434"/>
      <c r="G37" s="992"/>
      <c r="H37" s="992"/>
      <c r="I37" s="992"/>
    </row>
    <row r="38" spans="1:15" ht="15">
      <c r="A38" s="3597"/>
      <c r="B38" s="2438" t="s">
        <v>826</v>
      </c>
      <c r="C38" s="2439"/>
      <c r="D38" s="2440" t="s">
        <v>827</v>
      </c>
      <c r="E38" s="2437"/>
      <c r="F38" s="2434"/>
      <c r="G38" s="992"/>
      <c r="H38" s="992"/>
      <c r="I38" s="992"/>
    </row>
    <row r="39" spans="1:15" ht="15">
      <c r="A39" s="2388" t="s">
        <v>828</v>
      </c>
      <c r="B39" s="2441" t="s">
        <v>809</v>
      </c>
      <c r="C39" s="2442" t="s">
        <v>810</v>
      </c>
      <c r="D39" s="2442" t="s">
        <v>829</v>
      </c>
      <c r="E39" s="2443" t="s">
        <v>811</v>
      </c>
      <c r="F39" s="2434"/>
      <c r="G39" s="992"/>
      <c r="H39" s="992"/>
      <c r="I39" s="992"/>
    </row>
    <row r="40" spans="1:15" ht="14.25">
      <c r="A40" s="2444" t="s">
        <v>830</v>
      </c>
      <c r="B40" s="2445"/>
      <c r="C40" s="1010"/>
      <c r="D40" s="1010"/>
      <c r="E40" s="2446"/>
      <c r="F40" s="2434"/>
      <c r="G40" s="992"/>
      <c r="H40" s="992"/>
      <c r="I40" s="992"/>
    </row>
    <row r="41" spans="1:15" ht="14.25">
      <c r="A41" s="2444" t="s">
        <v>831</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535" t="s">
        <v>834</v>
      </c>
      <c r="B45" s="3536"/>
      <c r="C45" s="3537"/>
      <c r="D45" s="1963">
        <f ca="1">ROUND(H101*F45,0)</f>
        <v>238</v>
      </c>
      <c r="E45" s="2456" t="s">
        <v>835</v>
      </c>
      <c r="F45" s="2457">
        <v>1</v>
      </c>
      <c r="G45" s="2458" t="s">
        <v>836</v>
      </c>
      <c r="H45" s="992"/>
      <c r="I45" s="992"/>
      <c r="J45" s="3538" t="s">
        <v>837</v>
      </c>
      <c r="K45" s="3538"/>
      <c r="L45" s="3538"/>
      <c r="M45" s="3538"/>
      <c r="N45" s="3538"/>
      <c r="O45" s="3538"/>
    </row>
    <row r="46" spans="1:15" ht="14.25" customHeight="1">
      <c r="A46" s="3539" t="s">
        <v>838</v>
      </c>
      <c r="B46" s="3540"/>
      <c r="C46" s="3540"/>
      <c r="D46" s="3540"/>
      <c r="E46" s="3540"/>
      <c r="F46" s="3540"/>
      <c r="G46" s="3541"/>
      <c r="H46" s="2459"/>
      <c r="I46" s="993"/>
      <c r="J46" s="618">
        <v>1</v>
      </c>
      <c r="K46" s="3542" t="s">
        <v>839</v>
      </c>
      <c r="L46" s="3542"/>
      <c r="M46" s="3543"/>
      <c r="N46" s="3543"/>
      <c r="O46" s="3543"/>
    </row>
    <row r="47" spans="1:15" ht="12" customHeight="1">
      <c r="A47" s="2460" t="s">
        <v>840</v>
      </c>
      <c r="B47" s="2461"/>
      <c r="C47" s="2462"/>
      <c r="D47" s="2015" t="s">
        <v>841</v>
      </c>
      <c r="E47" s="1964" t="s">
        <v>842</v>
      </c>
      <c r="F47" s="2463" t="s">
        <v>843</v>
      </c>
      <c r="G47" s="2464" t="s">
        <v>844</v>
      </c>
      <c r="H47" s="2465"/>
      <c r="I47" s="993"/>
      <c r="J47" s="618">
        <v>2</v>
      </c>
      <c r="K47" s="3542" t="s">
        <v>845</v>
      </c>
      <c r="L47" s="3542"/>
      <c r="M47" s="3544">
        <f>'数据-取费表'!B2</f>
        <v>45176</v>
      </c>
      <c r="N47" s="3544"/>
      <c r="O47" s="3544"/>
    </row>
    <row r="48" spans="1:15" ht="25.5">
      <c r="A48" s="3545" t="s">
        <v>846</v>
      </c>
      <c r="B48" s="3546"/>
      <c r="C48" s="3546"/>
      <c r="D48" s="2117" t="b">
        <f>IF(H48="情况1",0,IF(H48="情况2",D52,IF(H48="情况3",D53,IF(H48="情况4",D54))))</f>
        <v>0</v>
      </c>
      <c r="E48" s="2019" t="str">
        <f>IF(H48="情况4","(销售额-原购置价)×税（费）率","销售额×税（费）率")</f>
        <v>销售额×税（费）率</v>
      </c>
      <c r="F48" s="2467">
        <f>IF(H48="情况1","免征",'数据-取费表'!B41)</f>
        <v>5.5000000000000007E-2</v>
      </c>
      <c r="G48" s="2468" t="s">
        <v>847</v>
      </c>
      <c r="H48" s="2469"/>
      <c r="I48" s="2459"/>
      <c r="J48" s="618">
        <v>3</v>
      </c>
      <c r="K48" s="3542" t="s">
        <v>848</v>
      </c>
      <c r="L48" s="3542"/>
      <c r="M48" s="3547">
        <f ca="1">H101</f>
        <v>238</v>
      </c>
      <c r="N48" s="3547"/>
      <c r="O48" s="3547"/>
    </row>
    <row r="49" spans="1:35" ht="25.5" customHeight="1">
      <c r="A49" s="2466" t="s">
        <v>849</v>
      </c>
      <c r="B49" s="3548" t="s">
        <v>850</v>
      </c>
      <c r="C49" s="3548"/>
      <c r="D49" s="2470">
        <v>0</v>
      </c>
      <c r="E49" s="2025" t="s">
        <v>851</v>
      </c>
      <c r="F49" s="2471" t="s">
        <v>124</v>
      </c>
      <c r="G49" s="3607"/>
      <c r="H49" s="2472" t="s">
        <v>852</v>
      </c>
      <c r="I49" s="2509"/>
      <c r="J49" s="618">
        <v>4</v>
      </c>
      <c r="K49" s="3542" t="str">
        <f>IF(项目基本情况!E8="房地产抵押价值","房地产抵押价值","抵押担保权已注销时的房地产抵押价值")</f>
        <v>房地产抵押价值</v>
      </c>
      <c r="L49" s="3542"/>
      <c r="M49" s="3547">
        <f ca="1">IF(项目基本情况!E8="房地产抵押价值",H107,H109)</f>
        <v>238</v>
      </c>
      <c r="N49" s="3547"/>
      <c r="O49" s="3547"/>
    </row>
    <row r="50" spans="1:35" ht="25.5" customHeight="1">
      <c r="A50" s="2473"/>
      <c r="B50" s="3548" t="s">
        <v>853</v>
      </c>
      <c r="C50" s="3548"/>
      <c r="D50" s="2474"/>
      <c r="E50" s="2040"/>
      <c r="F50" s="2471"/>
      <c r="G50" s="3608"/>
      <c r="H50" s="2475" t="s">
        <v>854</v>
      </c>
      <c r="I50" s="2509"/>
      <c r="J50" s="3538" t="s">
        <v>855</v>
      </c>
      <c r="K50" s="3538"/>
      <c r="L50" s="3538"/>
      <c r="M50" s="3538"/>
      <c r="N50" s="3538"/>
      <c r="O50" s="3538"/>
    </row>
    <row r="51" spans="1:35" ht="20.45" customHeight="1">
      <c r="A51" s="2476"/>
      <c r="B51" s="3548" t="s">
        <v>856</v>
      </c>
      <c r="C51" s="3548"/>
      <c r="D51" s="2015"/>
      <c r="E51" s="2029"/>
      <c r="F51" s="2471"/>
      <c r="G51" s="3609"/>
      <c r="H51" s="2475" t="s">
        <v>857</v>
      </c>
      <c r="I51" s="2509"/>
      <c r="J51" s="2508" t="s">
        <v>858</v>
      </c>
      <c r="K51" s="3542" t="s">
        <v>859</v>
      </c>
      <c r="L51" s="3542"/>
      <c r="M51" s="2508" t="s">
        <v>860</v>
      </c>
      <c r="N51" s="2508" t="s">
        <v>861</v>
      </c>
      <c r="O51" s="2508" t="s">
        <v>862</v>
      </c>
    </row>
    <row r="52" spans="1:35" ht="24" customHeight="1">
      <c r="A52" s="2477" t="s">
        <v>863</v>
      </c>
      <c r="B52" s="3548" t="s">
        <v>864</v>
      </c>
      <c r="C52" s="3548"/>
      <c r="D52" s="2015">
        <f ca="1">ROUND(D45*'数据-取费表'!B41/(1+'数据-取费表'!C42),0)</f>
        <v>12</v>
      </c>
      <c r="E52" s="2019" t="s">
        <v>865</v>
      </c>
      <c r="F52" s="2478">
        <f>'数据-取费表'!B41</f>
        <v>5.5000000000000007E-2</v>
      </c>
      <c r="G52" s="2479"/>
      <c r="H52" s="2132"/>
      <c r="I52" s="2510"/>
      <c r="J52" s="618">
        <v>1</v>
      </c>
      <c r="K52" s="3549" t="s">
        <v>866</v>
      </c>
      <c r="L52" s="3549"/>
      <c r="M52" s="2511" t="b">
        <f>D48</f>
        <v>0</v>
      </c>
      <c r="N52" s="618" t="str">
        <f>E48</f>
        <v>销售额×税（费）率</v>
      </c>
      <c r="O52" s="2512">
        <f>F48</f>
        <v>5.5000000000000007E-2</v>
      </c>
    </row>
    <row r="53" spans="1:35" ht="12" customHeight="1">
      <c r="A53" s="2477" t="s">
        <v>867</v>
      </c>
      <c r="B53" s="3550" t="s">
        <v>868</v>
      </c>
      <c r="C53" s="3551"/>
      <c r="D53" s="2015">
        <f ca="1">ROUND(D45*'数据-取费表'!B41/(1+'数据-取费表'!C42),0)</f>
        <v>12</v>
      </c>
      <c r="E53" s="2019" t="s">
        <v>865</v>
      </c>
      <c r="F53" s="2478">
        <f>'数据-取费表'!B41</f>
        <v>5.5000000000000007E-2</v>
      </c>
      <c r="G53" s="2479"/>
      <c r="H53" s="2132"/>
      <c r="I53" s="2510"/>
      <c r="J53" s="618">
        <v>2</v>
      </c>
      <c r="K53" s="3549" t="s">
        <v>869</v>
      </c>
      <c r="L53" s="3549"/>
      <c r="M53" s="2511">
        <f t="shared" ref="M53:O54" ca="1" si="0">D55</f>
        <v>0</v>
      </c>
      <c r="N53" s="618" t="str">
        <f t="shared" si="0"/>
        <v>销售额×税（费）率</v>
      </c>
      <c r="O53" s="2512" t="str">
        <f t="shared" si="0"/>
        <v>免征</v>
      </c>
    </row>
    <row r="54" spans="1:35" ht="12" customHeight="1">
      <c r="A54" s="2477" t="s">
        <v>870</v>
      </c>
      <c r="B54" s="3550" t="s">
        <v>871</v>
      </c>
      <c r="C54" s="3551"/>
      <c r="D54" s="2015">
        <f ca="1">C68</f>
        <v>12</v>
      </c>
      <c r="E54" s="2029" t="s">
        <v>872</v>
      </c>
      <c r="F54" s="2478">
        <f>'数据-取费表'!B41</f>
        <v>5.5000000000000007E-2</v>
      </c>
      <c r="G54" s="2479"/>
      <c r="H54" s="2480"/>
      <c r="I54" s="2510"/>
      <c r="J54" s="618">
        <v>3</v>
      </c>
      <c r="K54" s="3549" t="s">
        <v>873</v>
      </c>
      <c r="L54" s="3549"/>
      <c r="M54" s="2511">
        <f t="shared" ca="1" si="0"/>
        <v>135</v>
      </c>
      <c r="N54" s="618" t="str">
        <f t="shared" si="0"/>
        <v>增值额×税（费）率</v>
      </c>
      <c r="O54" s="2513" t="str">
        <f t="shared" si="0"/>
        <v>免征</v>
      </c>
    </row>
    <row r="55" spans="1:35" ht="24" customHeight="1">
      <c r="A55" s="3552" t="s">
        <v>874</v>
      </c>
      <c r="B55" s="3546"/>
      <c r="C55" s="3546"/>
      <c r="D55" s="2117">
        <f ca="1">IF(H55="个人住宅",0,ROUND(D45*I55,0))</f>
        <v>0</v>
      </c>
      <c r="E55" s="2019" t="s">
        <v>875</v>
      </c>
      <c r="F55" s="2478" t="str">
        <f>IF(H55="正常",I55,"免征")</f>
        <v>免征</v>
      </c>
      <c r="G55" s="2479"/>
      <c r="H55" s="2469"/>
      <c r="I55" s="2514">
        <f>'数据-取费表'!B49</f>
        <v>5.0000000000000001E-4</v>
      </c>
      <c r="J55" s="618">
        <f>IF(H59="非个人房产","",4)</f>
        <v>4</v>
      </c>
      <c r="K55" s="3549" t="str">
        <f>IF(H59="非个人房产","——","个人所得税")</f>
        <v>个人所得税</v>
      </c>
      <c r="L55" s="3549"/>
      <c r="M55" s="2515">
        <f ca="1">D59</f>
        <v>2</v>
      </c>
      <c r="N55" s="599" t="str">
        <f>E59</f>
        <v>差额计税</v>
      </c>
      <c r="O55" s="2516">
        <f>F59</f>
        <v>0.01</v>
      </c>
    </row>
    <row r="56" spans="1:35" ht="24.75">
      <c r="A56" s="3552" t="s">
        <v>876</v>
      </c>
      <c r="B56" s="3546"/>
      <c r="C56" s="3546"/>
      <c r="D56" s="2117">
        <f ca="1">IF(H56="个人住宅",D57,D58)</f>
        <v>135</v>
      </c>
      <c r="E56" s="2019" t="s">
        <v>877</v>
      </c>
      <c r="F56" s="2478" t="str">
        <f>IF(H56="正常",F58,"免征")</f>
        <v>免征</v>
      </c>
      <c r="G56" s="2481" t="s">
        <v>878</v>
      </c>
      <c r="H56" s="2482"/>
      <c r="I56" s="2491"/>
      <c r="J56" s="618"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849</v>
      </c>
      <c r="B57" s="3550" t="s">
        <v>879</v>
      </c>
      <c r="C57" s="3551"/>
      <c r="D57" s="2470">
        <v>0</v>
      </c>
      <c r="E57" s="2025" t="s">
        <v>851</v>
      </c>
      <c r="F57" s="1964"/>
      <c r="G57" s="2479"/>
      <c r="H57" s="2483"/>
      <c r="I57" s="2491"/>
      <c r="J57" s="3549">
        <f>IF(AND(J55="",J56=""),4,IF(项目基本情况!K6="上海银行",结果表!J56+1,结果表!J55+1))</f>
        <v>5</v>
      </c>
      <c r="K57" s="3549" t="s">
        <v>880</v>
      </c>
      <c r="L57" s="2517" t="s">
        <v>881</v>
      </c>
      <c r="M57" s="2518"/>
      <c r="N57" s="2519">
        <f ca="1">SUMIF(M52:M56,"&lt;9e307")</f>
        <v>137</v>
      </c>
      <c r="O57" s="2520"/>
      <c r="P57" s="2521">
        <f ca="1">N57/M49</f>
        <v>0.57563025210084029</v>
      </c>
    </row>
    <row r="58" spans="1:35" ht="24.75">
      <c r="A58" s="2477" t="s">
        <v>863</v>
      </c>
      <c r="B58" s="3550" t="s">
        <v>882</v>
      </c>
      <c r="C58" s="3548"/>
      <c r="D58" s="2117">
        <f ca="1">IF(H58="转让取得",C81,C97)</f>
        <v>135</v>
      </c>
      <c r="E58" s="2019" t="s">
        <v>877</v>
      </c>
      <c r="F58" s="1964" t="s">
        <v>124</v>
      </c>
      <c r="G58" s="2479"/>
      <c r="H58" s="2482"/>
      <c r="I58" s="2491"/>
      <c r="J58" s="3549"/>
      <c r="K58" s="3549"/>
      <c r="L58" s="2517" t="s">
        <v>883</v>
      </c>
      <c r="M58" s="2522"/>
      <c r="N58" s="2523" t="str">
        <f ca="1">NUMBERSTRING(INT(N57*10000),2)&amp;"元整"</f>
        <v>壹佰叁拾柒万元整</v>
      </c>
      <c r="O58" s="2524"/>
    </row>
    <row r="59" spans="1:35" ht="24">
      <c r="A59" s="3556" t="s">
        <v>884</v>
      </c>
      <c r="B59" s="3557"/>
      <c r="C59" s="3557"/>
      <c r="D59" s="2484">
        <f ca="1">IF(H59="非个人房产","——",IF(H59="个人住宅（满五唯一有凭证）",0,IF(H59="个人其他（无凭证）",ROUND(D45*F59,0),ROUND(C67*F59,0))))</f>
        <v>2</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610">
        <f>J57+1</f>
        <v>6</v>
      </c>
      <c r="K59" s="3549" t="s">
        <v>886</v>
      </c>
      <c r="L59" s="618" t="s">
        <v>881</v>
      </c>
      <c r="M59" s="2526"/>
      <c r="N59" s="2527">
        <f ca="1">M49-N57</f>
        <v>101</v>
      </c>
      <c r="O59" s="2528"/>
    </row>
    <row r="60" spans="1:35" ht="12" customHeight="1">
      <c r="A60" s="2489"/>
      <c r="B60" s="2364"/>
      <c r="C60" s="2364"/>
      <c r="D60" s="2364"/>
      <c r="E60" s="2490"/>
      <c r="F60" s="2491"/>
      <c r="G60" s="2491"/>
      <c r="H60" s="2492"/>
      <c r="I60" s="992"/>
      <c r="J60" s="3611"/>
      <c r="K60" s="3549"/>
      <c r="L60" s="2517" t="s">
        <v>883</v>
      </c>
      <c r="M60" s="2522"/>
      <c r="N60" s="2523" t="str">
        <f ca="1">NUMBERSTRING(INT(N59*10000),2)&amp;"元整"</f>
        <v>壹佰零壹万元整</v>
      </c>
      <c r="O60" s="2524"/>
    </row>
    <row r="61" spans="1:35" ht="12.75">
      <c r="A61" s="3558" t="s">
        <v>887</v>
      </c>
      <c r="B61" s="3558"/>
      <c r="C61" s="3558"/>
      <c r="D61" s="3558"/>
      <c r="E61" s="3558"/>
      <c r="F61" s="2491"/>
      <c r="G61" s="2491"/>
      <c r="H61" s="2492"/>
      <c r="I61" s="992"/>
      <c r="J61" s="618">
        <f>J59+1</f>
        <v>7</v>
      </c>
      <c r="K61" s="3549" t="s">
        <v>888</v>
      </c>
      <c r="L61" s="3549"/>
      <c r="M61" s="2529"/>
      <c r="N61" s="2530">
        <f ca="1">ROUND(N59*10000/'数据-汇总表'!E3,0)</f>
        <v>10789</v>
      </c>
      <c r="O61" s="2531"/>
    </row>
    <row r="62" spans="1:35" ht="12.75">
      <c r="A62" s="3559" t="s">
        <v>889</v>
      </c>
      <c r="B62" s="3560"/>
      <c r="C62" s="569"/>
      <c r="D62" s="569" t="s">
        <v>890</v>
      </c>
      <c r="E62" s="2493" t="s">
        <v>844</v>
      </c>
      <c r="F62" s="2491"/>
      <c r="G62" s="2491"/>
      <c r="H62" s="2492"/>
      <c r="I62" s="992"/>
    </row>
    <row r="63" spans="1:35" ht="12.75">
      <c r="A63" s="2494" t="s">
        <v>891</v>
      </c>
      <c r="B63" s="628" t="s">
        <v>892</v>
      </c>
      <c r="C63" s="2495">
        <f ca="1">ROUND((C64+C65)/(1+'数据-取费表'!C42),0)</f>
        <v>227</v>
      </c>
      <c r="D63" s="628"/>
      <c r="E63" s="2496"/>
      <c r="F63" s="2491"/>
      <c r="G63" s="2491"/>
      <c r="H63" s="2492"/>
      <c r="I63" s="992"/>
      <c r="J63" s="3612" t="s">
        <v>893</v>
      </c>
      <c r="K63" s="2532" t="s">
        <v>894</v>
      </c>
      <c r="L63" s="2532">
        <f ca="1">IF(M49&gt;10000,M49*0.5%,IF(AND(M49&gt;1000,M49&lt;=10000),M49*1%,IF(AND(M49&gt;100,M49&lt;=1000),M49*3%,IF(AND(M49&gt;10,M49&lt;=100),M49*5%,M49*8%))))</f>
        <v>7.14</v>
      </c>
      <c r="M63" s="1964">
        <f ca="1">ROUND(L63,1)</f>
        <v>7.1</v>
      </c>
      <c r="N63" s="2533"/>
      <c r="Z63" s="2361"/>
      <c r="AI63" s="2362"/>
    </row>
    <row r="64" spans="1:35" ht="14.25" customHeight="1">
      <c r="A64" s="2497" t="s">
        <v>895</v>
      </c>
      <c r="B64" s="555" t="s">
        <v>896</v>
      </c>
      <c r="C64" s="2498">
        <f ca="1">D45</f>
        <v>238</v>
      </c>
      <c r="D64" s="555" t="s">
        <v>124</v>
      </c>
      <c r="E64" s="2499"/>
      <c r="F64" s="2491"/>
      <c r="G64" s="2491"/>
      <c r="H64" s="2492"/>
      <c r="I64" s="992"/>
      <c r="J64" s="3612"/>
      <c r="K64" s="2532" t="s">
        <v>897</v>
      </c>
      <c r="L64" s="2532">
        <f ca="1">IF(M49&gt;2000,M49*0.5%,IF(AND(M49&gt;1000,M49&lt;=2000),M49*0.6%,IF(AND(M49&gt;500,M49&lt;=1000),M49*0.7%,IF(AND(M49&gt;200,M49&lt;=500),M49*0.8%,IF(AND(M49&gt;100,M49&lt;=200),M49*0.9%,IF(AND(M49&gt;50,M49&lt;=100),M49*1%,IF(AND(M49&gt;20,M49&lt;=50),M49*1.5%,IF(AND(M49&gt;10,M49&lt;=20),M49*2%,IF(AND(M49&gt;1,M49&lt;=10),M49*2.5%)))))))))</f>
        <v>1.9040000000000001</v>
      </c>
      <c r="M64" s="1964">
        <f t="shared" ref="M64:M65" ca="1" si="1">ROUND(L64,1)</f>
        <v>1.9</v>
      </c>
      <c r="N64" s="2132" t="s">
        <v>898</v>
      </c>
      <c r="Z64" s="2361"/>
      <c r="AI64" s="2362"/>
    </row>
    <row r="65" spans="1:35" ht="14.25" customHeight="1">
      <c r="A65" s="2497" t="s">
        <v>899</v>
      </c>
      <c r="B65" s="555" t="s">
        <v>900</v>
      </c>
      <c r="C65" s="2535"/>
      <c r="D65" s="555"/>
      <c r="E65" s="2499"/>
      <c r="F65" s="2491"/>
      <c r="G65" s="2491"/>
      <c r="H65" s="2492"/>
      <c r="I65" s="992"/>
      <c r="J65" s="3612"/>
      <c r="K65" s="2532" t="s">
        <v>901</v>
      </c>
      <c r="L65" s="2532">
        <f ca="1">IF(M49&gt;1000,M49*0.1%,IF(AND(M49&gt;500,M49&lt;=1000),M49*0.5%,IF(AND(M49&gt;50,M49&lt;=500),M49*1%,IF(AND(M49&gt;1,M49&lt;=50),M49*1.5%))))</f>
        <v>2.38</v>
      </c>
      <c r="M65" s="1964">
        <f t="shared" ca="1" si="1"/>
        <v>2.4</v>
      </c>
      <c r="N65" s="2132" t="s">
        <v>898</v>
      </c>
      <c r="Z65" s="2361"/>
      <c r="AI65" s="2362"/>
    </row>
    <row r="66" spans="1:35" ht="14.25" customHeight="1">
      <c r="A66" s="2494" t="s">
        <v>902</v>
      </c>
      <c r="B66" s="2536" t="s">
        <v>903</v>
      </c>
      <c r="C66" s="2537"/>
      <c r="D66" s="2536" t="s">
        <v>124</v>
      </c>
      <c r="E66" s="2538" t="s">
        <v>904</v>
      </c>
      <c r="F66" s="2491"/>
      <c r="G66" s="2491"/>
      <c r="H66" s="2492"/>
      <c r="I66" s="992"/>
      <c r="J66" s="3612"/>
      <c r="K66" s="2532" t="s">
        <v>905</v>
      </c>
      <c r="L66" s="2532">
        <f ca="1">M49*0.5%</f>
        <v>1.19</v>
      </c>
      <c r="M66" s="1964">
        <f ca="1">IF(L66&gt;0.5,0.5,ROUND(L66,0))</f>
        <v>0.5</v>
      </c>
      <c r="N66" s="2132" t="s">
        <v>906</v>
      </c>
      <c r="Z66" s="2361"/>
      <c r="AI66" s="2362"/>
    </row>
    <row r="67" spans="1:35" ht="14.25" customHeight="1">
      <c r="A67" s="2494" t="s">
        <v>907</v>
      </c>
      <c r="B67" s="2536" t="s">
        <v>908</v>
      </c>
      <c r="C67" s="2539">
        <f ca="1">C63-C66</f>
        <v>227</v>
      </c>
      <c r="D67" s="555" t="s">
        <v>124</v>
      </c>
      <c r="E67" s="2499"/>
      <c r="F67" s="2491"/>
      <c r="G67" s="2491"/>
      <c r="H67" s="2492"/>
      <c r="I67" s="992"/>
      <c r="J67" s="3612"/>
      <c r="K67" s="2532" t="s">
        <v>909</v>
      </c>
      <c r="L67" s="2532">
        <f ca="1">IF(M49&gt;=10000,(8.25+(M49-10000)*0.01%),IF(AND(M49&gt;=8000,M49&lt;10000),(7.85+(M49-8000)*0.02%),IF(AND(M49&gt;=5000,M49&lt;8000),(6.65+(M49-5000)*0.04%),IF(AND(M49&gt;=2000,M49&lt;5000),(4.25+(PM49-2000)*0.08%),IF(AND(M49&gt;=1000,M49&lt;2000),(2.75+(M49-1000)*0.15%),IF(AND(M49&gt;=100,M49&lt;1000),(0.5+(M49-100)*0.25%),IF(AND(M49&gt;0,M49&lt;100),M49*0.5%)))))))</f>
        <v>0.84499999999999997</v>
      </c>
      <c r="M67" s="1964">
        <f ca="1">ROUND(L67*0.9,1)</f>
        <v>0.8</v>
      </c>
      <c r="N67" s="2533"/>
      <c r="Z67" s="2361"/>
      <c r="AI67" s="2362"/>
    </row>
    <row r="68" spans="1:35" ht="14.25" customHeight="1">
      <c r="A68" s="2540" t="s">
        <v>910</v>
      </c>
      <c r="B68" s="2541" t="s">
        <v>911</v>
      </c>
      <c r="C68" s="2542">
        <f ca="1">IF(C67&lt;=0,0,ROUND(C67*D68,0))</f>
        <v>12</v>
      </c>
      <c r="D68" s="821">
        <f>'数据-取费表'!B41</f>
        <v>5.5000000000000007E-2</v>
      </c>
      <c r="E68" s="2543"/>
      <c r="F68" s="2491"/>
      <c r="G68" s="2491"/>
      <c r="H68" s="2492"/>
      <c r="I68" s="992"/>
      <c r="J68" s="3612"/>
      <c r="K68" s="2532" t="s">
        <v>912</v>
      </c>
      <c r="L68" s="2532">
        <f ca="1">IF(M49&gt;10000,M49*0.5%,IF(AND(M49&gt;5000,M49&lt;=10000),M49*1%,IF(AND(M49&gt;1000,M49&lt;=5000),M49*2%,IF(AND(M49&gt;200,M49&lt;=1000),M49*3%,M49*5%))))</f>
        <v>7.14</v>
      </c>
      <c r="M68" s="1964">
        <f ca="1">ROUND(L68,1)</f>
        <v>7.1</v>
      </c>
      <c r="N68" s="2533"/>
      <c r="Z68" s="2361"/>
      <c r="AI68" s="2362"/>
    </row>
    <row r="69" spans="1:35" s="2359" customFormat="1" ht="16.5" customHeight="1">
      <c r="A69" s="2544"/>
      <c r="B69" s="2545"/>
      <c r="C69" s="2546"/>
      <c r="D69" s="738"/>
      <c r="E69" s="2547"/>
      <c r="F69" s="2490"/>
      <c r="G69" s="2490"/>
      <c r="H69" s="2450"/>
      <c r="I69" s="2364"/>
      <c r="J69" s="3612"/>
      <c r="K69" s="2532" t="s">
        <v>913</v>
      </c>
      <c r="L69" s="2532"/>
      <c r="M69" s="1964">
        <f ca="1">ROUND(SUM(M63:M68),0)</f>
        <v>20</v>
      </c>
      <c r="N69" s="2610">
        <f ca="1">M69/M49</f>
        <v>8.4033613445378158E-2</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61" t="s">
        <v>914</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889</v>
      </c>
      <c r="B71" s="3560"/>
      <c r="C71" s="569"/>
      <c r="D71" s="569"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227</v>
      </c>
      <c r="D72" s="555" t="s">
        <v>124</v>
      </c>
      <c r="E72" s="1996"/>
      <c r="F72" s="1997"/>
      <c r="G72" s="199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1</v>
      </c>
      <c r="D73" s="555" t="s">
        <v>124</v>
      </c>
      <c r="E73" s="1996"/>
      <c r="F73" s="1997"/>
      <c r="G73" s="199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5" t="s">
        <v>917</v>
      </c>
      <c r="C74" s="555">
        <f>ROUND(IF(G77="2016年5月1日后购买",C75/(1+'数据-取费表'!C42)+C76+C77,C75+C76+C77),0)</f>
        <v>0</v>
      </c>
      <c r="D74" s="555" t="s">
        <v>124</v>
      </c>
      <c r="E74" s="1996"/>
      <c r="F74" s="1997"/>
      <c r="G74" s="199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5" t="s">
        <v>919</v>
      </c>
      <c r="C75" s="2552"/>
      <c r="D75" s="555" t="s">
        <v>124</v>
      </c>
      <c r="E75" s="2553" t="s">
        <v>920</v>
      </c>
      <c r="F75" s="2554"/>
      <c r="G75" s="2553" t="s">
        <v>921</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5">
        <f>IF(F75="购房发票",ROUND(C75*H75*D76,0),0)</f>
        <v>0</v>
      </c>
      <c r="D76" s="2557">
        <v>0.05</v>
      </c>
      <c r="E76" s="3550" t="s">
        <v>924</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5" t="s">
        <v>926</v>
      </c>
      <c r="C77" s="555">
        <f>ROUND(IF(G77="个人住宅",0,IF(G77="2016年5月1日前购买",C75*D77,C75*D77/(1+'数据-取费表'!C42))),0)</f>
        <v>0</v>
      </c>
      <c r="D77" s="2559">
        <f>'数据-取费表'!B48+'数据-取费表'!B49</f>
        <v>3.0499999999999999E-2</v>
      </c>
      <c r="E77" s="2117"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5" t="s">
        <v>928</v>
      </c>
      <c r="C78" s="2562">
        <f ca="1">ROUND(D45*D78/(1+'数据-取费表'!C42),0)</f>
        <v>1</v>
      </c>
      <c r="D78" s="2563">
        <f>'数据-取费表'!B43</f>
        <v>5.000000000000001E-3</v>
      </c>
      <c r="E78" s="3564" t="s">
        <v>929</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226</v>
      </c>
      <c r="D79" s="555" t="s">
        <v>124</v>
      </c>
      <c r="E79" s="1996"/>
      <c r="F79" s="1997"/>
      <c r="G79" s="199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226</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135</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934</v>
      </c>
      <c r="B83" s="3562"/>
      <c r="C83" s="3562"/>
      <c r="D83" s="3562"/>
      <c r="E83" s="3562"/>
      <c r="F83" s="3562"/>
      <c r="G83" s="3562"/>
      <c r="H83" s="3562"/>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889</v>
      </c>
      <c r="B84" s="3560"/>
      <c r="C84" s="569"/>
      <c r="D84" s="569" t="s">
        <v>890</v>
      </c>
      <c r="E84" s="2548" t="s">
        <v>844</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227</v>
      </c>
      <c r="D85" s="555" t="s">
        <v>124</v>
      </c>
      <c r="E85" s="1996"/>
      <c r="F85" s="1997"/>
      <c r="G85" s="1997"/>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1</v>
      </c>
      <c r="D86" s="2578"/>
      <c r="E86" s="1996"/>
      <c r="F86" s="1997"/>
      <c r="G86" s="1997"/>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5" t="s">
        <v>935</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5" t="s">
        <v>936</v>
      </c>
      <c r="C88" s="2579"/>
      <c r="D88" s="2563"/>
      <c r="E88" s="2580" t="s">
        <v>937</v>
      </c>
      <c r="F88" s="2565"/>
      <c r="G88" s="2581" t="s">
        <v>938</v>
      </c>
      <c r="H88" s="2582"/>
      <c r="I88" s="840"/>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5" t="s">
        <v>926</v>
      </c>
      <c r="C89" s="2562">
        <f>ROUND(C88*D89,0)</f>
        <v>0</v>
      </c>
      <c r="D89" s="2563">
        <f>'数据-取费表'!B48+'数据-取费表'!B49</f>
        <v>3.0499999999999999E-2</v>
      </c>
      <c r="E89" s="2580" t="s">
        <v>940</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5" t="s">
        <v>941</v>
      </c>
      <c r="C90" s="2579"/>
      <c r="D90" s="2563"/>
      <c r="E90" s="2580" t="str">
        <f>IF(H88="-","土地取得成本中已包含该笔费用"," ")</f>
        <v xml:space="preserve"> </v>
      </c>
      <c r="F90" s="2565"/>
      <c r="G90" s="3567" t="s">
        <v>942</v>
      </c>
      <c r="H90" s="3568"/>
      <c r="I90" s="840"/>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5" t="s">
        <v>945</v>
      </c>
      <c r="C91" s="2562">
        <f>IF(H91="——",成本法!C33,I91)</f>
        <v>0</v>
      </c>
      <c r="D91" s="2563"/>
      <c r="E91" s="3564" t="s">
        <v>946</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5" t="s">
        <v>948</v>
      </c>
      <c r="C92" s="2562">
        <f>ROUND((C87+C90+C91)*D92,0)</f>
        <v>0</v>
      </c>
      <c r="D92" s="2584"/>
      <c r="E92" s="3564" t="s">
        <v>949</v>
      </c>
      <c r="F92" s="3565"/>
      <c r="G92" s="3565"/>
      <c r="H92" s="3566"/>
      <c r="I92" s="840"/>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5" t="s">
        <v>928</v>
      </c>
      <c r="C93" s="2562">
        <f ca="1">ROUND(D45*D93/(1+'数据-取费表'!C42),0)</f>
        <v>1</v>
      </c>
      <c r="D93" s="2563">
        <f>'数据-取费表'!B43</f>
        <v>5.000000000000001E-3</v>
      </c>
      <c r="E93" s="3564" t="s">
        <v>929</v>
      </c>
      <c r="F93" s="3565"/>
      <c r="G93" s="3565"/>
      <c r="H93" s="3566"/>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5" t="s">
        <v>953</v>
      </c>
      <c r="C94" s="2579">
        <f>ROUND((C87+C90+C91)*D94,0)</f>
        <v>0</v>
      </c>
      <c r="D94" s="2563">
        <v>0.2</v>
      </c>
      <c r="E94" s="3569" t="s">
        <v>954</v>
      </c>
      <c r="F94" s="3570"/>
      <c r="G94" s="3570"/>
      <c r="H94" s="3571"/>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226</v>
      </c>
      <c r="D95" s="555" t="s">
        <v>124</v>
      </c>
      <c r="E95" s="1996"/>
      <c r="F95" s="1997"/>
      <c r="G95" s="1997"/>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226</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135</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955</v>
      </c>
      <c r="B99" s="2364"/>
      <c r="C99" s="2364"/>
      <c r="D99" s="2364"/>
      <c r="E99" s="2490"/>
      <c r="F99" s="2490"/>
      <c r="G99" s="2490"/>
      <c r="H99" s="2450"/>
      <c r="I99" s="992"/>
    </row>
    <row r="100" spans="1:35" ht="18.75" customHeight="1">
      <c r="A100" s="3510" t="s">
        <v>956</v>
      </c>
      <c r="B100" s="3511"/>
      <c r="C100" s="3511"/>
      <c r="D100" s="3572"/>
      <c r="E100" s="3511" t="s">
        <v>957</v>
      </c>
      <c r="F100" s="3511"/>
      <c r="G100" s="3511"/>
      <c r="H100" s="3572"/>
      <c r="I100" s="992"/>
    </row>
    <row r="101" spans="1:35" ht="18.75" customHeight="1">
      <c r="A101" s="3573" t="s">
        <v>958</v>
      </c>
      <c r="B101" s="3574"/>
      <c r="C101" s="2587" t="str">
        <f>C4</f>
        <v>比较法-商业</v>
      </c>
      <c r="D101" s="2588" t="str">
        <f>D4</f>
        <v>收益法 (元)</v>
      </c>
      <c r="E101" s="3613" t="s">
        <v>959</v>
      </c>
      <c r="F101" s="3614"/>
      <c r="G101" s="2590" t="s">
        <v>960</v>
      </c>
      <c r="H101" s="2591">
        <f ca="1">H118</f>
        <v>238</v>
      </c>
      <c r="I101" s="992"/>
    </row>
    <row r="102" spans="1:35" ht="18.75" customHeight="1">
      <c r="A102" s="3598" t="s">
        <v>961</v>
      </c>
      <c r="B102" s="2592" t="s">
        <v>960</v>
      </c>
      <c r="C102" s="2587">
        <f ca="1">IF(D32="楼面单价",ROUND(C19,0),C19)</f>
        <v>266</v>
      </c>
      <c r="D102" s="2588">
        <f ca="1">IF(D32="楼面单价",ROUND(D19,0),D19)</f>
        <v>187</v>
      </c>
      <c r="E102" s="3613"/>
      <c r="F102" s="3614"/>
      <c r="G102" s="2590" t="s">
        <v>99</v>
      </c>
      <c r="H102" s="2479">
        <f ca="1">I118</f>
        <v>25435</v>
      </c>
      <c r="I102" s="992"/>
    </row>
    <row r="103" spans="1:35" ht="42.75" customHeight="1">
      <c r="A103" s="3598"/>
      <c r="B103" s="2592" t="s">
        <v>99</v>
      </c>
      <c r="C103" s="2593">
        <f ca="1">C20</f>
        <v>28368</v>
      </c>
      <c r="D103" s="2594">
        <f ca="1">D20</f>
        <v>19989</v>
      </c>
      <c r="E103" s="3575" t="s">
        <v>962</v>
      </c>
      <c r="F103" s="3576"/>
      <c r="G103" s="2595" t="s">
        <v>102</v>
      </c>
      <c r="H103" s="2591">
        <f>IF(D36="正常操作",H104+H105+H106,H105+H106)</f>
        <v>0</v>
      </c>
      <c r="I103" s="992"/>
    </row>
    <row r="104" spans="1:35" ht="18.75" customHeight="1">
      <c r="A104" s="3598" t="s">
        <v>963</v>
      </c>
      <c r="B104" s="2596" t="s">
        <v>960</v>
      </c>
      <c r="C104" s="2597">
        <f ca="1">H118</f>
        <v>238</v>
      </c>
      <c r="D104" s="2598"/>
      <c r="E104" s="2435" t="s">
        <v>964</v>
      </c>
      <c r="F104" s="2599"/>
      <c r="G104" s="2595" t="s">
        <v>102</v>
      </c>
      <c r="H104" s="2600">
        <f>IF(D36="同一抵押权人同一抵押物续贷",C36&amp;"（续贷，未扣减，详见特别提示）",C36)</f>
        <v>0</v>
      </c>
      <c r="I104" s="992"/>
    </row>
    <row r="105" spans="1:35" ht="18.75" customHeight="1">
      <c r="A105" s="3599"/>
      <c r="B105" s="2601" t="s">
        <v>99</v>
      </c>
      <c r="C105" s="2602">
        <f ca="1">I118</f>
        <v>25435</v>
      </c>
      <c r="D105" s="2603"/>
      <c r="E105" s="2435" t="s">
        <v>965</v>
      </c>
      <c r="F105" s="2599"/>
      <c r="G105" s="2595" t="s">
        <v>102</v>
      </c>
      <c r="H105" s="2604">
        <f>C37</f>
        <v>0</v>
      </c>
      <c r="I105" s="992"/>
    </row>
    <row r="106" spans="1:35" ht="18.75" customHeight="1">
      <c r="A106" s="2364" t="s">
        <v>966</v>
      </c>
      <c r="B106" s="2364"/>
      <c r="C106" s="2364"/>
      <c r="D106" s="2364"/>
      <c r="E106" s="2605" t="s">
        <v>967</v>
      </c>
      <c r="F106" s="2599"/>
      <c r="G106" s="2595" t="s">
        <v>102</v>
      </c>
      <c r="H106" s="2604">
        <f>C38</f>
        <v>0</v>
      </c>
      <c r="I106" s="992"/>
    </row>
    <row r="107" spans="1:35" ht="18.75" customHeight="1">
      <c r="A107" s="992"/>
      <c r="B107" s="992"/>
      <c r="C107" s="992"/>
      <c r="D107" s="992"/>
      <c r="E107" s="3615" t="str">
        <f>IF(项目基本情况!E8="已注销","——","3.房地产抵押价值")</f>
        <v>3.房地产抵押价值</v>
      </c>
      <c r="F107" s="3614"/>
      <c r="G107" s="2590" t="s">
        <v>960</v>
      </c>
      <c r="H107" s="2591">
        <f ca="1">IF(E107="——","——",H101-H103)</f>
        <v>238</v>
      </c>
      <c r="I107" s="992"/>
    </row>
    <row r="108" spans="1:35" ht="18.75" customHeight="1">
      <c r="A108" s="992"/>
      <c r="B108" s="992"/>
      <c r="C108" s="992"/>
      <c r="D108" s="992"/>
      <c r="E108" s="3615"/>
      <c r="F108" s="3614"/>
      <c r="G108" s="2590" t="s">
        <v>99</v>
      </c>
      <c r="H108" s="2479">
        <f ca="1">IF(H107=H101,H102,ROUND(H107*10000/'数据-汇总表'!E3,0))</f>
        <v>25435</v>
      </c>
      <c r="I108" s="992"/>
    </row>
    <row r="109" spans="1:35" ht="18.75" customHeight="1">
      <c r="A109" s="992"/>
      <c r="B109" s="992"/>
      <c r="C109" s="992"/>
      <c r="D109" s="992"/>
      <c r="E109" s="3615" t="str">
        <f>IF(项目基本情况!E8="已注销及未注销","4.抵押担保权已注销时的房地产抵押价值",IF(项目基本情况!E8="已注销","3.抵押担保权已注销时的房地产抵押价值","——"))</f>
        <v>——</v>
      </c>
      <c r="F109" s="3614"/>
      <c r="G109" s="2590" t="s">
        <v>960</v>
      </c>
      <c r="H109" s="2606" t="str">
        <f>IF(E109="——","——",H101-H105-H106)</f>
        <v>——</v>
      </c>
      <c r="I109" s="992"/>
    </row>
    <row r="110" spans="1:35" ht="18.75" customHeight="1">
      <c r="A110" s="992"/>
      <c r="B110" s="992"/>
      <c r="C110" s="992"/>
      <c r="D110" s="992"/>
      <c r="E110" s="3615"/>
      <c r="F110" s="3614"/>
      <c r="G110" s="2590" t="s">
        <v>99</v>
      </c>
      <c r="H110" s="2479" t="str">
        <f>IF(H109="——","——",ROUND(H109*10000/'数据-汇总表'!E3,0))</f>
        <v>——</v>
      </c>
      <c r="I110" s="992"/>
    </row>
    <row r="111" spans="1:35" ht="18.75" customHeight="1">
      <c r="A111" s="992"/>
      <c r="B111" s="992"/>
      <c r="C111" s="992"/>
      <c r="D111" s="992"/>
      <c r="E111" s="3616" t="str">
        <f>IF(项目基本情况!E9="抵押净值",IF(OR(项目基本情况!E8="已注销",项目基本情况!E8="房地产抵押价值"),"4.抵押净值","5.抵押净值"),"——")</f>
        <v>——</v>
      </c>
      <c r="F111" s="3591"/>
      <c r="G111" s="2590" t="s">
        <v>960</v>
      </c>
      <c r="H111" s="2591" t="str">
        <f>IF(E111="——","——",N59)</f>
        <v>——</v>
      </c>
      <c r="I111" s="992"/>
    </row>
    <row r="112" spans="1:35" ht="18.75" customHeight="1">
      <c r="A112" s="992"/>
      <c r="B112" s="992"/>
      <c r="C112" s="992"/>
      <c r="D112" s="992"/>
      <c r="E112" s="3617"/>
      <c r="F112" s="3618"/>
      <c r="G112" s="2607" t="s">
        <v>99</v>
      </c>
      <c r="H112" s="2608" t="str">
        <f>IF(E111="——","——",N61)</f>
        <v>——</v>
      </c>
      <c r="I112" s="992"/>
    </row>
    <row r="113" spans="1:27" ht="18.75" customHeight="1">
      <c r="A113" s="992"/>
      <c r="B113" s="992"/>
      <c r="C113" s="992"/>
      <c r="D113" s="992"/>
      <c r="E113" s="3577" t="s">
        <v>966</v>
      </c>
      <c r="F113" s="3577"/>
      <c r="G113" s="3577"/>
      <c r="H113" s="3577"/>
      <c r="I113" s="992"/>
    </row>
    <row r="114" spans="1:27" ht="3.75" customHeight="1">
      <c r="A114" s="2364"/>
      <c r="B114" s="2364"/>
      <c r="C114" s="2364"/>
      <c r="D114" s="2364"/>
      <c r="E114" s="2489"/>
      <c r="F114" s="2489"/>
      <c r="G114" s="2489"/>
      <c r="H114" s="2489"/>
      <c r="I114" s="2364"/>
    </row>
    <row r="115" spans="1:27" ht="18.75" customHeight="1">
      <c r="A115" s="3578" t="s">
        <v>968</v>
      </c>
      <c r="B115" s="3579"/>
      <c r="C115" s="3579"/>
      <c r="D115" s="3579"/>
      <c r="E115" s="3579"/>
      <c r="F115" s="3579"/>
      <c r="G115" s="3579"/>
      <c r="H115" s="3579"/>
      <c r="I115" s="3580"/>
    </row>
    <row r="116" spans="1:27" ht="27" customHeight="1">
      <c r="A116" s="3584" t="s">
        <v>969</v>
      </c>
      <c r="B116" s="3601" t="s">
        <v>970</v>
      </c>
      <c r="C116" s="3601" t="s">
        <v>971</v>
      </c>
      <c r="D116" s="3581" t="s">
        <v>972</v>
      </c>
      <c r="E116" s="3582"/>
      <c r="F116" s="3583" t="s">
        <v>973</v>
      </c>
      <c r="G116" s="3583"/>
      <c r="H116" s="3584" t="s">
        <v>974</v>
      </c>
      <c r="I116" s="3584"/>
    </row>
    <row r="117" spans="1:27" ht="18.75" customHeight="1">
      <c r="A117" s="3584"/>
      <c r="B117" s="3602"/>
      <c r="C117" s="3602"/>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93.61</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238</v>
      </c>
      <c r="I118" s="2374">
        <f ca="1">ROUND(IF(D32="楼面单价",C32,H118*10000/B118),0)</f>
        <v>25435</v>
      </c>
    </row>
    <row r="119" spans="1:27" ht="18.75" customHeight="1">
      <c r="A119" s="3584" t="s">
        <v>976</v>
      </c>
      <c r="B119" s="3584"/>
      <c r="C119" s="3584"/>
      <c r="D119" s="3585" t="e">
        <f ca="1">NUMBERSTRING(INT(D118*10000),2)&amp;"元整"</f>
        <v>#REF!</v>
      </c>
      <c r="E119" s="3586"/>
      <c r="F119" s="3585" t="e">
        <f ca="1">NUMBERSTRING(INT(F118*10000),2)&amp;"元整"</f>
        <v>#REF!</v>
      </c>
      <c r="G119" s="3586"/>
      <c r="H119" s="3585" t="str">
        <f ca="1">NUMBERSTRING(INT(H118*10000),2)&amp;"元整"</f>
        <v>贰佰叁拾捌万元整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976</v>
      </c>
      <c r="B121" s="3590"/>
      <c r="C121" s="3586"/>
      <c r="D121" s="3585" t="str">
        <f>IF(D120=0,"零元整",NUMBERSTRING(INT(D120*10000),2)&amp;"元整")</f>
        <v>零元整</v>
      </c>
      <c r="E121" s="3590"/>
      <c r="F121" s="3590"/>
      <c r="G121" s="3590"/>
      <c r="H121" s="3590"/>
      <c r="I121" s="3586"/>
      <c r="AA121" s="950"/>
    </row>
    <row r="122" spans="1:27" ht="18.75" customHeight="1">
      <c r="A122" s="3591" t="str">
        <f>IF(项目基本情况!B9="房地产市场价值","",MID(E107,3,LEN(E107)-2))</f>
        <v>房地产抵押价值</v>
      </c>
      <c r="B122" s="3591"/>
      <c r="C122" s="3591"/>
      <c r="D122" s="3587">
        <f ca="1">H107</f>
        <v>238</v>
      </c>
      <c r="E122" s="3588"/>
      <c r="F122" s="3588"/>
      <c r="G122" s="3588"/>
      <c r="H122" s="3588"/>
      <c r="I122" s="3589"/>
      <c r="AA122" s="950"/>
    </row>
    <row r="123" spans="1:27" ht="18.75" customHeight="1">
      <c r="A123" s="3584" t="s">
        <v>976</v>
      </c>
      <c r="B123" s="3584"/>
      <c r="C123" s="3584"/>
      <c r="D123" s="3585" t="str">
        <f ca="1">NUMBERSTRING(INT(D122*10000),2)&amp;"元整"</f>
        <v>贰佰叁拾捌万元整</v>
      </c>
      <c r="E123" s="3590"/>
      <c r="F123" s="3590"/>
      <c r="G123" s="3590"/>
      <c r="H123" s="3590"/>
      <c r="I123" s="3586"/>
      <c r="AA123" s="950"/>
    </row>
    <row r="124" spans="1:27" ht="18.75" customHeight="1">
      <c r="A124" s="3591" t="str">
        <f>IF(项目基本情况!B9="房地产市场价值","",MID(E109,3,LEN(E109)-2))</f>
        <v/>
      </c>
      <c r="B124" s="3591"/>
      <c r="C124" s="3591"/>
      <c r="D124" s="3587" t="str">
        <f>H109</f>
        <v>——</v>
      </c>
      <c r="E124" s="3588"/>
      <c r="F124" s="3588"/>
      <c r="G124" s="3588"/>
      <c r="H124" s="3588"/>
      <c r="I124" s="3589"/>
      <c r="AA124" s="950"/>
    </row>
    <row r="125" spans="1:27" ht="18.75" customHeight="1">
      <c r="A125" s="3584" t="s">
        <v>976</v>
      </c>
      <c r="B125" s="3584"/>
      <c r="C125" s="3584"/>
      <c r="D125" s="3585" t="e">
        <f>NUMBERSTRING(INT(D124*10000),2)&amp;"元整"</f>
        <v>#VALUE!</v>
      </c>
      <c r="E125" s="3590"/>
      <c r="F125" s="3590"/>
      <c r="G125" s="3590"/>
      <c r="H125" s="3590"/>
      <c r="I125" s="3586"/>
      <c r="AA125" s="950"/>
    </row>
    <row r="126" spans="1:27" ht="18.75" customHeight="1">
      <c r="A126" s="3591" t="str">
        <f>IF(项目基本情况!B9="房地产市场价值","",MID(E111,3,LEN(E111)-2))</f>
        <v/>
      </c>
      <c r="B126" s="3591"/>
      <c r="C126" s="3591"/>
      <c r="D126" s="3587" t="str">
        <f>H111</f>
        <v>——</v>
      </c>
      <c r="E126" s="3588"/>
      <c r="F126" s="3588"/>
      <c r="G126" s="3588"/>
      <c r="H126" s="3588"/>
      <c r="I126" s="3589"/>
      <c r="AA126" s="950"/>
    </row>
    <row r="127" spans="1:27" ht="18.75" customHeight="1">
      <c r="A127" s="3584" t="s">
        <v>976</v>
      </c>
      <c r="B127" s="3584"/>
      <c r="C127" s="3584"/>
      <c r="D127" s="3585" t="e">
        <f>NUMBERSTRING(INT(D126*10000),2)&amp;"元整"</f>
        <v>#VALUE!</v>
      </c>
      <c r="E127" s="3590"/>
      <c r="F127" s="3590"/>
      <c r="G127" s="3590"/>
      <c r="H127" s="3590"/>
      <c r="I127" s="3586"/>
      <c r="AA127" s="950"/>
    </row>
    <row r="128" spans="1:27" ht="21.75" customHeight="1">
      <c r="A128" s="3592" t="s">
        <v>113</v>
      </c>
      <c r="B128" s="3592"/>
      <c r="C128" s="3592"/>
      <c r="D128" s="3592"/>
      <c r="E128" s="3592"/>
      <c r="F128" s="3592"/>
      <c r="G128" s="3592"/>
      <c r="H128" s="3592"/>
      <c r="I128" s="3592"/>
      <c r="AA128" s="950"/>
    </row>
    <row r="129" spans="1:35" ht="21.75" customHeight="1">
      <c r="A129" s="2620" t="s">
        <v>977</v>
      </c>
      <c r="B129" s="2621"/>
      <c r="C129" s="2622" t="s">
        <v>978</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979</v>
      </c>
      <c r="G135" s="2634"/>
      <c r="H135" s="2634"/>
      <c r="I135" s="2642" t="s">
        <v>980</v>
      </c>
    </row>
    <row r="136" spans="1:35" ht="21.75" customHeight="1">
      <c r="A136" s="950"/>
      <c r="B136" s="2635"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982</v>
      </c>
    </row>
    <row r="139" spans="1:35" ht="21.75" customHeight="1">
      <c r="A139" s="950"/>
      <c r="B139" s="2635" t="s">
        <v>983</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982</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08"/>
      <c r="C1" s="376"/>
      <c r="D1" s="376"/>
      <c r="E1" s="376"/>
      <c r="F1" s="376"/>
      <c r="G1" s="2310">
        <f>MATCH(B1,'数据-取费表'!A6:A16,0)+5</f>
        <v>7</v>
      </c>
    </row>
    <row r="2" spans="1:9" s="366" customFormat="1" ht="18" customHeight="1">
      <c r="A2" s="378" t="s">
        <v>985</v>
      </c>
      <c r="B2" s="379">
        <f ca="1">IF(D2="——",C52,C52-E2)</f>
        <v>46</v>
      </c>
      <c r="C2" s="377" t="s">
        <v>986</v>
      </c>
      <c r="D2" s="2312" t="s">
        <v>124</v>
      </c>
      <c r="E2" s="2313" t="e">
        <f ca="1">SUMIF(INDIRECT("'"&amp;G2&amp;"'"&amp;"!A:A"),"承租人权益价值",INDIRECT("'"&amp;G2&amp;"'"&amp;"!c:c"))</f>
        <v>#REF!</v>
      </c>
      <c r="F2" s="2314" t="s">
        <v>986</v>
      </c>
      <c r="G2" s="2315"/>
    </row>
    <row r="3" spans="1:9" s="366" customFormat="1" ht="18" customHeight="1">
      <c r="A3" s="381" t="s">
        <v>987</v>
      </c>
      <c r="B3" s="382">
        <f ca="1">ROUND(B2*10000/(IF(B1="",'数据-汇总表'!E3,INDIRECT("'数据-取费表'!k"&amp;$G$1))),0)</f>
        <v>4914</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1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5"/>
      <c r="H9" s="2356"/>
      <c r="I9" s="2357"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93.61</v>
      </c>
      <c r="E10" s="403">
        <f>'数据-取费表'!B28</f>
        <v>190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93.61</v>
      </c>
      <c r="E19" s="388">
        <f>'数据-取费表'!B31</f>
        <v>200</v>
      </c>
      <c r="F19" s="413"/>
      <c r="G19" s="231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6.9999999999999999E-4</v>
      </c>
      <c r="D26" s="424"/>
      <c r="E26" s="427"/>
      <c r="F26" s="425"/>
      <c r="G26" s="429"/>
    </row>
    <row r="27" spans="1:7" s="368" customFormat="1" ht="24.75">
      <c r="A27" s="386" t="s">
        <v>1040</v>
      </c>
      <c r="B27" s="430" t="s">
        <v>1041</v>
      </c>
      <c r="C27" s="431">
        <f ca="1">C28</f>
        <v>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2</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36</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33</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93.61</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19" t="s">
        <v>1064</v>
      </c>
    </row>
    <row r="43" spans="1:7" ht="13.5" customHeight="1">
      <c r="A43" s="422" t="s">
        <v>996</v>
      </c>
      <c r="B43" s="392" t="s">
        <v>1034</v>
      </c>
      <c r="C43" s="424">
        <f ca="1">ROUND(IF('数据-取费表'!B22&lt;=1,C39*F22*'数据-取费表'!B21/2,C39*(POWER((1+F22),'数据-取费表'!B21/2)-1)),0)</f>
        <v>0</v>
      </c>
      <c r="D43" s="424"/>
      <c r="E43" s="424"/>
      <c r="F43" s="425"/>
      <c r="G43" s="3620"/>
    </row>
    <row r="44" spans="1:7" ht="13.5" customHeight="1">
      <c r="A44" s="422" t="s">
        <v>998</v>
      </c>
      <c r="B44" s="392" t="s">
        <v>1036</v>
      </c>
      <c r="C44" s="424">
        <f ca="1">ROUND(IF('数据-取费表'!B22&lt;=1,C40*F22*'数据-取费表'!B21/2,C40*(POWER((1+F22),'数据-取费表'!B21/2)-1)),4)</f>
        <v>6.9999999999999999E-4</v>
      </c>
      <c r="D44" s="424"/>
      <c r="E44" s="424"/>
      <c r="F44" s="425"/>
      <c r="G44" s="3621"/>
    </row>
    <row r="45" spans="1:7" s="368" customFormat="1" ht="13.5" customHeight="1">
      <c r="A45" s="386" t="s">
        <v>1030</v>
      </c>
      <c r="B45" s="430" t="s">
        <v>1041</v>
      </c>
      <c r="C45" s="431">
        <f ca="1">C46</f>
        <v>6</v>
      </c>
      <c r="D45" s="417">
        <f ca="1">C47</f>
        <v>3.0000000000000001E-3</v>
      </c>
      <c r="E45" s="418" t="s">
        <v>1062</v>
      </c>
      <c r="F45" s="432">
        <f ca="1">F27</f>
        <v>0.15</v>
      </c>
      <c r="G45" s="433" t="s">
        <v>1065</v>
      </c>
    </row>
    <row r="46" spans="1:7" s="368" customFormat="1" ht="13.5" customHeight="1">
      <c r="A46" s="422" t="s">
        <v>994</v>
      </c>
      <c r="B46" s="434" t="s">
        <v>1066</v>
      </c>
      <c r="C46" s="435">
        <f ca="1">ROUND((C33+C39)*F27,0)</f>
        <v>6</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19">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48</v>
      </c>
      <c r="D49" s="414"/>
      <c r="E49" s="414"/>
      <c r="F49" s="449"/>
      <c r="G49" s="419" t="s">
        <v>1070</v>
      </c>
    </row>
    <row r="50" spans="1:7" s="370" customFormat="1" ht="24">
      <c r="A50" s="386" t="s">
        <v>1071</v>
      </c>
      <c r="B50" s="387" t="s">
        <v>1072</v>
      </c>
      <c r="C50" s="414"/>
      <c r="D50" s="414"/>
      <c r="E50" s="414"/>
      <c r="F50" s="449">
        <f>IF('数据-取费表'!B24=0,'数据-取费表'!N16,1)</f>
        <v>0.92</v>
      </c>
      <c r="G50" s="433" t="s">
        <v>1073</v>
      </c>
    </row>
    <row r="51" spans="1:7" ht="16.5" customHeight="1">
      <c r="A51" s="386" t="s">
        <v>1074</v>
      </c>
      <c r="B51" s="387" t="s">
        <v>1075</v>
      </c>
      <c r="C51" s="414">
        <f ca="1">ROUND(C49*F50,0)</f>
        <v>44</v>
      </c>
      <c r="D51" s="414"/>
      <c r="E51" s="414"/>
      <c r="F51" s="449"/>
      <c r="G51" s="419" t="s">
        <v>1076</v>
      </c>
    </row>
    <row r="52" spans="1:7" s="367" customFormat="1" ht="15.75">
      <c r="A52" s="450" t="s">
        <v>1077</v>
      </c>
      <c r="B52" s="451"/>
      <c r="C52" s="452">
        <f ca="1">C31+C51</f>
        <v>46</v>
      </c>
      <c r="D52" s="451"/>
      <c r="E52" s="451"/>
      <c r="F52" s="451"/>
      <c r="G52" s="453"/>
    </row>
    <row r="55" spans="1:7" ht="15">
      <c r="B55" s="454" t="s">
        <v>1078</v>
      </c>
      <c r="C55" s="455"/>
    </row>
    <row r="56" spans="1:7">
      <c r="B56" s="456" t="s">
        <v>1079</v>
      </c>
      <c r="C56" s="458">
        <f ca="1">1-C57</f>
        <v>4.3000000000000038E-2</v>
      </c>
    </row>
    <row r="57" spans="1:7">
      <c r="B57" s="456" t="s">
        <v>1080</v>
      </c>
      <c r="C57" s="457">
        <f ca="1">ROUND(C51/C52,3)</f>
        <v>0.95699999999999996</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L42" sqref="L42"/>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1082</v>
      </c>
      <c r="C1" s="1508" t="s">
        <v>1083</v>
      </c>
      <c r="D1" s="1451">
        <v>201</v>
      </c>
      <c r="E1" s="1649" t="s">
        <v>1084</v>
      </c>
      <c r="F1" s="1453" t="s">
        <v>1085</v>
      </c>
      <c r="G1" s="1454" t="s">
        <v>1086</v>
      </c>
      <c r="H1" s="1455"/>
      <c r="I1" s="1455"/>
      <c r="J1" s="1455"/>
      <c r="K1" s="1506"/>
      <c r="L1" s="1507"/>
      <c r="M1" s="1508"/>
      <c r="N1" s="1508"/>
      <c r="O1" s="1508"/>
      <c r="P1" s="2334"/>
      <c r="Q1" s="2343"/>
      <c r="R1" s="2343"/>
      <c r="S1" s="2343"/>
      <c r="T1" s="2343"/>
      <c r="U1" s="2343"/>
      <c r="V1" s="2343"/>
      <c r="W1" s="2343"/>
      <c r="X1" s="2343"/>
      <c r="Y1" s="2343"/>
      <c r="Z1" s="2343"/>
      <c r="AA1" s="2343"/>
      <c r="AB1" s="2343"/>
      <c r="AC1" s="2344"/>
    </row>
    <row r="2" spans="1:29" s="1068" customFormat="1" ht="28.5" customHeight="1">
      <c r="A2" s="1456" t="s">
        <v>985</v>
      </c>
      <c r="B2" s="1457">
        <f>IF(E1="项目模式",IF(C2="——",ROUND(C49*D3/10000,0),ROUND(C49*D3/10000,0)-D2),IF(E1="单套模式",IF(C2="——",ROUND(C49*D3/10000,4),ROUND(C49*D3/10000,4)-D2)))</f>
        <v>265.55279999999999</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2335"/>
      <c r="Q2" s="1589"/>
      <c r="R2" s="1589"/>
      <c r="S2" s="1589"/>
      <c r="T2" s="1589"/>
      <c r="U2" s="1589"/>
      <c r="V2" s="1589"/>
      <c r="W2" s="1589"/>
      <c r="X2" s="1589"/>
      <c r="Y2" s="1589"/>
      <c r="Z2" s="1589"/>
      <c r="AA2" s="1589"/>
      <c r="AB2" s="1589"/>
      <c r="AC2" s="2345"/>
    </row>
    <row r="3" spans="1:29" s="1068" customFormat="1" ht="28.5" customHeight="1">
      <c r="A3" s="381" t="s">
        <v>987</v>
      </c>
      <c r="B3" s="1086">
        <f>IF(C2="——",C49,ROUND(B2*10000/D3,0))</f>
        <v>28368</v>
      </c>
      <c r="C3" s="1461" t="s">
        <v>1087</v>
      </c>
      <c r="D3" s="1462">
        <f>IF(D1="",'数据-汇总表'!E3,SUMIF('数据-汇总表'!$C19:$C33,D1,'数据-汇总表'!$E19:$E33))</f>
        <v>93.61</v>
      </c>
      <c r="E3" s="1627"/>
      <c r="F3" s="1085"/>
      <c r="G3" s="1084"/>
      <c r="H3" s="1084"/>
      <c r="I3" s="1084"/>
      <c r="J3" s="1084"/>
      <c r="K3" s="1232"/>
      <c r="L3" s="1233"/>
      <c r="M3" s="1234"/>
      <c r="N3" s="1234"/>
      <c r="O3" s="1234"/>
      <c r="P3" s="2335"/>
      <c r="Q3" s="1589"/>
      <c r="R3" s="1589"/>
      <c r="S3" s="1589"/>
      <c r="T3" s="1589"/>
      <c r="U3" s="1589"/>
      <c r="V3" s="1589"/>
      <c r="W3" s="1589"/>
      <c r="X3" s="1589"/>
      <c r="Y3" s="1589"/>
      <c r="Z3" s="1589"/>
      <c r="AA3" s="1589"/>
      <c r="AB3" s="1589"/>
      <c r="AC3" s="1627"/>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39" t="s">
        <v>1091</v>
      </c>
      <c r="AC4" s="3654" t="s">
        <v>1092</v>
      </c>
    </row>
    <row r="5" spans="1:29" ht="15">
      <c r="A5" s="1090"/>
      <c r="B5" s="1091"/>
      <c r="C5" s="3626" t="s">
        <v>1095</v>
      </c>
      <c r="D5" s="3627"/>
      <c r="E5" s="3628" t="s">
        <v>1096</v>
      </c>
      <c r="F5" s="3629"/>
      <c r="G5" s="3630" t="s">
        <v>1097</v>
      </c>
      <c r="H5" s="3627"/>
      <c r="I5" s="3630" t="s">
        <v>1098</v>
      </c>
      <c r="J5" s="3627"/>
      <c r="K5" s="1235"/>
      <c r="L5" s="1236"/>
      <c r="M5" s="1237"/>
      <c r="N5" s="1237"/>
      <c r="O5" s="1237"/>
      <c r="P5" s="3659"/>
      <c r="Q5" s="3660"/>
      <c r="R5" s="3665"/>
      <c r="S5" s="3666"/>
      <c r="T5" s="3665"/>
      <c r="U5" s="3666"/>
      <c r="V5" s="3639"/>
      <c r="W5" s="3639"/>
      <c r="X5" s="1279"/>
      <c r="Y5" s="3665"/>
      <c r="Z5" s="3666"/>
      <c r="AA5" s="3655"/>
      <c r="AB5" s="3639"/>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39"/>
      <c r="AC6" s="3656"/>
    </row>
    <row r="7" spans="1:29" s="1069" customFormat="1" ht="15">
      <c r="A7" s="1094" t="s">
        <v>1101</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238"/>
      <c r="L7" s="1239"/>
      <c r="M7" s="1240"/>
      <c r="N7" s="1240"/>
      <c r="O7" s="1240"/>
      <c r="P7" s="3635" t="s">
        <v>1102</v>
      </c>
      <c r="Q7" s="3636"/>
      <c r="R7" s="1280" t="s">
        <v>1103</v>
      </c>
      <c r="S7" s="1281">
        <f t="shared" ref="S7:S15" si="0">F7</f>
        <v>100</v>
      </c>
      <c r="T7" s="1280" t="s">
        <v>1103</v>
      </c>
      <c r="U7" s="1281">
        <f t="shared" ref="U7:U15" si="1">H7</f>
        <v>100</v>
      </c>
      <c r="V7" s="1280" t="s">
        <v>1103</v>
      </c>
      <c r="W7" s="1281">
        <f t="shared" ref="W7:W15" si="2">J7</f>
        <v>100</v>
      </c>
      <c r="X7" s="1282"/>
      <c r="Y7" s="3635" t="s">
        <v>1102</v>
      </c>
      <c r="Z7" s="3637"/>
      <c r="AA7" s="1294">
        <f>D7/F7</f>
        <v>1</v>
      </c>
      <c r="AB7" s="1294">
        <f>D7/H7</f>
        <v>1</v>
      </c>
      <c r="AC7" s="1294">
        <f>D7/J7</f>
        <v>1</v>
      </c>
    </row>
    <row r="8" spans="1:29" s="1069" customFormat="1" ht="15">
      <c r="A8" s="1094" t="s">
        <v>1104</v>
      </c>
      <c r="B8" s="1095"/>
      <c r="C8" s="1101" t="s">
        <v>1105</v>
      </c>
      <c r="D8" s="1097">
        <v>100</v>
      </c>
      <c r="E8" s="1101" t="s">
        <v>1106</v>
      </c>
      <c r="F8" s="1099">
        <f>SUMIF(61:61,E8,62:62)-SUMIF(61:61,C8,62:62)+100</f>
        <v>90</v>
      </c>
      <c r="G8" s="1101" t="s">
        <v>1107</v>
      </c>
      <c r="H8" s="1097">
        <f>SUMIF(61:61,G8,62:62)-SUMIF(61:61,C8,62:62)+100</f>
        <v>110</v>
      </c>
      <c r="I8" s="1101" t="s">
        <v>1107</v>
      </c>
      <c r="J8" s="1097">
        <f>SUMIF(61:61,I8,62:62)-SUMIF(61:61,C8,62:62)+100</f>
        <v>110</v>
      </c>
      <c r="K8" s="1238"/>
      <c r="L8" s="1239"/>
      <c r="M8" s="1240"/>
      <c r="N8" s="1240"/>
      <c r="O8" s="1240"/>
      <c r="P8" s="3635" t="s">
        <v>1108</v>
      </c>
      <c r="Q8" s="3637"/>
      <c r="R8" s="1280" t="s">
        <v>1103</v>
      </c>
      <c r="S8" s="1281">
        <f t="shared" si="0"/>
        <v>90</v>
      </c>
      <c r="T8" s="1280" t="s">
        <v>1103</v>
      </c>
      <c r="U8" s="1281">
        <f t="shared" si="1"/>
        <v>110</v>
      </c>
      <c r="V8" s="1280" t="s">
        <v>1103</v>
      </c>
      <c r="W8" s="1281">
        <f t="shared" si="2"/>
        <v>110</v>
      </c>
      <c r="X8" s="1282"/>
      <c r="Y8" s="3635" t="s">
        <v>1108</v>
      </c>
      <c r="Z8" s="3637"/>
      <c r="AA8" s="1294">
        <f t="shared" ref="AA8:AA46" si="3">D8/F8</f>
        <v>1.1111111111111112</v>
      </c>
      <c r="AB8" s="1294">
        <f t="shared" ref="AB8:AB46" si="4">D8/H8</f>
        <v>0.90909090909090906</v>
      </c>
      <c r="AC8" s="1294">
        <f t="shared" ref="AC8:AC46" si="5">D8/J8</f>
        <v>0.90909090909090906</v>
      </c>
    </row>
    <row r="9" spans="1:29" s="1069" customFormat="1">
      <c r="A9" s="1102" t="s">
        <v>1109</v>
      </c>
      <c r="B9" s="1103" t="s">
        <v>1110</v>
      </c>
      <c r="C9" s="232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71.25">
      <c r="A15" s="1124" t="s">
        <v>1115</v>
      </c>
      <c r="B15" s="1417" t="s">
        <v>1116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3</v>
      </c>
      <c r="L15" s="1249"/>
      <c r="M15" s="1237"/>
      <c r="N15" s="1237"/>
      <c r="O15" s="1237"/>
      <c r="P15" s="3645" t="s">
        <v>1117</v>
      </c>
      <c r="Q15" s="664" t="str">
        <f t="shared" si="6"/>
        <v>商业繁华度</v>
      </c>
      <c r="R15" s="1285" t="s">
        <v>1103</v>
      </c>
      <c r="S15" s="1286">
        <f t="shared" si="0"/>
        <v>100</v>
      </c>
      <c r="T15" s="1285" t="s">
        <v>1103</v>
      </c>
      <c r="U15" s="1286">
        <f t="shared" si="1"/>
        <v>100</v>
      </c>
      <c r="V15" s="1285" t="s">
        <v>1103</v>
      </c>
      <c r="W15" s="1286">
        <f t="shared" si="2"/>
        <v>100</v>
      </c>
      <c r="X15" s="1279"/>
      <c r="Y15" s="3650" t="s">
        <v>1117</v>
      </c>
      <c r="Z15" s="1269" t="str">
        <f t="shared" si="7"/>
        <v>商业繁华度</v>
      </c>
      <c r="AA15" s="1296">
        <f t="shared" si="3"/>
        <v>1</v>
      </c>
      <c r="AB15" s="1296">
        <f t="shared" si="4"/>
        <v>1</v>
      </c>
      <c r="AC15" s="1296">
        <f t="shared" si="5"/>
        <v>1</v>
      </c>
    </row>
    <row r="16" spans="1:29" ht="15">
      <c r="A16" s="1110"/>
      <c r="B16" s="1419"/>
      <c r="C16" s="1130" t="s">
        <v>1118</v>
      </c>
      <c r="D16" s="1131"/>
      <c r="E16" s="1130" t="s">
        <v>1118</v>
      </c>
      <c r="F16" s="1471"/>
      <c r="G16" s="1130" t="s">
        <v>1118</v>
      </c>
      <c r="H16" s="1133"/>
      <c r="I16" s="1130" t="s">
        <v>1118</v>
      </c>
      <c r="J16" s="1131"/>
      <c r="K16" s="1510"/>
      <c r="L16" s="1249"/>
      <c r="M16" s="1237"/>
      <c r="N16" s="1237"/>
      <c r="O16" s="1237"/>
      <c r="P16" s="3646"/>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t="s">
        <v>1120</v>
      </c>
      <c r="D18" s="1133"/>
      <c r="E18" s="1422" t="s">
        <v>1120</v>
      </c>
      <c r="F18" s="1473"/>
      <c r="G18" s="1430" t="s">
        <v>1120</v>
      </c>
      <c r="H18" s="1131"/>
      <c r="I18" s="1422" t="s">
        <v>1120</v>
      </c>
      <c r="J18" s="1131"/>
      <c r="K18" s="1510"/>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t="s">
        <v>1118</v>
      </c>
      <c r="D20" s="1131"/>
      <c r="E20" s="1139" t="s">
        <v>1118</v>
      </c>
      <c r="F20" s="1471"/>
      <c r="G20" s="1252" t="s">
        <v>1118</v>
      </c>
      <c r="H20" s="1131"/>
      <c r="I20" s="1139" t="s">
        <v>1118</v>
      </c>
      <c r="J20" s="1131"/>
      <c r="K20" s="1510"/>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46"/>
      <c r="Q22" s="664"/>
      <c r="R22" s="1285"/>
      <c r="S22" s="1286"/>
      <c r="T22" s="1285"/>
      <c r="U22" s="1286"/>
      <c r="V22" s="1285"/>
      <c r="W22" s="1286"/>
      <c r="X22" s="1279"/>
      <c r="Y22" s="3651"/>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 t="shared" si="3"/>
        <v>1</v>
      </c>
      <c r="AB23" s="1296">
        <f t="shared" si="4"/>
        <v>1</v>
      </c>
      <c r="AC23" s="1296">
        <f t="shared" si="5"/>
        <v>1</v>
      </c>
    </row>
    <row r="24" spans="1:29" ht="15">
      <c r="A24" s="1110"/>
      <c r="B24" s="1158"/>
      <c r="C24" s="1130" t="s">
        <v>1118</v>
      </c>
      <c r="D24" s="1131"/>
      <c r="E24" s="1130" t="s">
        <v>1118</v>
      </c>
      <c r="F24" s="1471"/>
      <c r="G24" s="1252" t="s">
        <v>1118</v>
      </c>
      <c r="H24" s="1131"/>
      <c r="I24" s="1139" t="s">
        <v>1118</v>
      </c>
      <c r="J24" s="1131"/>
      <c r="K24" s="1510"/>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1124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6"/>
      <c r="Q25" s="664" t="str">
        <f t="shared" ref="Q25:Q46" si="11">B25</f>
        <v>临街状况</v>
      </c>
      <c r="R25" s="1285" t="s">
        <v>1103</v>
      </c>
      <c r="S25" s="1286">
        <f>F25</f>
        <v>100</v>
      </c>
      <c r="T25" s="1285" t="s">
        <v>1103</v>
      </c>
      <c r="U25" s="1286">
        <f>H25</f>
        <v>100</v>
      </c>
      <c r="V25" s="1285" t="s">
        <v>1103</v>
      </c>
      <c r="W25" s="1286">
        <f>J25</f>
        <v>100</v>
      </c>
      <c r="X25" s="1279"/>
      <c r="Y25" s="3651"/>
      <c r="Z25" s="1269" t="str">
        <f>Q25</f>
        <v>临街状况</v>
      </c>
      <c r="AA25" s="1296">
        <f t="shared" si="3"/>
        <v>1</v>
      </c>
      <c r="AB25" s="1296">
        <f t="shared" si="4"/>
        <v>1</v>
      </c>
      <c r="AC25" s="1296">
        <f t="shared" si="5"/>
        <v>1</v>
      </c>
    </row>
    <row r="26" spans="1:29" ht="15">
      <c r="A26" s="1110"/>
      <c r="B26" s="1425" t="s">
        <v>1125</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6"/>
      <c r="Q26" s="664" t="str">
        <f t="shared" si="11"/>
        <v>平面位置/可视性</v>
      </c>
      <c r="R26" s="1285" t="s">
        <v>1103</v>
      </c>
      <c r="S26" s="1286">
        <f>F26</f>
        <v>100</v>
      </c>
      <c r="T26" s="1285" t="s">
        <v>1103</v>
      </c>
      <c r="U26" s="1286">
        <f>H26</f>
        <v>100</v>
      </c>
      <c r="V26" s="1285" t="s">
        <v>1103</v>
      </c>
      <c r="W26" s="1286">
        <f>J26</f>
        <v>100</v>
      </c>
      <c r="X26" s="1279"/>
      <c r="Y26" s="3651"/>
      <c r="Z26" s="1269" t="str">
        <f>Q26</f>
        <v>平面位置/可视性</v>
      </c>
      <c r="AA26" s="1296">
        <f t="shared" si="3"/>
        <v>1</v>
      </c>
      <c r="AB26" s="1296">
        <f t="shared" si="4"/>
        <v>1</v>
      </c>
      <c r="AC26" s="1296">
        <f t="shared" si="5"/>
        <v>1</v>
      </c>
    </row>
    <row r="27" spans="1:29" s="1069" customFormat="1" ht="15">
      <c r="A27" s="1113"/>
      <c r="B27" s="1420" t="s">
        <v>1126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6"/>
      <c r="Q27" s="1284" t="str">
        <f t="shared" si="11"/>
        <v>人流量</v>
      </c>
      <c r="R27" s="1280" t="s">
        <v>1103</v>
      </c>
      <c r="S27" s="1281">
        <f>F27</f>
        <v>100</v>
      </c>
      <c r="T27" s="1280" t="s">
        <v>1103</v>
      </c>
      <c r="U27" s="1281">
        <f>H27</f>
        <v>100</v>
      </c>
      <c r="V27" s="1280" t="s">
        <v>1103</v>
      </c>
      <c r="W27" s="1281">
        <f>J27</f>
        <v>100</v>
      </c>
      <c r="X27" s="1282"/>
      <c r="Y27" s="3651"/>
      <c r="Z27" s="1295" t="str">
        <f>Q27</f>
        <v>人流量</v>
      </c>
      <c r="AA27" s="1296">
        <f t="shared" si="3"/>
        <v>1</v>
      </c>
      <c r="AB27" s="1296">
        <f t="shared" si="4"/>
        <v>1</v>
      </c>
      <c r="AC27" s="1296">
        <f t="shared" si="5"/>
        <v>1</v>
      </c>
    </row>
    <row r="28" spans="1:29" ht="15">
      <c r="A28" s="1110"/>
      <c r="B28" s="1107" t="s">
        <v>1127</v>
      </c>
      <c r="C28" s="1144" t="s">
        <v>1128</v>
      </c>
      <c r="D28" s="1119">
        <v>100</v>
      </c>
      <c r="E28" s="1144" t="s">
        <v>1129</v>
      </c>
      <c r="F28" s="1474">
        <f>SUMIF(92:92,E28,93:93)-SUMIF(92:92,C28,93:93)+100</f>
        <v>130</v>
      </c>
      <c r="G28" s="1144" t="s">
        <v>1130</v>
      </c>
      <c r="H28" s="1119">
        <f>SUMIF(92:92,G28,93:93)-SUMIF(92:92,C28,93:93)+100</f>
        <v>115</v>
      </c>
      <c r="I28" s="1144" t="s">
        <v>1129</v>
      </c>
      <c r="J28" s="1119">
        <f>SUMIF(92:92,I28,93:93)-SUMIF(92:92,C28,93:93)+100</f>
        <v>130</v>
      </c>
      <c r="K28" s="1254"/>
      <c r="L28" s="1249"/>
      <c r="M28" s="1237"/>
      <c r="N28" s="1237"/>
      <c r="O28" s="1237"/>
      <c r="P28" s="3646"/>
      <c r="Q28" s="664" t="str">
        <f t="shared" si="11"/>
        <v>楼层</v>
      </c>
      <c r="R28" s="1285" t="s">
        <v>1103</v>
      </c>
      <c r="S28" s="1286">
        <f t="shared" ref="S28:S46" si="12">F28</f>
        <v>130</v>
      </c>
      <c r="T28" s="1285" t="s">
        <v>1103</v>
      </c>
      <c r="U28" s="1286">
        <f t="shared" ref="U28:U46" si="13">H28</f>
        <v>115</v>
      </c>
      <c r="V28" s="1285" t="s">
        <v>1103</v>
      </c>
      <c r="W28" s="1286">
        <f t="shared" ref="W28:W46" si="14">J28</f>
        <v>130</v>
      </c>
      <c r="X28" s="1279"/>
      <c r="Y28" s="3651"/>
      <c r="Z28" s="1269" t="str">
        <f t="shared" ref="Z28:Z46" si="15">Q28</f>
        <v>楼层</v>
      </c>
      <c r="AA28" s="1296">
        <f t="shared" si="3"/>
        <v>0.76923076923076927</v>
      </c>
      <c r="AB28" s="1296">
        <f t="shared" si="4"/>
        <v>0.86956521739130432</v>
      </c>
      <c r="AC28" s="1296">
        <f t="shared" si="5"/>
        <v>0.76923076923076927</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296">
        <f t="shared" si="5"/>
        <v>1</v>
      </c>
    </row>
    <row r="32" spans="1:29" ht="15">
      <c r="A32" s="1124" t="s">
        <v>1131</v>
      </c>
      <c r="B32" s="1103" t="s">
        <v>1132</v>
      </c>
      <c r="C32" s="1654"/>
      <c r="D32" s="1160">
        <v>100</v>
      </c>
      <c r="E32" s="1654"/>
      <c r="F32" s="1474">
        <f>SUMIF(100:100,E32,101:101)-SUMIF(100:100,C32,101:101)+100</f>
        <v>100</v>
      </c>
      <c r="G32" s="1654"/>
      <c r="H32" s="1119">
        <f>SUMIF(100:100,G32,101:101)-SUMIF(100:100,C32,101:101)+100</f>
        <v>100</v>
      </c>
      <c r="I32" s="1654"/>
      <c r="J32" s="1160">
        <f>SUMIF(100:100,I32,101:101)-SUMIF(100:100,C32,101:101)+100</f>
        <v>100</v>
      </c>
      <c r="K32" s="1255">
        <v>2</v>
      </c>
      <c r="L32" s="1249"/>
      <c r="M32" s="1237"/>
      <c r="N32" s="1237"/>
      <c r="O32" s="1237"/>
      <c r="P32" s="3647" t="s">
        <v>1133</v>
      </c>
      <c r="Q32" s="664" t="str">
        <f t="shared" si="11"/>
        <v>商业类型</v>
      </c>
      <c r="R32" s="1285" t="s">
        <v>1103</v>
      </c>
      <c r="S32" s="1286">
        <f t="shared" si="12"/>
        <v>100</v>
      </c>
      <c r="T32" s="1285" t="s">
        <v>1103</v>
      </c>
      <c r="U32" s="1286">
        <f t="shared" si="13"/>
        <v>100</v>
      </c>
      <c r="V32" s="1285" t="s">
        <v>1103</v>
      </c>
      <c r="W32" s="1286">
        <f t="shared" si="14"/>
        <v>100</v>
      </c>
      <c r="X32" s="1279"/>
      <c r="Y32" s="3652" t="s">
        <v>1133</v>
      </c>
      <c r="Z32" s="1269" t="str">
        <f t="shared" si="15"/>
        <v>商业类型</v>
      </c>
      <c r="AA32" s="1296">
        <f t="shared" si="3"/>
        <v>1</v>
      </c>
      <c r="AB32" s="1296">
        <f t="shared" si="4"/>
        <v>1</v>
      </c>
      <c r="AC32" s="1296">
        <f t="shared" si="5"/>
        <v>1</v>
      </c>
    </row>
    <row r="33" spans="1:29" s="1071" customFormat="1" ht="15">
      <c r="A33" s="1166"/>
      <c r="B33" s="1107" t="s">
        <v>1134</v>
      </c>
      <c r="C33" s="1468">
        <f>'数据-基础表'!I13</f>
        <v>93.61</v>
      </c>
      <c r="D33" s="1109">
        <v>100</v>
      </c>
      <c r="E33" s="1112">
        <v>44.04</v>
      </c>
      <c r="F33" s="1467">
        <f>LOOKUP(E33,103:103,104:104)-LOOKUP(C33,103:103,104:104)+100</f>
        <v>101</v>
      </c>
      <c r="G33" s="1111">
        <v>588.55999999999995</v>
      </c>
      <c r="H33" s="1109">
        <f>LOOKUP(G33,103:103,104:104)-LOOKUP(C33,103:103,104:104)+100</f>
        <v>96</v>
      </c>
      <c r="I33" s="1111">
        <v>191</v>
      </c>
      <c r="J33" s="1109">
        <f>LOOKUP(I33,103:103,104:104)-LOOKUP(C33,103:103,104:104)+100</f>
        <v>99</v>
      </c>
      <c r="K33" s="1254"/>
      <c r="L33" s="1247"/>
      <c r="M33" s="1256"/>
      <c r="N33" s="1256"/>
      <c r="O33" s="1256"/>
      <c r="P33" s="3648"/>
      <c r="Q33" s="1513" t="str">
        <f t="shared" si="11"/>
        <v>项目建筑规模</v>
      </c>
      <c r="R33" s="1287" t="s">
        <v>1103</v>
      </c>
      <c r="S33" s="1288">
        <f t="shared" si="12"/>
        <v>101</v>
      </c>
      <c r="T33" s="1287" t="s">
        <v>1103</v>
      </c>
      <c r="U33" s="1288">
        <f t="shared" si="13"/>
        <v>96</v>
      </c>
      <c r="V33" s="1287" t="s">
        <v>1103</v>
      </c>
      <c r="W33" s="1288">
        <f t="shared" si="14"/>
        <v>99</v>
      </c>
      <c r="X33" s="1289"/>
      <c r="Y33" s="3652"/>
      <c r="Z33" s="1297" t="str">
        <f t="shared" si="15"/>
        <v>项目建筑规模</v>
      </c>
      <c r="AA33" s="1296">
        <f t="shared" si="3"/>
        <v>0.99009900990099009</v>
      </c>
      <c r="AB33" s="1296">
        <f t="shared" si="4"/>
        <v>1.0416666666666667</v>
      </c>
      <c r="AC33" s="1296">
        <f t="shared" si="5"/>
        <v>1.0101010101010102</v>
      </c>
    </row>
    <row r="34" spans="1:29" ht="15">
      <c r="A34" s="1161"/>
      <c r="B34" s="1107" t="s">
        <v>1135</v>
      </c>
      <c r="C34" s="1656" t="s">
        <v>1136</v>
      </c>
      <c r="D34" s="1119">
        <v>100</v>
      </c>
      <c r="E34" s="1656" t="s">
        <v>1136</v>
      </c>
      <c r="F34" s="1474">
        <f>SUMIF(105:105,E34,106:106)-SUMIF(105:105,C34,106:106)+100</f>
        <v>100</v>
      </c>
      <c r="G34" s="1656" t="s">
        <v>1136</v>
      </c>
      <c r="H34" s="1119">
        <f>SUMIF(105:105,G34,106:106)-SUMIF(105:105,C34,106:106)+100</f>
        <v>100</v>
      </c>
      <c r="I34" s="1656" t="s">
        <v>1136</v>
      </c>
      <c r="J34" s="1119">
        <f>SUMIF(105:105,I34,106:106)-SUMIF(105:105,C34,106:106)+100</f>
        <v>100</v>
      </c>
      <c r="K34" s="1255">
        <v>2</v>
      </c>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5"/>
        <v>建筑结构</v>
      </c>
      <c r="AA34" s="1296">
        <f t="shared" si="3"/>
        <v>1</v>
      </c>
      <c r="AB34" s="1296">
        <f t="shared" si="4"/>
        <v>1</v>
      </c>
      <c r="AC34" s="1296">
        <f t="shared" si="5"/>
        <v>1</v>
      </c>
    </row>
    <row r="35" spans="1:29" ht="15">
      <c r="A35" s="1161"/>
      <c r="B35" s="1107" t="s">
        <v>1137</v>
      </c>
      <c r="C35" s="1162" t="s">
        <v>1138</v>
      </c>
      <c r="D35" s="1119">
        <v>100</v>
      </c>
      <c r="E35" s="1162" t="s">
        <v>1138</v>
      </c>
      <c r="F35" s="1474">
        <f>SUMIF(107:107,E35,108:108)-SUMIF(107:107,C35,108:108)+100</f>
        <v>100</v>
      </c>
      <c r="G35" s="1162" t="s">
        <v>1138</v>
      </c>
      <c r="H35" s="1119">
        <f>SUMIF(107:107,G35,108:108)-SUMIF(107:107,C35,108:108)+100</f>
        <v>100</v>
      </c>
      <c r="I35" s="1162" t="s">
        <v>1138</v>
      </c>
      <c r="J35" s="1119">
        <f>SUMIF(107:107,I35,108:108)-SUMIF(107:107,C35,108:108)+100</f>
        <v>100</v>
      </c>
      <c r="K35" s="1255">
        <v>2</v>
      </c>
      <c r="L35" s="1249"/>
      <c r="M35" s="1237"/>
      <c r="N35" s="1237"/>
      <c r="O35" s="1237"/>
      <c r="P35" s="3648"/>
      <c r="Q35" s="664" t="str">
        <f t="shared" si="11"/>
        <v>公共部分装修</v>
      </c>
      <c r="R35" s="1285" t="s">
        <v>1103</v>
      </c>
      <c r="S35" s="1286">
        <f t="shared" si="12"/>
        <v>100</v>
      </c>
      <c r="T35" s="1285" t="s">
        <v>1103</v>
      </c>
      <c r="U35" s="1286">
        <f t="shared" si="13"/>
        <v>100</v>
      </c>
      <c r="V35" s="1285" t="s">
        <v>1103</v>
      </c>
      <c r="W35" s="1286">
        <f t="shared" si="14"/>
        <v>100</v>
      </c>
      <c r="X35" s="1279"/>
      <c r="Y35" s="3652"/>
      <c r="Z35" s="1269" t="str">
        <f t="shared" si="15"/>
        <v>公共部分装修</v>
      </c>
      <c r="AA35" s="1296">
        <f t="shared" si="3"/>
        <v>1</v>
      </c>
      <c r="AB35" s="1296">
        <f t="shared" si="4"/>
        <v>1</v>
      </c>
      <c r="AC35" s="1296">
        <f t="shared" si="5"/>
        <v>1</v>
      </c>
    </row>
    <row r="36" spans="1:29" ht="15">
      <c r="A36" s="1161"/>
      <c r="B36" s="1107" t="s">
        <v>634</v>
      </c>
      <c r="C36" s="1481">
        <v>0.9</v>
      </c>
      <c r="D36" s="1119">
        <v>100</v>
      </c>
      <c r="E36" s="1481">
        <v>0.9</v>
      </c>
      <c r="F36" s="1474">
        <f>LOOKUP(E36,110:110,111:111)-LOOKUP(C36,110:110,111:111)+100</f>
        <v>100</v>
      </c>
      <c r="G36" s="1481">
        <v>0.9</v>
      </c>
      <c r="H36" s="1474">
        <f>LOOKUP(G36,110:110,111:111)-LOOKUP(C36,110:110,111:111)+100</f>
        <v>100</v>
      </c>
      <c r="I36" s="1481">
        <v>0.9</v>
      </c>
      <c r="J36" s="1119">
        <f>LOOKUP(I36,110:110,111:111)-LOOKUP(C36,110:110,111:111)+100</f>
        <v>100</v>
      </c>
      <c r="K36" s="1255">
        <v>2</v>
      </c>
      <c r="L36" s="1249"/>
      <c r="M36" s="1237"/>
      <c r="N36" s="1237"/>
      <c r="O36" s="1237"/>
      <c r="P36" s="3648"/>
      <c r="Q36" s="664" t="str">
        <f t="shared" si="11"/>
        <v>成新度</v>
      </c>
      <c r="R36" s="1285" t="s">
        <v>1103</v>
      </c>
      <c r="S36" s="1286">
        <f t="shared" si="12"/>
        <v>100</v>
      </c>
      <c r="T36" s="1285" t="s">
        <v>1103</v>
      </c>
      <c r="U36" s="1286">
        <f t="shared" si="13"/>
        <v>100</v>
      </c>
      <c r="V36" s="1285" t="s">
        <v>1103</v>
      </c>
      <c r="W36" s="1286">
        <f t="shared" si="14"/>
        <v>100</v>
      </c>
      <c r="X36" s="1279"/>
      <c r="Y36" s="3652"/>
      <c r="Z36" s="1269" t="str">
        <f t="shared" si="15"/>
        <v>成新度</v>
      </c>
      <c r="AA36" s="1296">
        <f t="shared" si="3"/>
        <v>1</v>
      </c>
      <c r="AB36" s="1296">
        <f t="shared" si="4"/>
        <v>1</v>
      </c>
      <c r="AC36" s="1296">
        <f t="shared" si="5"/>
        <v>1</v>
      </c>
    </row>
    <row r="37" spans="1:29" s="1069" customFormat="1" ht="15">
      <c r="A37" s="1163"/>
      <c r="B37" s="1107" t="s">
        <v>1139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8"/>
      <c r="Q37" s="1284" t="str">
        <f t="shared" si="11"/>
        <v>市政基础设施</v>
      </c>
      <c r="R37" s="1280" t="s">
        <v>1103</v>
      </c>
      <c r="S37" s="1281">
        <f t="shared" si="12"/>
        <v>100</v>
      </c>
      <c r="T37" s="1280" t="s">
        <v>1103</v>
      </c>
      <c r="U37" s="1281">
        <f t="shared" si="13"/>
        <v>100</v>
      </c>
      <c r="V37" s="1280" t="s">
        <v>1103</v>
      </c>
      <c r="W37" s="1281">
        <f t="shared" si="14"/>
        <v>100</v>
      </c>
      <c r="X37" s="1282"/>
      <c r="Y37" s="3652"/>
      <c r="Z37" s="1295" t="str">
        <f t="shared" si="15"/>
        <v>市政基础设施</v>
      </c>
      <c r="AA37" s="1294">
        <f t="shared" si="3"/>
        <v>1</v>
      </c>
      <c r="AB37" s="1294">
        <f t="shared" si="4"/>
        <v>1</v>
      </c>
      <c r="AC37" s="1294">
        <f t="shared" si="5"/>
        <v>1</v>
      </c>
    </row>
    <row r="38" spans="1:29" ht="15">
      <c r="A38" s="1161"/>
      <c r="B38" s="1107" t="s">
        <v>1140</v>
      </c>
      <c r="C38" s="1162" t="s">
        <v>1141</v>
      </c>
      <c r="D38" s="1119">
        <v>100</v>
      </c>
      <c r="E38" s="1162" t="s">
        <v>1141</v>
      </c>
      <c r="F38" s="1474">
        <f>SUMIF(114:114,E38,115:115)-SUMIF(114:114,C38,115:115)+100</f>
        <v>100</v>
      </c>
      <c r="G38" s="1162" t="s">
        <v>1141</v>
      </c>
      <c r="H38" s="1119">
        <f>SUMIF(114:114,G38,115:115)-SUMIF(114:114,C38,115:115)+100</f>
        <v>100</v>
      </c>
      <c r="I38" s="1162" t="s">
        <v>1141</v>
      </c>
      <c r="J38" s="1119">
        <f>SUMIF(114:114,I38,115:115)-SUMIF(114:114,C38,115:115)+100</f>
        <v>100</v>
      </c>
      <c r="K38" s="1255">
        <v>10</v>
      </c>
      <c r="L38" s="1249"/>
      <c r="M38" s="1237"/>
      <c r="N38" s="1237"/>
      <c r="O38" s="1237"/>
      <c r="P38" s="3648" t="s">
        <v>1133</v>
      </c>
      <c r="Q38" s="664" t="str">
        <f t="shared" si="11"/>
        <v>业态</v>
      </c>
      <c r="R38" s="1285" t="s">
        <v>1103</v>
      </c>
      <c r="S38" s="1286">
        <f t="shared" si="12"/>
        <v>100</v>
      </c>
      <c r="T38" s="1285" t="s">
        <v>1103</v>
      </c>
      <c r="U38" s="1286">
        <f t="shared" si="13"/>
        <v>100</v>
      </c>
      <c r="V38" s="1285" t="s">
        <v>1103</v>
      </c>
      <c r="W38" s="1286">
        <f t="shared" si="14"/>
        <v>100</v>
      </c>
      <c r="X38" s="1279"/>
      <c r="Y38" s="3652" t="s">
        <v>1133</v>
      </c>
      <c r="Z38" s="1269" t="str">
        <f t="shared" si="15"/>
        <v>业态</v>
      </c>
      <c r="AA38" s="1296">
        <f t="shared" si="3"/>
        <v>1</v>
      </c>
      <c r="AB38" s="1296">
        <f t="shared" si="4"/>
        <v>1</v>
      </c>
      <c r="AC38" s="1296">
        <f t="shared" si="5"/>
        <v>1</v>
      </c>
    </row>
    <row r="39" spans="1:29" ht="15">
      <c r="A39" s="1161"/>
      <c r="B39" s="1107" t="s">
        <v>1142</v>
      </c>
      <c r="C39" s="1162" t="s">
        <v>1143</v>
      </c>
      <c r="D39" s="1119">
        <v>100</v>
      </c>
      <c r="E39" s="1162" t="s">
        <v>1143</v>
      </c>
      <c r="F39" s="1474">
        <f>SUMIF(116:116,E39,117:117)-SUMIF(116:116,C39,117:117)+100</f>
        <v>100</v>
      </c>
      <c r="G39" s="1162" t="s">
        <v>1143</v>
      </c>
      <c r="H39" s="1119">
        <f>SUMIF(116:116,G39,117:117)-SUMIF(116:116,C39,117:117)+100</f>
        <v>100</v>
      </c>
      <c r="I39" s="1162" t="s">
        <v>1143</v>
      </c>
      <c r="J39" s="1119">
        <f>SUMIF(116:116,I39,117:117)-SUMIF(116:116,C39,117:117)+100</f>
        <v>100</v>
      </c>
      <c r="K39" s="1255">
        <v>10</v>
      </c>
      <c r="L39" s="1249"/>
      <c r="M39" s="1237"/>
      <c r="N39" s="1237"/>
      <c r="O39" s="1237"/>
      <c r="P39" s="3648"/>
      <c r="Q39" s="664" t="str">
        <f t="shared" si="11"/>
        <v>层高</v>
      </c>
      <c r="R39" s="1285" t="s">
        <v>1103</v>
      </c>
      <c r="S39" s="1286">
        <f t="shared" si="12"/>
        <v>100</v>
      </c>
      <c r="T39" s="1285" t="s">
        <v>1103</v>
      </c>
      <c r="U39" s="1286">
        <f t="shared" si="13"/>
        <v>100</v>
      </c>
      <c r="V39" s="1285" t="s">
        <v>1103</v>
      </c>
      <c r="W39" s="1286">
        <f t="shared" si="14"/>
        <v>100</v>
      </c>
      <c r="X39" s="1279"/>
      <c r="Y39" s="3652"/>
      <c r="Z39" s="1269" t="str">
        <f t="shared" si="15"/>
        <v>层高</v>
      </c>
      <c r="AA39" s="1296">
        <f t="shared" si="3"/>
        <v>1</v>
      </c>
      <c r="AB39" s="1296">
        <f t="shared" si="4"/>
        <v>1</v>
      </c>
      <c r="AC39" s="1296">
        <f t="shared" si="5"/>
        <v>1</v>
      </c>
    </row>
    <row r="40" spans="1:29" ht="15">
      <c r="A40" s="1161"/>
      <c r="B40" s="1107" t="s">
        <v>1144</v>
      </c>
      <c r="C40" s="2330"/>
      <c r="D40" s="1119">
        <v>100</v>
      </c>
      <c r="E40" s="2331"/>
      <c r="F40" s="1474">
        <f>SUMIF(118:118,E40,119:119)-SUMIF(118:118,C40,119:119)+100</f>
        <v>100</v>
      </c>
      <c r="G40" s="2331"/>
      <c r="H40" s="1119">
        <f>SUMIF(118:118,G40,119:119)-SUMIF(118:118,C40,119:119)+100</f>
        <v>100</v>
      </c>
      <c r="I40" s="2331"/>
      <c r="J40" s="1119">
        <f>SUMIF(118:118,I40,119:119)-SUMIF(118:118,C40,119:119)+100</f>
        <v>100</v>
      </c>
      <c r="K40" s="1254"/>
      <c r="L40" s="1249"/>
      <c r="M40" s="1237"/>
      <c r="N40" s="1237"/>
      <c r="O40" s="1237"/>
      <c r="P40" s="3648"/>
      <c r="Q40" s="664" t="str">
        <f t="shared" si="11"/>
        <v>单套建筑面积</v>
      </c>
      <c r="R40" s="1285" t="s">
        <v>1103</v>
      </c>
      <c r="S40" s="1286">
        <f t="shared" si="12"/>
        <v>100</v>
      </c>
      <c r="T40" s="1285" t="s">
        <v>1103</v>
      </c>
      <c r="U40" s="1286">
        <f t="shared" si="13"/>
        <v>100</v>
      </c>
      <c r="V40" s="1285" t="s">
        <v>1103</v>
      </c>
      <c r="W40" s="1286">
        <f t="shared" si="14"/>
        <v>100</v>
      </c>
      <c r="X40" s="1279"/>
      <c r="Y40" s="3652"/>
      <c r="Z40" s="1269" t="str">
        <f t="shared" si="15"/>
        <v>单套建筑面积</v>
      </c>
      <c r="AA40" s="1296">
        <f t="shared" si="3"/>
        <v>1</v>
      </c>
      <c r="AB40" s="1296">
        <f t="shared" si="4"/>
        <v>1</v>
      </c>
      <c r="AC40" s="1296">
        <f t="shared" si="5"/>
        <v>1</v>
      </c>
    </row>
    <row r="41" spans="1:29" s="1071" customFormat="1" ht="15">
      <c r="A41" s="1166"/>
      <c r="B41" s="1264" t="s">
        <v>1145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8"/>
      <c r="Q41" s="1513" t="str">
        <f t="shared" si="11"/>
        <v>进深比</v>
      </c>
      <c r="R41" s="1287" t="s">
        <v>1103</v>
      </c>
      <c r="S41" s="1288">
        <f t="shared" si="12"/>
        <v>100</v>
      </c>
      <c r="T41" s="1287" t="s">
        <v>1103</v>
      </c>
      <c r="U41" s="1288">
        <f t="shared" si="13"/>
        <v>100</v>
      </c>
      <c r="V41" s="1287" t="s">
        <v>1103</v>
      </c>
      <c r="W41" s="1288">
        <f t="shared" si="14"/>
        <v>100</v>
      </c>
      <c r="X41" s="1289"/>
      <c r="Y41" s="3652"/>
      <c r="Z41" s="1297" t="str">
        <f t="shared" si="15"/>
        <v>进深比</v>
      </c>
      <c r="AA41" s="1296">
        <f t="shared" si="3"/>
        <v>1</v>
      </c>
      <c r="AB41" s="1296">
        <f t="shared" si="4"/>
        <v>1</v>
      </c>
      <c r="AC41" s="1296">
        <f t="shared" si="5"/>
        <v>1</v>
      </c>
    </row>
    <row r="42" spans="1:29" ht="15">
      <c r="A42" s="1161"/>
      <c r="B42" s="1107" t="s">
        <v>1146</v>
      </c>
      <c r="C42" s="1162" t="s">
        <v>1147</v>
      </c>
      <c r="D42" s="1119">
        <v>100</v>
      </c>
      <c r="E42" s="1162" t="s">
        <v>1148</v>
      </c>
      <c r="F42" s="1474">
        <f>SUMIF(122:122,E42,123:123)-SUMIF(122:122,C42,123:123)+100</f>
        <v>103</v>
      </c>
      <c r="G42" s="1162" t="s">
        <v>1138</v>
      </c>
      <c r="H42" s="1119">
        <f>SUMIF(122:122,G42,123:123)-SUMIF(122:122,C42,123:123)+100</f>
        <v>106</v>
      </c>
      <c r="I42" s="1162" t="s">
        <v>1148</v>
      </c>
      <c r="J42" s="1119">
        <f>SUMIF(122:122,I42,123:123)-SUMIF(122:122,C42,123:123)+100</f>
        <v>103</v>
      </c>
      <c r="K42" s="1255">
        <v>3</v>
      </c>
      <c r="L42" s="1249"/>
      <c r="M42" s="1237"/>
      <c r="N42" s="1237"/>
      <c r="O42" s="1237"/>
      <c r="P42" s="3648"/>
      <c r="Q42" s="664" t="str">
        <f t="shared" si="11"/>
        <v>内部装修</v>
      </c>
      <c r="R42" s="1285" t="s">
        <v>1103</v>
      </c>
      <c r="S42" s="1286">
        <f t="shared" si="12"/>
        <v>103</v>
      </c>
      <c r="T42" s="1285" t="s">
        <v>1103</v>
      </c>
      <c r="U42" s="1286">
        <f t="shared" si="13"/>
        <v>106</v>
      </c>
      <c r="V42" s="1285" t="s">
        <v>1103</v>
      </c>
      <c r="W42" s="1286">
        <f t="shared" si="14"/>
        <v>103</v>
      </c>
      <c r="X42" s="1279"/>
      <c r="Y42" s="3652"/>
      <c r="Z42" s="1269" t="str">
        <f t="shared" si="15"/>
        <v>内部装修</v>
      </c>
      <c r="AA42" s="1296">
        <f t="shared" si="3"/>
        <v>0.970873786407767</v>
      </c>
      <c r="AB42" s="1296">
        <f t="shared" si="4"/>
        <v>0.94339622641509435</v>
      </c>
      <c r="AC42" s="1296">
        <f t="shared" si="5"/>
        <v>0.970873786407767</v>
      </c>
    </row>
    <row r="43" spans="1:29" ht="15">
      <c r="A43" s="1161"/>
      <c r="B43" s="1107" t="s">
        <v>1149</v>
      </c>
      <c r="C43" s="1162" t="s">
        <v>1120</v>
      </c>
      <c r="D43" s="1119">
        <v>100</v>
      </c>
      <c r="E43" s="1162" t="s">
        <v>1120</v>
      </c>
      <c r="F43" s="1474">
        <f>SUMIF(124:124,E43,125:125)-SUMIF(124:124,C43,125:125)+100</f>
        <v>100</v>
      </c>
      <c r="G43" s="1162" t="s">
        <v>1120</v>
      </c>
      <c r="H43" s="1119">
        <f>SUMIF(124:124,G43,125:125)-SUMIF(124:124,C43,125:125)+100</f>
        <v>100</v>
      </c>
      <c r="I43" s="1162" t="s">
        <v>1120</v>
      </c>
      <c r="J43" s="1119">
        <f>SUMIF(124:124,I43,125:125)-SUMIF(124:124,C43,125:125)+100</f>
        <v>100</v>
      </c>
      <c r="K43" s="1255">
        <v>2</v>
      </c>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5"/>
        <v>111</v>
      </c>
      <c r="AA46" s="1296">
        <f t="shared" si="3"/>
        <v>1</v>
      </c>
      <c r="AB46" s="1296">
        <f t="shared" si="4"/>
        <v>1</v>
      </c>
      <c r="AC46" s="1296">
        <f t="shared" si="5"/>
        <v>1</v>
      </c>
    </row>
    <row r="47" spans="1:29" ht="15">
      <c r="A47" s="1168" t="s">
        <v>1150</v>
      </c>
      <c r="B47" s="1488"/>
      <c r="C47" s="1489" t="s">
        <v>124</v>
      </c>
      <c r="D47" s="1490"/>
      <c r="E47" s="1491">
        <v>34800</v>
      </c>
      <c r="F47" s="1492"/>
      <c r="G47" s="1493">
        <v>39100</v>
      </c>
      <c r="H47" s="1494"/>
      <c r="I47" s="1491">
        <v>38116</v>
      </c>
      <c r="J47" s="1494"/>
      <c r="K47" s="1260"/>
      <c r="L47" s="1261"/>
      <c r="M47" s="1185"/>
      <c r="N47" s="1237"/>
      <c r="O47" s="1185"/>
      <c r="P47" s="3638" t="str">
        <f>A47</f>
        <v>成交单价（元/平方米）</v>
      </c>
      <c r="Q47" s="3638"/>
      <c r="R47" s="3639">
        <f>E47</f>
        <v>34800</v>
      </c>
      <c r="S47" s="3639"/>
      <c r="T47" s="3639">
        <f>G47</f>
        <v>39100</v>
      </c>
      <c r="U47" s="3639"/>
      <c r="V47" s="3639">
        <f>I47</f>
        <v>38116</v>
      </c>
      <c r="W47" s="3639"/>
      <c r="X47" s="1225"/>
      <c r="Y47" s="1298"/>
      <c r="Z47" s="1225"/>
      <c r="AA47" s="1225"/>
      <c r="AB47" s="1225"/>
      <c r="AC47" s="1225"/>
    </row>
    <row r="48" spans="1:29" ht="15">
      <c r="A48" s="1176" t="s">
        <v>1151</v>
      </c>
      <c r="B48" s="1495"/>
      <c r="C48" s="1496">
        <f>R49</f>
        <v>28368</v>
      </c>
      <c r="D48" s="1179" t="s">
        <v>1152</v>
      </c>
      <c r="E48" s="1497">
        <f>R48</f>
        <v>28591</v>
      </c>
      <c r="F48" s="1180"/>
      <c r="G48" s="1496">
        <f>T48</f>
        <v>30374</v>
      </c>
      <c r="H48" s="1180"/>
      <c r="I48" s="1497">
        <f>V48</f>
        <v>26140</v>
      </c>
      <c r="J48" s="1180"/>
      <c r="K48" s="1262">
        <f>F48+H48+J48</f>
        <v>0</v>
      </c>
      <c r="L48" s="1261"/>
      <c r="M48" s="1185"/>
      <c r="N48" s="1237"/>
      <c r="O48" s="1185"/>
      <c r="P48" s="3638" t="str">
        <f>A48</f>
        <v>比较价值（元/平方米）</v>
      </c>
      <c r="Q48" s="3638"/>
      <c r="R48" s="3640">
        <f>IF(F1="售价",ROUND(PRODUCT(R47,AA7:AA46),0),ROUND(PRODUCT(R47,AA7:AA46),1))</f>
        <v>28591</v>
      </c>
      <c r="S48" s="3640"/>
      <c r="T48" s="3640">
        <f>IF(F1="售价",ROUND(PRODUCT(T47,AB7:AB46),0),ROUND(PRODUCT(T47,AB7:AB46),1))</f>
        <v>30374</v>
      </c>
      <c r="U48" s="3640"/>
      <c r="V48" s="3640">
        <f>IF(F1="售价",ROUND(PRODUCT(V47,AC7:AC46),0),ROUND(PRODUCT(V47,AC7:AC46),1))</f>
        <v>26140</v>
      </c>
      <c r="W48" s="3640"/>
      <c r="X48" s="1225"/>
      <c r="Y48" s="1225"/>
      <c r="Z48" s="1225"/>
      <c r="AA48" s="1225"/>
      <c r="AB48" s="1225"/>
      <c r="AC48" s="1225"/>
    </row>
    <row r="49" spans="1:29" ht="15">
      <c r="A49" s="1182" t="s">
        <v>1153</v>
      </c>
      <c r="B49" s="1183"/>
      <c r="C49" s="1498">
        <f>R49</f>
        <v>28368</v>
      </c>
      <c r="D49" s="1498"/>
      <c r="E49" s="1498"/>
      <c r="F49" s="1498"/>
      <c r="G49" s="1498"/>
      <c r="H49" s="1498"/>
      <c r="I49" s="1498"/>
      <c r="J49" s="1498"/>
      <c r="K49" s="1263"/>
      <c r="L49" s="1261"/>
      <c r="M49" s="1185"/>
      <c r="N49" s="1237"/>
      <c r="O49" s="1185"/>
      <c r="P49" s="3641" t="str">
        <f>A49</f>
        <v>估价对象XX用房的比较价值（楼面单价，元/平方米）</v>
      </c>
      <c r="Q49" s="3642"/>
      <c r="R49" s="3643">
        <f>IF(F1="售价",ROUND(IF(D48="简单平均",AVERAGE(R48:V48),R48*F48+T48*H48+V48*J48),0),ROUND(IF(D48="简单平均",AVERAGE(R48:V48),R48*F48+T48*H48+V48*J48),1))</f>
        <v>28368</v>
      </c>
      <c r="S49" s="3643"/>
      <c r="T49" s="3643"/>
      <c r="U49" s="3643"/>
      <c r="V49" s="3643"/>
      <c r="W49" s="3643"/>
      <c r="X49" s="1225"/>
      <c r="Y49" s="1225"/>
      <c r="Z49" s="1225"/>
      <c r="AA49" s="1225"/>
      <c r="AB49" s="1225"/>
      <c r="AC49" s="1225"/>
    </row>
    <row r="50" spans="1:29">
      <c r="A50" s="1185"/>
      <c r="B50" s="1185"/>
      <c r="C50" s="1185"/>
      <c r="D50" s="1185"/>
      <c r="E50" s="1185">
        <v>2018</v>
      </c>
      <c r="F50" s="1185"/>
      <c r="G50" s="2332">
        <v>2012</v>
      </c>
      <c r="H50" s="1185"/>
      <c r="I50" s="1185"/>
      <c r="J50" s="1185"/>
      <c r="K50" s="1265"/>
      <c r="L50" s="1266"/>
      <c r="M50" s="1185"/>
      <c r="N50" s="1185"/>
      <c r="O50" s="1185"/>
      <c r="P50" s="23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36"/>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f>IF(E47&lt;E48,E48/E47-1,E47/E48-1)</f>
        <v>0.21716624112482941</v>
      </c>
      <c r="F52" s="1189" t="str">
        <f>IF(OR(E52&gt;=0.3,E52&lt;=-0.3),"超过30%","")</f>
        <v/>
      </c>
      <c r="G52" s="1188">
        <f>IF(G47&lt;G48,G48/G47-1,G47/G48-1)</f>
        <v>0.28728517811285958</v>
      </c>
      <c r="H52" s="1189" t="str">
        <f>IF(OR(G52&gt;=0.3,G52&lt;=-0.3),"超过30%","")</f>
        <v/>
      </c>
      <c r="I52" s="1188">
        <f>IF(I47&lt;I48,I48/I47-1,I47/I48-1)</f>
        <v>0.45814843152257079</v>
      </c>
      <c r="J52" s="1189" t="str">
        <f>IF(OR(I52&gt;=0.3,I52&lt;=-0.3),"超过30%","")</f>
        <v>超过30%</v>
      </c>
      <c r="K52" s="1265"/>
      <c r="L52" s="1266"/>
      <c r="M52" s="1185"/>
      <c r="N52" s="1185"/>
      <c r="O52" s="1185"/>
      <c r="P52" s="2336"/>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f>IF(E48&lt;G48,G48/E48-1,E48/G48-1)</f>
        <v>6.2362281836941591E-2</v>
      </c>
      <c r="F53" s="1189" t="str">
        <f>IF(OR(E53&gt;=0.2,E53&lt;=-0.2),"超过20%","")</f>
        <v/>
      </c>
      <c r="G53" s="1188">
        <f>IF(G48&lt;I48,I48/G48-1,G48/I48-1)</f>
        <v>0.16197398622800296</v>
      </c>
      <c r="H53" s="1189" t="str">
        <f>IF(OR(G53&gt;=0.2,G53&lt;=-0.2),"超过20%","")</f>
        <v/>
      </c>
      <c r="I53" s="1188">
        <f>IF(I48&lt;E48,E48/I48-1,I48/E48-1)</f>
        <v>9.3764345830145368E-2</v>
      </c>
      <c r="J53" s="1189" t="str">
        <f>IF(OR(I53&gt;=0.2,I53&lt;=-0.2),"超过20%","")</f>
        <v/>
      </c>
      <c r="K53" s="1265"/>
      <c r="L53" s="1266"/>
      <c r="M53" s="1185"/>
      <c r="N53" s="1185"/>
      <c r="O53" s="1185"/>
      <c r="P53" s="23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f>IF(E47&lt;G47,G47/E47-1,E47/G47-1)</f>
        <v>0.12356321839080464</v>
      </c>
      <c r="F54" s="1189" t="str">
        <f>IF(OR(E54&gt;=0.3,E54&lt;=-0.3),"超过30%","")</f>
        <v/>
      </c>
      <c r="G54" s="1188">
        <f>IF(G47&lt;I47,I47/G47-1,G47/I47-1)</f>
        <v>2.5815930317976798E-2</v>
      </c>
      <c r="H54" s="1189" t="str">
        <f>IF(OR(G54&gt;=0.3,G54&lt;=-0.3),"超过30%","")</f>
        <v/>
      </c>
      <c r="I54" s="1188">
        <f>IF(I47&lt;E47,E47/I47-1,I47/E47-1)</f>
        <v>9.5287356321839045E-2</v>
      </c>
      <c r="J54" s="1189" t="str">
        <f>IF(OR(I54&gt;=0.3,I54&lt;=-0.3),"超过30%","")</f>
        <v/>
      </c>
      <c r="K54" s="1267"/>
      <c r="L54" s="1268"/>
      <c r="M54" s="1190"/>
      <c r="N54" s="1190"/>
      <c r="O54" s="1190"/>
      <c r="P54" s="233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3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36"/>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2338"/>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3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0"/>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2340"/>
      <c r="Q60" s="1290"/>
      <c r="R60" s="1410"/>
      <c r="S60" s="1410"/>
      <c r="T60" s="1410"/>
      <c r="U60" s="1410"/>
      <c r="V60" s="1410"/>
      <c r="W60" s="1410"/>
      <c r="X60" s="1410"/>
      <c r="Y60" s="1410"/>
      <c r="Z60" s="1410"/>
      <c r="AA60" s="1410"/>
      <c r="AB60" s="1410"/>
      <c r="AC60" s="1410"/>
    </row>
    <row r="61" spans="1:29" s="1069" customFormat="1" ht="15">
      <c r="A61" s="1309" t="s">
        <v>1104</v>
      </c>
      <c r="B61" s="1310"/>
      <c r="C61" s="1311" t="s">
        <v>1159</v>
      </c>
      <c r="D61" s="2333" t="s">
        <v>1107</v>
      </c>
      <c r="E61" s="2333" t="s">
        <v>1106</v>
      </c>
      <c r="F61" s="1312"/>
      <c r="G61" s="1312"/>
      <c r="H61" s="1312"/>
      <c r="I61" s="1312"/>
      <c r="J61" s="1312"/>
      <c r="K61" s="1312"/>
      <c r="L61" s="1358"/>
      <c r="M61" s="1359"/>
      <c r="N61" s="1360"/>
      <c r="O61" s="1360"/>
      <c r="P61" s="234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v>90</v>
      </c>
      <c r="F62" s="1314"/>
      <c r="G62" s="1314"/>
      <c r="H62" s="1314"/>
      <c r="I62" s="1314"/>
      <c r="J62" s="1314"/>
      <c r="K62" s="1314"/>
      <c r="L62" s="1314"/>
      <c r="M62" s="1362"/>
      <c r="N62" s="1360"/>
      <c r="O62" s="1360"/>
      <c r="P62" s="2340"/>
      <c r="Q62" s="1290"/>
      <c r="R62" s="1410"/>
      <c r="S62" s="1410"/>
      <c r="T62" s="1410"/>
      <c r="U62" s="1410"/>
      <c r="V62" s="1410"/>
      <c r="W62" s="1410"/>
      <c r="X62" s="1410"/>
      <c r="Y62" s="1410"/>
      <c r="Z62" s="1410"/>
      <c r="AA62" s="1410"/>
      <c r="AB62" s="1410"/>
      <c r="AC62" s="1410"/>
    </row>
    <row r="63" spans="1:29">
      <c r="A63" s="1315" t="s">
        <v>1160</v>
      </c>
      <c r="B63" s="1316" t="s">
        <v>1110</v>
      </c>
      <c r="C63" s="1338" t="str">
        <f>C9</f>
        <v>商业</v>
      </c>
      <c r="D63" s="1258"/>
      <c r="E63" s="1258"/>
      <c r="F63" s="1258"/>
      <c r="G63" s="1258"/>
      <c r="H63" s="1258"/>
      <c r="I63" s="1258"/>
      <c r="J63" s="1258"/>
      <c r="K63" s="1363"/>
      <c r="L63" s="1364"/>
      <c r="M63" s="1365"/>
      <c r="N63" s="1366"/>
      <c r="O63" s="1366"/>
      <c r="P63" s="23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2"/>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23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42"/>
      <c r="Q66" s="1290"/>
      <c r="R66" s="1185"/>
      <c r="S66" s="1185"/>
      <c r="T66" s="1185"/>
      <c r="U66" s="1185"/>
      <c r="V66" s="1185"/>
      <c r="W66" s="1185"/>
      <c r="X66" s="1185"/>
      <c r="Y66" s="1185"/>
      <c r="Z66" s="1185"/>
      <c r="AA66" s="1185"/>
      <c r="AB66" s="1185"/>
      <c r="AC66" s="1185"/>
    </row>
    <row r="67" spans="1:29" ht="15">
      <c r="A67" s="1317"/>
      <c r="B67" s="1324" t="s">
        <v>1114</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2"/>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1"/>
      <c r="Q75" s="1411"/>
      <c r="R75" s="1412"/>
      <c r="S75" s="1412"/>
      <c r="T75" s="1412"/>
      <c r="U75" s="1412"/>
      <c r="V75" s="1412"/>
      <c r="W75" s="1412"/>
      <c r="X75" s="1412"/>
      <c r="Y75" s="1412"/>
      <c r="Z75" s="1412"/>
      <c r="AA75" s="1412"/>
      <c r="AB75" s="1412"/>
      <c r="AC75" s="1412"/>
    </row>
    <row r="76" spans="1:29">
      <c r="A76" s="1315" t="s">
        <v>1115</v>
      </c>
      <c r="B76" s="1316" t="s">
        <v>1161</v>
      </c>
      <c r="C76" s="1337" t="s">
        <v>1162</v>
      </c>
      <c r="D76" s="1337" t="s">
        <v>1163</v>
      </c>
      <c r="E76" s="1337" t="s">
        <v>1164</v>
      </c>
      <c r="F76" s="1337" t="s">
        <v>1165</v>
      </c>
      <c r="G76" s="1337" t="s">
        <v>1166</v>
      </c>
      <c r="H76" s="1338"/>
      <c r="I76" s="1338"/>
      <c r="J76" s="1338"/>
      <c r="K76" s="1386"/>
      <c r="L76" s="1387"/>
      <c r="M76" s="1388"/>
      <c r="N76" s="1366"/>
      <c r="O76" s="1366"/>
      <c r="P76" s="2354"/>
      <c r="Q76" s="1290"/>
      <c r="R76" s="1185"/>
      <c r="S76" s="1185"/>
      <c r="T76" s="1185"/>
      <c r="U76" s="1185"/>
      <c r="V76" s="1185"/>
      <c r="W76" s="1185"/>
      <c r="X76" s="1185"/>
      <c r="Y76" s="1185"/>
      <c r="Z76" s="1185"/>
      <c r="AA76" s="1185"/>
      <c r="AB76" s="1185"/>
      <c r="AC76" s="1185"/>
    </row>
    <row r="77" spans="1:29" ht="15">
      <c r="A77" s="1317"/>
      <c r="B77" s="1322"/>
      <c r="C77" s="1323">
        <v>100</v>
      </c>
      <c r="D77" s="1323">
        <f>C77-$K15</f>
        <v>97</v>
      </c>
      <c r="E77" s="1323">
        <f>D77-$K15</f>
        <v>94</v>
      </c>
      <c r="F77" s="1323">
        <f>E77-$K15</f>
        <v>91</v>
      </c>
      <c r="G77" s="1323">
        <f>F77-$K15</f>
        <v>88</v>
      </c>
      <c r="H77" s="1323"/>
      <c r="I77" s="1323"/>
      <c r="J77" s="1323"/>
      <c r="K77" s="1323"/>
      <c r="L77" s="1323"/>
      <c r="M77" s="1373"/>
      <c r="N77" s="1369"/>
      <c r="O77" s="1369"/>
      <c r="P77" s="2342"/>
      <c r="Q77" s="1290"/>
      <c r="R77" s="1185"/>
      <c r="S77" s="1185"/>
      <c r="T77" s="1185"/>
      <c r="U77" s="1185"/>
      <c r="V77" s="1185"/>
      <c r="W77" s="1185"/>
      <c r="X77" s="1185"/>
      <c r="Y77" s="1185"/>
      <c r="Z77" s="1185"/>
      <c r="AA77" s="1185"/>
      <c r="AB77" s="1185"/>
      <c r="AC77" s="1185"/>
    </row>
    <row r="78" spans="1:29" ht="15">
      <c r="A78" s="1317"/>
      <c r="B78" s="1320" t="s">
        <v>1119</v>
      </c>
      <c r="C78" s="1339" t="s">
        <v>1162</v>
      </c>
      <c r="D78" s="1339" t="s">
        <v>1163</v>
      </c>
      <c r="E78" s="1339" t="s">
        <v>1164</v>
      </c>
      <c r="F78" s="1339" t="s">
        <v>1165</v>
      </c>
      <c r="G78" s="1339" t="s">
        <v>1166</v>
      </c>
      <c r="H78" s="1321"/>
      <c r="I78" s="1321"/>
      <c r="J78" s="1321"/>
      <c r="K78" s="1370"/>
      <c r="L78" s="1371"/>
      <c r="M78" s="1372"/>
      <c r="N78" s="1366"/>
      <c r="O78" s="1366"/>
      <c r="P78" s="234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2"/>
      <c r="Q79" s="1290"/>
      <c r="R79" s="1185"/>
      <c r="S79" s="1185"/>
      <c r="T79" s="1185"/>
      <c r="U79" s="1185"/>
      <c r="V79" s="1185"/>
      <c r="W79" s="1185"/>
      <c r="X79" s="1185"/>
      <c r="Y79" s="1185"/>
      <c r="Z79" s="1185"/>
      <c r="AA79" s="1185"/>
      <c r="AB79" s="1185"/>
      <c r="AC79" s="1185"/>
    </row>
    <row r="80" spans="1:29" ht="15">
      <c r="A80" s="1317"/>
      <c r="B80" s="1320" t="s">
        <v>1121</v>
      </c>
      <c r="C80" s="1339" t="s">
        <v>1162</v>
      </c>
      <c r="D80" s="1339" t="s">
        <v>1163</v>
      </c>
      <c r="E80" s="1339" t="s">
        <v>1164</v>
      </c>
      <c r="F80" s="1339" t="s">
        <v>1165</v>
      </c>
      <c r="G80" s="1339" t="s">
        <v>1166</v>
      </c>
      <c r="H80" s="1321"/>
      <c r="I80" s="1321"/>
      <c r="J80" s="1321"/>
      <c r="K80" s="1370"/>
      <c r="L80" s="1371"/>
      <c r="M80" s="1372"/>
      <c r="N80" s="1366"/>
      <c r="O80" s="1366"/>
      <c r="P80" s="234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2"/>
      <c r="Q81" s="1290"/>
      <c r="R81" s="1185"/>
      <c r="S81" s="1185"/>
      <c r="T81" s="1185"/>
      <c r="U81" s="1185"/>
      <c r="V81" s="1185"/>
      <c r="W81" s="1185"/>
      <c r="X81" s="1185"/>
      <c r="Y81" s="1185"/>
      <c r="Z81" s="1185"/>
      <c r="AA81" s="1185"/>
      <c r="AB81" s="1185"/>
      <c r="AC81" s="1185"/>
    </row>
    <row r="82" spans="1:29" ht="15">
      <c r="A82" s="1317"/>
      <c r="B82" s="1324" t="s">
        <v>1122</v>
      </c>
      <c r="C82" s="1344" t="s">
        <v>1167</v>
      </c>
      <c r="D82" s="1344" t="s">
        <v>1168</v>
      </c>
      <c r="E82" s="1344" t="s">
        <v>1169</v>
      </c>
      <c r="F82" s="1344" t="s">
        <v>1170</v>
      </c>
      <c r="G82" s="1344" t="s">
        <v>1171</v>
      </c>
      <c r="H82" s="1321"/>
      <c r="I82" s="1321"/>
      <c r="J82" s="1321"/>
      <c r="K82" s="1321"/>
      <c r="L82" s="1321"/>
      <c r="M82" s="1517"/>
      <c r="N82" s="1369"/>
      <c r="O82" s="1369"/>
      <c r="P82" s="234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2"/>
      <c r="Q83" s="1290"/>
      <c r="R83" s="1185"/>
      <c r="S83" s="1185"/>
      <c r="T83" s="1185"/>
      <c r="U83" s="1185"/>
      <c r="V83" s="1185"/>
      <c r="W83" s="1185"/>
      <c r="X83" s="1185"/>
      <c r="Y83" s="1185"/>
      <c r="Z83" s="1185"/>
      <c r="AA83" s="1185"/>
      <c r="AB83" s="1185"/>
      <c r="AC83" s="1185"/>
    </row>
    <row r="84" spans="1:29" ht="15">
      <c r="A84" s="1317"/>
      <c r="B84" s="1320" t="s">
        <v>1123</v>
      </c>
      <c r="C84" s="1339" t="s">
        <v>1162</v>
      </c>
      <c r="D84" s="1339" t="s">
        <v>1163</v>
      </c>
      <c r="E84" s="1339" t="s">
        <v>1164</v>
      </c>
      <c r="F84" s="1339" t="s">
        <v>1165</v>
      </c>
      <c r="G84" s="1339" t="s">
        <v>1166</v>
      </c>
      <c r="H84" s="1321"/>
      <c r="I84" s="1321"/>
      <c r="J84" s="1321"/>
      <c r="K84" s="1370"/>
      <c r="L84" s="1371"/>
      <c r="M84" s="1372"/>
      <c r="N84" s="1366"/>
      <c r="O84" s="1366"/>
      <c r="P84" s="234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2"/>
      <c r="Q85" s="1290"/>
      <c r="R85" s="1185"/>
      <c r="S85" s="1185"/>
      <c r="T85" s="1185"/>
      <c r="U85" s="1185"/>
      <c r="V85" s="1185"/>
      <c r="W85" s="1185"/>
      <c r="X85" s="1185"/>
      <c r="Y85" s="1185"/>
      <c r="Z85" s="1185"/>
      <c r="AA85" s="1185"/>
      <c r="AB85" s="1185"/>
      <c r="AC85" s="1185"/>
    </row>
    <row r="86" spans="1:29" s="1069" customFormat="1" ht="15">
      <c r="A86" s="1340"/>
      <c r="B86" s="1320" t="s">
        <v>1124</v>
      </c>
      <c r="C86" s="1328"/>
      <c r="D86" s="1328"/>
      <c r="E86" s="1328"/>
      <c r="F86" s="1328"/>
      <c r="G86" s="1328"/>
      <c r="H86" s="1328"/>
      <c r="I86" s="1328"/>
      <c r="J86" s="1328"/>
      <c r="K86" s="1328"/>
      <c r="L86" s="1518"/>
      <c r="M86" s="1519"/>
      <c r="N86" s="1360"/>
      <c r="O86" s="1360"/>
      <c r="P86" s="23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23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234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23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23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2351"/>
      <c r="Q91" s="1411"/>
      <c r="R91" s="1412"/>
      <c r="S91" s="1412"/>
      <c r="T91" s="1412"/>
      <c r="U91" s="1412"/>
      <c r="V91" s="1412"/>
      <c r="W91" s="1412"/>
      <c r="X91" s="1412"/>
      <c r="Y91" s="1412"/>
      <c r="Z91" s="1412"/>
      <c r="AA91" s="1412"/>
      <c r="AB91" s="1412"/>
      <c r="AC91" s="1412"/>
    </row>
    <row r="92" spans="1:29" ht="15">
      <c r="A92" s="1317"/>
      <c r="B92" s="1320" t="str">
        <f>B28</f>
        <v>楼层</v>
      </c>
      <c r="C92" s="2346" t="s">
        <v>1172</v>
      </c>
      <c r="D92" s="2346" t="s">
        <v>1173</v>
      </c>
      <c r="E92" s="2346" t="s">
        <v>1174</v>
      </c>
      <c r="F92" s="1328"/>
      <c r="G92" s="1328"/>
      <c r="H92" s="1328"/>
      <c r="I92" s="1328"/>
      <c r="J92" s="1328"/>
      <c r="K92" s="1328"/>
      <c r="L92" s="1518"/>
      <c r="M92" s="1519"/>
      <c r="N92" s="1366"/>
      <c r="O92" s="1366"/>
      <c r="P92" s="2342"/>
      <c r="Q92" s="1290"/>
      <c r="R92" s="1185"/>
      <c r="S92" s="1185"/>
      <c r="T92" s="1185"/>
      <c r="U92" s="1185"/>
      <c r="V92" s="1185"/>
      <c r="W92" s="1185"/>
      <c r="X92" s="1185"/>
      <c r="Y92" s="1185"/>
      <c r="Z92" s="1185"/>
      <c r="AA92" s="1185"/>
      <c r="AB92" s="1185"/>
      <c r="AC92" s="1185"/>
    </row>
    <row r="93" spans="1:29" ht="15">
      <c r="A93" s="1317"/>
      <c r="B93" s="1322"/>
      <c r="C93" s="1319">
        <v>100</v>
      </c>
      <c r="D93" s="1319">
        <v>70</v>
      </c>
      <c r="E93" s="1319">
        <v>85</v>
      </c>
      <c r="F93" s="1319"/>
      <c r="G93" s="1319"/>
      <c r="H93" s="1319"/>
      <c r="I93" s="1319"/>
      <c r="J93" s="1319"/>
      <c r="K93" s="1319"/>
      <c r="L93" s="1319"/>
      <c r="M93" s="1368"/>
      <c r="N93" s="1369"/>
      <c r="O93" s="1369"/>
      <c r="P93" s="23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2"/>
      <c r="Q99" s="1290"/>
      <c r="R99" s="1185"/>
      <c r="S99" s="1185"/>
      <c r="T99" s="1185"/>
      <c r="U99" s="1185"/>
      <c r="V99" s="1185"/>
      <c r="W99" s="1185"/>
      <c r="X99" s="1185"/>
      <c r="Y99" s="1185"/>
      <c r="Z99" s="1185"/>
      <c r="AA99" s="1185"/>
      <c r="AB99" s="1185"/>
      <c r="AC99" s="1185"/>
    </row>
    <row r="100" spans="1:29">
      <c r="A100" s="1315" t="s">
        <v>1131</v>
      </c>
      <c r="B100" s="1316" t="s">
        <v>1132</v>
      </c>
      <c r="C100" s="1258"/>
      <c r="D100" s="1258"/>
      <c r="E100" s="1258"/>
      <c r="F100" s="1258"/>
      <c r="G100" s="1258"/>
      <c r="H100" s="1258"/>
      <c r="I100" s="1258"/>
      <c r="J100" s="1258"/>
      <c r="K100" s="1363"/>
      <c r="L100" s="1364"/>
      <c r="M100" s="1365"/>
      <c r="N100" s="1366"/>
      <c r="O100" s="1366"/>
      <c r="P100" s="23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2342"/>
      <c r="Q101" s="1290"/>
      <c r="R101" s="1185"/>
      <c r="S101" s="1185"/>
      <c r="T101" s="1185"/>
      <c r="U101" s="1185"/>
      <c r="V101" s="1185"/>
      <c r="W101" s="1185"/>
      <c r="X101" s="1185"/>
      <c r="Y101" s="1185"/>
      <c r="Z101" s="1185"/>
      <c r="AA101" s="1185"/>
      <c r="AB101" s="1185"/>
      <c r="AC101" s="1185"/>
    </row>
    <row r="102" spans="1:29" ht="15">
      <c r="A102" s="1317"/>
      <c r="B102" s="1320" t="s">
        <v>1134</v>
      </c>
      <c r="C102" s="1339" t="str">
        <f>C103&amp;"(含)"&amp;"-"&amp;D103</f>
        <v>0(含)-50</v>
      </c>
      <c r="D102" s="1339" t="str">
        <f t="shared" ref="D102:L102" si="23">D103&amp;"(含)"&amp;"-"&amp;E103</f>
        <v>50(含)-100</v>
      </c>
      <c r="E102" s="1339" t="str">
        <f t="shared" si="23"/>
        <v>100(含)-200</v>
      </c>
      <c r="F102" s="1339" t="str">
        <f t="shared" si="23"/>
        <v>200(含)-300</v>
      </c>
      <c r="G102" s="1339" t="str">
        <f t="shared" si="23"/>
        <v>300(含)-500</v>
      </c>
      <c r="H102" s="1339" t="str">
        <f t="shared" si="23"/>
        <v>500(含)-800</v>
      </c>
      <c r="I102" s="1339" t="str">
        <f t="shared" si="23"/>
        <v>800(含)-</v>
      </c>
      <c r="J102" s="1339" t="str">
        <f t="shared" si="23"/>
        <v>(含)-</v>
      </c>
      <c r="K102" s="1339" t="str">
        <f t="shared" si="23"/>
        <v>(含)-</v>
      </c>
      <c r="L102" s="1339" t="str">
        <f t="shared" si="23"/>
        <v>(含)-</v>
      </c>
      <c r="M102" s="1391" t="str">
        <f>M103&amp;"(含)"&amp;"-"&amp;P103</f>
        <v>(含)-</v>
      </c>
      <c r="N102" s="1360"/>
      <c r="O102" s="1360"/>
      <c r="P102" s="234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v>500</v>
      </c>
      <c r="I103" s="1304">
        <v>800</v>
      </c>
      <c r="J103" s="1403"/>
      <c r="K103" s="1403"/>
      <c r="L103" s="1404"/>
      <c r="M103" s="1405"/>
      <c r="N103" s="1379"/>
      <c r="O103" s="1379"/>
      <c r="P103" s="235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v>95</v>
      </c>
      <c r="I104" s="1319">
        <v>94</v>
      </c>
      <c r="J104" s="1319"/>
      <c r="K104" s="1319"/>
      <c r="L104" s="1319"/>
      <c r="M104" s="1368"/>
      <c r="N104" s="1369"/>
      <c r="O104" s="1369"/>
      <c r="P104" s="2351"/>
      <c r="Q104" s="1411"/>
      <c r="R104" s="1412"/>
      <c r="S104" s="1412"/>
      <c r="T104" s="1412"/>
      <c r="U104" s="1412"/>
      <c r="V104" s="1412"/>
      <c r="W104" s="1412"/>
      <c r="X104" s="1412"/>
      <c r="Y104" s="1412"/>
      <c r="Z104" s="1412"/>
      <c r="AA104" s="1412"/>
      <c r="AB104" s="1412"/>
      <c r="AC104" s="1412"/>
    </row>
    <row r="105" spans="1:29">
      <c r="A105" s="1351"/>
      <c r="B105" s="1320" t="s">
        <v>1135</v>
      </c>
      <c r="C105" s="2347" t="s">
        <v>1136</v>
      </c>
      <c r="D105" s="1328"/>
      <c r="E105" s="1345"/>
      <c r="F105" s="1345"/>
      <c r="G105" s="1345"/>
      <c r="H105" s="1345"/>
      <c r="I105" s="1345"/>
      <c r="J105" s="1345"/>
      <c r="K105" s="1396"/>
      <c r="L105" s="1397"/>
      <c r="M105" s="1398"/>
      <c r="N105" s="1366"/>
      <c r="O105" s="1366"/>
      <c r="P105" s="23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2"/>
      <c r="Q106" s="1290"/>
      <c r="R106" s="1185"/>
      <c r="S106" s="1185"/>
      <c r="T106" s="1185"/>
      <c r="U106" s="1185"/>
      <c r="V106" s="1185"/>
      <c r="W106" s="1185"/>
      <c r="X106" s="1185"/>
      <c r="Y106" s="1185"/>
      <c r="Z106" s="1185"/>
      <c r="AA106" s="1185"/>
      <c r="AB106" s="1185"/>
      <c r="AC106" s="1185"/>
    </row>
    <row r="107" spans="1:29">
      <c r="A107" s="1351"/>
      <c r="B107" s="1320" t="s">
        <v>1137</v>
      </c>
      <c r="C107" s="2347" t="s">
        <v>1138</v>
      </c>
      <c r="D107" s="1328"/>
      <c r="E107" s="1328"/>
      <c r="F107" s="1345"/>
      <c r="G107" s="1345"/>
      <c r="H107" s="1345"/>
      <c r="I107" s="1345"/>
      <c r="J107" s="1345"/>
      <c r="K107" s="1396"/>
      <c r="L107" s="1397"/>
      <c r="M107" s="1398"/>
      <c r="N107" s="1366"/>
      <c r="O107" s="1366"/>
      <c r="P107" s="23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2"/>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2"/>
      <c r="Q111" s="1290"/>
      <c r="R111" s="1185"/>
      <c r="S111" s="1185"/>
      <c r="T111" s="1185"/>
      <c r="U111" s="1185"/>
      <c r="V111" s="1185"/>
      <c r="W111" s="1185"/>
      <c r="X111" s="1185"/>
      <c r="Y111" s="1185"/>
      <c r="Z111" s="1185"/>
      <c r="AA111" s="1185"/>
      <c r="AB111" s="1185"/>
      <c r="AC111" s="1185"/>
    </row>
    <row r="112" spans="1:29" s="1071" customFormat="1">
      <c r="A112" s="1348"/>
      <c r="B112" s="1320" t="s">
        <v>1139</v>
      </c>
      <c r="C112" s="1328"/>
      <c r="D112" s="1328"/>
      <c r="E112" s="1328"/>
      <c r="F112" s="1328"/>
      <c r="G112" s="1328"/>
      <c r="H112" s="1345"/>
      <c r="I112" s="1345"/>
      <c r="J112" s="1345"/>
      <c r="K112" s="1396"/>
      <c r="L112" s="1397"/>
      <c r="M112" s="1398"/>
      <c r="N112" s="1379"/>
      <c r="O112" s="1379"/>
      <c r="P112" s="23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51"/>
      <c r="Q113" s="1411"/>
      <c r="R113" s="1412"/>
      <c r="S113" s="1412"/>
      <c r="T113" s="1412"/>
      <c r="U113" s="1412"/>
      <c r="V113" s="1412"/>
      <c r="W113" s="1412"/>
      <c r="X113" s="1412"/>
      <c r="Y113" s="1412"/>
      <c r="Z113" s="1412"/>
      <c r="AA113" s="1412"/>
      <c r="AB113" s="1412"/>
      <c r="AC113" s="1412"/>
    </row>
    <row r="114" spans="1:29">
      <c r="A114" s="1351"/>
      <c r="B114" s="1320" t="s">
        <v>1140</v>
      </c>
      <c r="C114" s="2348" t="s">
        <v>1141</v>
      </c>
      <c r="D114" s="2348" t="s">
        <v>1175</v>
      </c>
      <c r="E114" s="1345"/>
      <c r="F114" s="1345"/>
      <c r="G114" s="1345"/>
      <c r="H114" s="1345"/>
      <c r="I114" s="1345"/>
      <c r="J114" s="1345"/>
      <c r="K114" s="1396"/>
      <c r="L114" s="1397"/>
      <c r="M114" s="1398"/>
      <c r="N114" s="1366"/>
      <c r="O114" s="1366"/>
      <c r="P114" s="23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42"/>
      <c r="Q115" s="1290"/>
      <c r="R115" s="1185"/>
      <c r="S115" s="1185"/>
      <c r="T115" s="1185"/>
      <c r="U115" s="1185"/>
      <c r="V115" s="1185"/>
      <c r="W115" s="1185"/>
      <c r="X115" s="1185"/>
      <c r="Y115" s="1185"/>
      <c r="Z115" s="1185"/>
      <c r="AA115" s="1185"/>
      <c r="AB115" s="1185"/>
      <c r="AC115" s="1185"/>
    </row>
    <row r="116" spans="1:29">
      <c r="A116" s="1351"/>
      <c r="B116" s="1320" t="s">
        <v>1142</v>
      </c>
      <c r="C116" s="2348" t="s">
        <v>1176</v>
      </c>
      <c r="D116" s="2348" t="s">
        <v>1143</v>
      </c>
      <c r="E116" s="1328"/>
      <c r="F116" s="1328"/>
      <c r="G116" s="1328"/>
      <c r="H116" s="1345"/>
      <c r="I116" s="1345"/>
      <c r="J116" s="1345"/>
      <c r="K116" s="1396"/>
      <c r="L116" s="1397"/>
      <c r="M116" s="1398"/>
      <c r="N116" s="1366"/>
      <c r="O116" s="1366"/>
      <c r="P116" s="23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2"/>
      <c r="Q117" s="1290"/>
      <c r="R117" s="1185"/>
      <c r="S117" s="1185"/>
      <c r="T117" s="1185"/>
      <c r="U117" s="1185"/>
      <c r="V117" s="1185"/>
      <c r="W117" s="1185"/>
      <c r="X117" s="1185"/>
      <c r="Y117" s="1185"/>
      <c r="Z117" s="1185"/>
      <c r="AA117" s="1185"/>
      <c r="AB117" s="1185"/>
      <c r="AC117" s="1185"/>
    </row>
    <row r="118" spans="1:29">
      <c r="A118" s="1351"/>
      <c r="B118" s="1320" t="s">
        <v>1144</v>
      </c>
      <c r="C118" s="2349"/>
      <c r="D118" s="2349"/>
      <c r="E118" s="2349"/>
      <c r="F118" s="2349"/>
      <c r="G118" s="2349"/>
      <c r="H118" s="1329"/>
      <c r="I118" s="1329"/>
      <c r="J118" s="1329"/>
      <c r="K118" s="1329"/>
      <c r="L118" s="1377"/>
      <c r="M118" s="1378"/>
      <c r="N118" s="1366"/>
      <c r="O118" s="1366"/>
      <c r="P118" s="23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2"/>
      <c r="Q119" s="1290"/>
      <c r="R119" s="1185"/>
      <c r="S119" s="1185"/>
      <c r="T119" s="1185"/>
      <c r="U119" s="1185"/>
      <c r="V119" s="1185"/>
      <c r="W119" s="1185"/>
      <c r="X119" s="1185"/>
      <c r="Y119" s="1185"/>
      <c r="Z119" s="1185"/>
      <c r="AA119" s="1185"/>
      <c r="AB119" s="1185"/>
      <c r="AC119" s="1185"/>
    </row>
    <row r="120" spans="1:29" s="1071" customFormat="1">
      <c r="A120" s="1348"/>
      <c r="B120" s="1320" t="s">
        <v>1177</v>
      </c>
      <c r="C120" s="1345"/>
      <c r="D120" s="1345"/>
      <c r="E120" s="1345"/>
      <c r="F120" s="1345"/>
      <c r="G120" s="1329"/>
      <c r="H120" s="1329"/>
      <c r="I120" s="1329"/>
      <c r="J120" s="1329"/>
      <c r="K120" s="1329"/>
      <c r="L120" s="1377"/>
      <c r="M120" s="1378"/>
      <c r="N120" s="1379"/>
      <c r="O120" s="1379"/>
      <c r="P120" s="23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1"/>
      <c r="Q121" s="1411"/>
      <c r="R121" s="1412"/>
      <c r="S121" s="1412"/>
      <c r="T121" s="1412"/>
      <c r="U121" s="1412"/>
      <c r="V121" s="1412"/>
      <c r="W121" s="1412"/>
      <c r="X121" s="1412"/>
      <c r="Y121" s="1412"/>
      <c r="Z121" s="1412"/>
      <c r="AA121" s="1412"/>
      <c r="AB121" s="1412"/>
      <c r="AC121" s="1412"/>
    </row>
    <row r="122" spans="1:29">
      <c r="A122" s="1351"/>
      <c r="B122" s="1320" t="s">
        <v>1146</v>
      </c>
      <c r="C122" s="2348" t="s">
        <v>1138</v>
      </c>
      <c r="D122" s="2348" t="s">
        <v>1148</v>
      </c>
      <c r="E122" s="2348" t="s">
        <v>1147</v>
      </c>
      <c r="F122" s="2350" t="s">
        <v>1178</v>
      </c>
      <c r="G122" s="1345"/>
      <c r="H122" s="1345"/>
      <c r="I122" s="1345"/>
      <c r="J122" s="1345"/>
      <c r="K122" s="1396"/>
      <c r="L122" s="1397"/>
      <c r="M122" s="1398"/>
      <c r="N122" s="1366"/>
      <c r="O122" s="1366"/>
      <c r="P122" s="23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97</v>
      </c>
      <c r="E123" s="1323">
        <f t="shared" si="30"/>
        <v>94</v>
      </c>
      <c r="F123" s="1323">
        <f t="shared" si="30"/>
        <v>91</v>
      </c>
      <c r="G123" s="1323">
        <f t="shared" si="30"/>
        <v>88</v>
      </c>
      <c r="H123" s="1323">
        <f t="shared" si="30"/>
        <v>85</v>
      </c>
      <c r="I123" s="1323">
        <f t="shared" si="30"/>
        <v>82</v>
      </c>
      <c r="J123" s="1323">
        <f t="shared" si="30"/>
        <v>79</v>
      </c>
      <c r="K123" s="1323">
        <f t="shared" si="30"/>
        <v>76</v>
      </c>
      <c r="L123" s="1323">
        <f t="shared" si="30"/>
        <v>73</v>
      </c>
      <c r="M123" s="1373">
        <f t="shared" si="30"/>
        <v>70</v>
      </c>
      <c r="N123" s="1369"/>
      <c r="O123" s="1369"/>
      <c r="P123" s="2342"/>
      <c r="Q123" s="1290"/>
      <c r="R123" s="1185"/>
      <c r="S123" s="1185"/>
      <c r="T123" s="1185"/>
      <c r="U123" s="1185"/>
      <c r="V123" s="1185"/>
      <c r="W123" s="1185"/>
      <c r="X123" s="1185"/>
      <c r="Y123" s="1185"/>
      <c r="Z123" s="1185"/>
      <c r="AA123" s="1185"/>
      <c r="AB123" s="1185"/>
      <c r="AC123" s="1185"/>
    </row>
    <row r="124" spans="1:29">
      <c r="A124" s="1351"/>
      <c r="B124" s="1320" t="s">
        <v>1149</v>
      </c>
      <c r="C124" s="1339" t="s">
        <v>1162</v>
      </c>
      <c r="D124" s="1339" t="s">
        <v>1163</v>
      </c>
      <c r="E124" s="1339" t="s">
        <v>1164</v>
      </c>
      <c r="F124" s="1339" t="s">
        <v>1165</v>
      </c>
      <c r="G124" s="1339" t="s">
        <v>1166</v>
      </c>
      <c r="H124" s="1321"/>
      <c r="I124" s="1321"/>
      <c r="J124" s="1321"/>
      <c r="K124" s="1370"/>
      <c r="L124" s="1371"/>
      <c r="M124" s="1372"/>
      <c r="N124" s="1366"/>
      <c r="O124" s="1366"/>
      <c r="P124" s="23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v>201</v>
      </c>
      <c r="D1" s="1937" t="s">
        <v>124</v>
      </c>
      <c r="E1" s="1938" t="s">
        <v>1180</v>
      </c>
      <c r="F1" s="1939">
        <f ca="1">J53</f>
        <v>31.54</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2320">
        <f ca="1">ROUND(D2/10000,4)</f>
        <v>187.1215</v>
      </c>
      <c r="C2" s="1943" t="s">
        <v>1182</v>
      </c>
      <c r="D2" s="2321">
        <f ca="1">C40+J29+L46</f>
        <v>1871215</v>
      </c>
      <c r="E2" s="1944" t="s">
        <v>1183</v>
      </c>
      <c r="F2" s="1945"/>
      <c r="G2" s="1946"/>
      <c r="H2" s="1947"/>
      <c r="I2" s="1947"/>
      <c r="J2" s="1947"/>
      <c r="K2" s="2107"/>
      <c r="L2" s="1947"/>
      <c r="M2" s="1947"/>
    </row>
    <row r="3" spans="1:37" ht="18" customHeight="1">
      <c r="A3" s="1948" t="s">
        <v>1184</v>
      </c>
      <c r="B3" s="1949">
        <f ca="1">IF(ISERROR(D2/F43),0,ROUND(D2/F43,0))</f>
        <v>19989</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116315</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ROUND(F6*F8*F7*(1-F9),0)</f>
        <v>116170</v>
      </c>
      <c r="D6" s="1963" t="s">
        <v>1195</v>
      </c>
      <c r="E6" s="1964" t="s">
        <v>1196</v>
      </c>
      <c r="F6" s="1965">
        <f ca="1">INDIRECT("'数据-取费表'!u"&amp;$G$1)</f>
        <v>4</v>
      </c>
      <c r="G6" s="761"/>
      <c r="H6" s="1961" t="s">
        <v>895</v>
      </c>
      <c r="I6" s="3671" t="s">
        <v>1194</v>
      </c>
      <c r="J6" s="2037">
        <f ca="1">ROUND(M6*M8*M7*(1-M9),0)</f>
        <v>0</v>
      </c>
      <c r="K6" s="2327" t="s">
        <v>1197</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93.61</v>
      </c>
      <c r="G7" s="761"/>
      <c r="H7" s="1970"/>
      <c r="I7" s="3672"/>
      <c r="J7" s="1971"/>
      <c r="K7" s="1968"/>
      <c r="L7" s="1964" t="s">
        <v>1198</v>
      </c>
      <c r="M7" s="1965">
        <f ca="1">F7</f>
        <v>93.61</v>
      </c>
    </row>
    <row r="8" spans="1:37" ht="18" customHeight="1">
      <c r="A8" s="1970"/>
      <c r="B8" s="3672"/>
      <c r="C8" s="1971"/>
      <c r="D8" s="1968"/>
      <c r="E8" s="1964" t="s">
        <v>1199</v>
      </c>
      <c r="F8" s="1965">
        <f ca="1">INDIRECT("'数据-取费表'!ai"&amp;$G$1)</f>
        <v>365</v>
      </c>
      <c r="G8" s="761"/>
      <c r="H8" s="1970"/>
      <c r="I8" s="3672"/>
      <c r="J8" s="1971"/>
      <c r="K8" s="1968"/>
      <c r="L8" s="1964" t="s">
        <v>1199</v>
      </c>
      <c r="M8" s="1965">
        <f ca="1">INDIRECT("'数据-取费表'!ai"&amp;$G$1)</f>
        <v>365</v>
      </c>
    </row>
    <row r="9" spans="1:37" ht="18" customHeight="1">
      <c r="A9" s="1970"/>
      <c r="B9" s="3673"/>
      <c r="C9" s="1971"/>
      <c r="D9" s="1968"/>
      <c r="E9" s="1964" t="s">
        <v>1200</v>
      </c>
      <c r="F9" s="1972">
        <f ca="1">INDIRECT("'数据-取费表'!w"&amp;$G$1)</f>
        <v>0.15</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145</v>
      </c>
      <c r="D10" s="1974" t="s">
        <v>1202</v>
      </c>
      <c r="E10" s="1975" t="s">
        <v>1203</v>
      </c>
      <c r="F10" s="1976" t="s">
        <v>1204</v>
      </c>
      <c r="G10" s="761"/>
      <c r="H10" s="1961" t="s">
        <v>899</v>
      </c>
      <c r="I10" s="1973" t="s">
        <v>1201</v>
      </c>
      <c r="J10" s="2037">
        <f ca="1">ROUND(IF(M10="押一",J6/12*M11,IF(M10="押二",J6/12*2*M11,IF(M10="押三",J6/12*3*M11,J11*M11))),0)</f>
        <v>0</v>
      </c>
      <c r="K10" s="2328" t="s">
        <v>1205</v>
      </c>
      <c r="L10" s="1975" t="s">
        <v>1203</v>
      </c>
      <c r="M10" s="1976"/>
    </row>
    <row r="11" spans="1:37" ht="18" customHeight="1">
      <c r="A11" s="1977"/>
      <c r="B11" s="1978" t="s">
        <v>1206</v>
      </c>
      <c r="C11" s="1979"/>
      <c r="D11" s="1968"/>
      <c r="E11" s="1975" t="s">
        <v>1207</v>
      </c>
      <c r="F11" s="1981">
        <f ca="1">'数据-取费表'!B39</f>
        <v>1.4999999999999999E-2</v>
      </c>
      <c r="G11" s="761"/>
      <c r="H11" s="1982"/>
      <c r="I11" s="1978" t="s">
        <v>1208</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434436</v>
      </c>
      <c r="D13" s="1992" t="s">
        <v>1211</v>
      </c>
      <c r="E13" s="1992" t="s">
        <v>1212</v>
      </c>
      <c r="F13" s="1993">
        <f ca="1">INDIRECT("'数据-取费表'!y"&amp;$G$1)</f>
        <v>0.92</v>
      </c>
      <c r="G13" s="761"/>
      <c r="H13" s="1989">
        <v>2</v>
      </c>
      <c r="I13" s="1990" t="s">
        <v>1210</v>
      </c>
      <c r="J13" s="2114">
        <f ca="1">ROUND(J14*J15,0)</f>
        <v>0</v>
      </c>
      <c r="K13" s="2015" t="s">
        <v>1211</v>
      </c>
      <c r="L13" s="2115"/>
      <c r="M13" s="2116"/>
    </row>
    <row r="14" spans="1:37" ht="18" customHeight="1">
      <c r="A14" s="1994" t="s">
        <v>918</v>
      </c>
      <c r="B14" s="1964" t="s">
        <v>1213</v>
      </c>
      <c r="C14" s="1995">
        <f ca="1">ROUND(INDIRECT("'数据-取费表'!l"&amp;$G$1)*F43+'数据-取费表'!L14*INDIRECT("'数据-取费表'!S"&amp;$G$1),0)</f>
        <v>327635</v>
      </c>
      <c r="D14" s="1996" t="s">
        <v>1214</v>
      </c>
      <c r="E14" s="1997"/>
      <c r="F14" s="1998"/>
      <c r="G14" s="761"/>
      <c r="H14" s="1994" t="s">
        <v>895</v>
      </c>
      <c r="I14" s="1964" t="s">
        <v>1215</v>
      </c>
      <c r="J14" s="1003">
        <f ca="1">C29</f>
        <v>472213</v>
      </c>
      <c r="K14" s="2117"/>
      <c r="L14" s="2118"/>
      <c r="M14" s="2119"/>
    </row>
    <row r="15" spans="1:37" s="1933" customFormat="1" ht="18" customHeight="1">
      <c r="A15" s="1994" t="s">
        <v>922</v>
      </c>
      <c r="B15" s="1964" t="s">
        <v>1216</v>
      </c>
      <c r="C15" s="1003">
        <f ca="1">ROUND(C14*F15,0)</f>
        <v>9829</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ROUND(INDIRECT("'数据-取费表'!l"&amp;$G$1)*F43*F16,0)</f>
        <v>0</v>
      </c>
      <c r="D16" s="1964" t="s">
        <v>1217</v>
      </c>
      <c r="E16" s="1964" t="s">
        <v>1218</v>
      </c>
      <c r="F16" s="2003">
        <f ca="1">IF(INDIRECT("'数据-取费表'!c"&amp;$G$1)="住宅",'数据-取费表'!B34,0)</f>
        <v>0</v>
      </c>
      <c r="G16" s="761"/>
      <c r="H16" s="1989" t="s">
        <v>1220</v>
      </c>
      <c r="I16" s="1990" t="s">
        <v>1221</v>
      </c>
      <c r="J16" s="1991">
        <f ca="1">ROUND(J17+J22+J23+J24,0)</f>
        <v>2361</v>
      </c>
      <c r="K16" s="2015" t="s">
        <v>1222</v>
      </c>
      <c r="L16" s="2016"/>
      <c r="M16" s="1960"/>
    </row>
    <row r="17" spans="1:37" s="1933" customFormat="1" ht="18" customHeight="1">
      <c r="A17" s="1994" t="s">
        <v>1223</v>
      </c>
      <c r="B17" s="1964" t="s">
        <v>1224</v>
      </c>
      <c r="C17" s="1003">
        <f ca="1">ROUND(F17*(F43+INDIRECT("'数据-取费表'!S"&amp;$G$1)),0)</f>
        <v>18722</v>
      </c>
      <c r="D17" s="1964" t="s">
        <v>1225</v>
      </c>
      <c r="E17" s="1964" t="s">
        <v>1226</v>
      </c>
      <c r="F17" s="2004">
        <f>'数据-取费表'!B35</f>
        <v>200</v>
      </c>
      <c r="G17" s="2001"/>
      <c r="H17" s="1994" t="s">
        <v>895</v>
      </c>
      <c r="I17" s="1964" t="s">
        <v>1227</v>
      </c>
      <c r="J17" s="2018">
        <f ca="1">ROUND(IF(AND(项目基本情况!B11="自然人",项目基本情况!B10="北京市"),J6*M17/(1+'数据-取费表'!C42),J18+J19+J20),0)</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4915</v>
      </c>
      <c r="D18" s="1964" t="s">
        <v>1217</v>
      </c>
      <c r="E18" s="1964" t="s">
        <v>1218</v>
      </c>
      <c r="F18" s="2003">
        <f>'数据-取费表'!B36</f>
        <v>1.4999999999999999E-2</v>
      </c>
      <c r="G18" s="2001"/>
      <c r="H18" s="1994" t="s">
        <v>918</v>
      </c>
      <c r="I18" s="1964" t="s">
        <v>1232</v>
      </c>
      <c r="J18" s="1003">
        <f ca="1">ROUND(J6*M18/(1+'数据-取费表'!C42),0)</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361101</v>
      </c>
      <c r="D19" s="2005" t="s">
        <v>1235</v>
      </c>
      <c r="E19" s="1005"/>
      <c r="F19" s="2004"/>
      <c r="G19" s="761"/>
      <c r="H19" s="1994" t="s">
        <v>922</v>
      </c>
      <c r="I19" s="1964" t="s">
        <v>1236</v>
      </c>
      <c r="J19" s="1003">
        <f ca="1">IF(K19="按租金收入计税",ROUND(J6*M19/(1+'数据-取费表'!C42),0),ROUND(C29*M19*0.7,0))</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7222</v>
      </c>
      <c r="D20" s="2006" t="s">
        <v>1239</v>
      </c>
      <c r="E20" s="1964" t="s">
        <v>1218</v>
      </c>
      <c r="F20" s="2003">
        <f>'数据-取费表'!B37</f>
        <v>0.02</v>
      </c>
      <c r="G20" s="2001"/>
      <c r="H20" s="1994" t="s">
        <v>925</v>
      </c>
      <c r="I20" s="1963" t="s">
        <v>1240</v>
      </c>
      <c r="J20" s="2024">
        <f ca="1">ROUND(M20*M21,0)</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ROUND(J14*M22,0)</f>
        <v>2361</v>
      </c>
      <c r="K22" s="2019" t="s">
        <v>1249</v>
      </c>
      <c r="L22" s="1964" t="s">
        <v>1218</v>
      </c>
      <c r="M22" s="2031">
        <f ca="1">INDIRECT("'数据-取费表'!Ak"&amp;$G$1)</f>
        <v>5.0000000000000001E-3</v>
      </c>
    </row>
    <row r="23" spans="1:37" s="1933" customFormat="1" ht="18" customHeight="1">
      <c r="A23" s="1994" t="s">
        <v>918</v>
      </c>
      <c r="B23" s="1964" t="s">
        <v>1250</v>
      </c>
      <c r="C23" s="1003">
        <f ca="1">IF('数据-取费表'!B22&lt;=1,ROUND(C19*F24*F23/2,0)+ROUND(C20*F24*F23/2,0),ROUND(C19*(POWER((1+F24),F23/2)-1),0)+ROUND(C20*(POWER((1+F24),F23/2)-1),0))</f>
        <v>12707</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ROUND(J13*M23,0)</f>
        <v>0</v>
      </c>
      <c r="K23" s="2019" t="s">
        <v>1253</v>
      </c>
      <c r="L23" s="1964" t="s">
        <v>1218</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ROUND(J5*M24,0)</f>
        <v>0</v>
      </c>
      <c r="K24" s="2012" t="s">
        <v>1256</v>
      </c>
      <c r="L24" s="1987" t="s">
        <v>1218</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951</v>
      </c>
      <c r="B25" s="1964" t="s">
        <v>1257</v>
      </c>
      <c r="C25" s="1003"/>
      <c r="D25" s="2005" t="s">
        <v>1258</v>
      </c>
      <c r="E25" s="1005"/>
      <c r="F25" s="2004"/>
      <c r="G25" s="761"/>
      <c r="H25" s="1989" t="s">
        <v>1259</v>
      </c>
      <c r="I25" s="2033" t="s">
        <v>1260</v>
      </c>
      <c r="J25" s="1991">
        <f ca="1">J5-J16</f>
        <v>-2361</v>
      </c>
      <c r="K25" s="2034" t="s">
        <v>1261</v>
      </c>
      <c r="L25" s="2035"/>
      <c r="M25" s="2036"/>
    </row>
    <row r="26" spans="1:37" ht="18" customHeight="1">
      <c r="A26" s="1994" t="s">
        <v>918</v>
      </c>
      <c r="B26" s="1964" t="s">
        <v>1262</v>
      </c>
      <c r="C26" s="1003">
        <f ca="1">ROUND((C19+C20)*F26,0)</f>
        <v>55248</v>
      </c>
      <c r="D26" s="2006" t="s">
        <v>1263</v>
      </c>
      <c r="E26" s="1975" t="s">
        <v>1264</v>
      </c>
      <c r="F26" s="1972">
        <f ca="1">INDIRECT("'数据-取费表'!q"&amp;$G$1)</f>
        <v>0.15</v>
      </c>
      <c r="G26" s="761"/>
      <c r="H26" s="1955" t="s">
        <v>1265</v>
      </c>
      <c r="I26" s="1956" t="s">
        <v>1266</v>
      </c>
      <c r="J26" s="2037">
        <f ca="1">IF(J5&lt;&gt;0,ROUND(J25*(1-((1+M28)/(1+M26))^M27)/(M26-M28),0),0)</f>
        <v>0</v>
      </c>
      <c r="K26" s="2025" t="s">
        <v>1267</v>
      </c>
      <c r="L26" s="1964" t="s">
        <v>1268</v>
      </c>
      <c r="M26" s="1972">
        <f ca="1">INDIRECT("'数据-取费表'!I"&amp;$G$1)</f>
        <v>5.5E-2</v>
      </c>
    </row>
    <row r="27" spans="1:37" ht="18" customHeight="1">
      <c r="A27" s="1994" t="s">
        <v>922</v>
      </c>
      <c r="B27" s="1964" t="s">
        <v>1269</v>
      </c>
      <c r="C27" s="1003">
        <f ca="1">ROUND(F21*F26,4)</f>
        <v>3.0000000000000001E-3</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472213</v>
      </c>
      <c r="D29" s="2012"/>
      <c r="E29" s="1987"/>
      <c r="F29" s="2013"/>
      <c r="G29" s="2001"/>
      <c r="H29" s="2014" t="s">
        <v>1278</v>
      </c>
      <c r="I29" s="2044" t="s">
        <v>1279</v>
      </c>
      <c r="J29" s="2045">
        <f ca="1">ROUND(J26/(1+F40)^F41,0)</f>
        <v>0</v>
      </c>
      <c r="K29" s="2046" t="s">
        <v>1280</v>
      </c>
      <c r="L29" s="2047"/>
      <c r="M29" s="2048">
        <f ca="1">INDIRECT("'数据-取费表'!k"&amp;$G$1)</f>
        <v>93.61</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23320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ROUND(IF(AND(项目基本情况!B11="自然人",项目基本情况!B10="北京市"),C6*F31/(1+'数据-取费表'!C42),C32+C33+C34),0)</f>
        <v>19362</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IF(项目基本情况!B11="自然人","——",ROUND(C6*F32/(1+'数据-取费表'!C42),0))</f>
        <v>6085</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IF(项目基本情况!B11="自然人","——",IF(D33="按租金收入计税",ROUND(C6*F33/(1+'数据-取费表'!C42),0),IF(D33="按房产原值计税",ROUND(C29*F33*0.7,0),INDIRECT("'数据-取费表'!Aj"&amp;$G$1))))</f>
        <v>13277</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IF(项目基本情况!B11="自然人","——",ROUND(F34*F35,0))</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ROUND(C29*F36,0)</f>
        <v>2361</v>
      </c>
      <c r="D36" s="2019" t="s">
        <v>1282</v>
      </c>
      <c r="E36" s="1964" t="s">
        <v>1218</v>
      </c>
      <c r="F36" s="2031">
        <f ca="1">INDIRECT("'数据-取费表'!Ak"&amp;$G$1)</f>
        <v>5.0000000000000001E-3</v>
      </c>
      <c r="G36" s="761"/>
      <c r="H36" s="2023"/>
      <c r="I36" s="2124"/>
      <c r="J36" s="2125"/>
      <c r="K36" s="2132"/>
      <c r="L36" s="2023"/>
      <c r="M36" s="2023"/>
    </row>
    <row r="37" spans="1:18" ht="18" customHeight="1">
      <c r="A37" s="1994" t="s">
        <v>944</v>
      </c>
      <c r="B37" s="1964" t="s">
        <v>1252</v>
      </c>
      <c r="C37" s="1003">
        <f ca="1">ROUND(C13*F37,0)</f>
        <v>434</v>
      </c>
      <c r="D37" s="2019" t="s">
        <v>1253</v>
      </c>
      <c r="E37" s="1964" t="s">
        <v>1218</v>
      </c>
      <c r="F37" s="2032">
        <f ca="1">INDIRECT("'数据-取费表'!Al"&amp;$G$1)</f>
        <v>1E-3</v>
      </c>
      <c r="G37" s="761"/>
      <c r="H37" s="2023"/>
      <c r="I37" s="2124"/>
      <c r="J37" s="2125"/>
      <c r="K37" s="2132"/>
      <c r="L37" s="2023"/>
      <c r="M37" s="2023"/>
    </row>
    <row r="38" spans="1:18" ht="18" customHeight="1">
      <c r="A38" s="2002" t="s">
        <v>947</v>
      </c>
      <c r="B38" s="1987" t="s">
        <v>1238</v>
      </c>
      <c r="C38" s="2011">
        <f ca="1">ROUND(C5*F38,0)</f>
        <v>1163</v>
      </c>
      <c r="D38" s="2012" t="s">
        <v>1256</v>
      </c>
      <c r="E38" s="1987" t="s">
        <v>1218</v>
      </c>
      <c r="F38" s="1988">
        <f ca="1">INDIRECT("'数据-取费表'!Am"&amp;$G$1)</f>
        <v>0.01</v>
      </c>
      <c r="G38" s="761"/>
      <c r="H38" s="2023"/>
      <c r="I38" s="2124"/>
      <c r="J38" s="2125"/>
      <c r="K38" s="2133"/>
      <c r="L38" s="2023"/>
      <c r="M38" s="2023"/>
    </row>
    <row r="39" spans="1:18" ht="24.6" customHeight="1">
      <c r="A39" s="1989" t="s">
        <v>1259</v>
      </c>
      <c r="B39" s="2033" t="s">
        <v>1260</v>
      </c>
      <c r="C39" s="1991">
        <f ca="1">C5-C30</f>
        <v>92995</v>
      </c>
      <c r="D39" s="2034" t="s">
        <v>1261</v>
      </c>
      <c r="E39" s="2035"/>
      <c r="F39" s="2036"/>
      <c r="G39" s="761"/>
      <c r="H39" s="2023"/>
      <c r="I39" s="2124"/>
      <c r="J39" s="2125"/>
      <c r="K39" s="2133"/>
      <c r="L39" s="2023"/>
      <c r="M39" s="2023"/>
    </row>
    <row r="40" spans="1:18" ht="18" customHeight="1">
      <c r="A40" s="1955" t="s">
        <v>1265</v>
      </c>
      <c r="B40" s="1956" t="s">
        <v>1283</v>
      </c>
      <c r="C40" s="2037">
        <f ca="1">ROUND(C39*(1-((1+F42)/(1+F40))^F41)/(F40-F42),0)</f>
        <v>1851914</v>
      </c>
      <c r="D40" s="2025" t="s">
        <v>1267</v>
      </c>
      <c r="E40" s="1964" t="s">
        <v>1268</v>
      </c>
      <c r="F40" s="1972">
        <f ca="1">INDIRECT("'数据-取费表'!I"&amp;$G$1)</f>
        <v>5.5E-2</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31.54</v>
      </c>
      <c r="G41" s="761"/>
      <c r="H41" s="2042"/>
      <c r="I41" s="2124"/>
      <c r="J41" s="2125"/>
      <c r="K41" s="2132"/>
      <c r="L41" s="2042"/>
      <c r="M41" s="2042"/>
    </row>
    <row r="42" spans="1:18" ht="18" customHeight="1">
      <c r="A42" s="1977"/>
      <c r="B42" s="2043"/>
      <c r="C42" s="1991"/>
      <c r="D42" s="2029"/>
      <c r="E42" s="1964" t="s">
        <v>1275</v>
      </c>
      <c r="F42" s="1972">
        <f ca="1">INDIRECT("'数据-取费表'!v"&amp;$G$1)</f>
        <v>2.5000000000000001E-2</v>
      </c>
      <c r="G42" s="761"/>
      <c r="H42" s="2042"/>
      <c r="I42" s="2124"/>
      <c r="J42" s="2125"/>
      <c r="K42" s="2132"/>
      <c r="L42" s="2042"/>
      <c r="M42" s="2042"/>
    </row>
    <row r="43" spans="1:18" ht="18" customHeight="1">
      <c r="A43" s="2014" t="s">
        <v>1278</v>
      </c>
      <c r="B43" s="2044" t="s">
        <v>1284</v>
      </c>
      <c r="C43" s="2045">
        <f ca="1">ROUND(C40/F43,0)</f>
        <v>19783</v>
      </c>
      <c r="D43" s="2046" t="s">
        <v>1285</v>
      </c>
      <c r="E43" s="2047" t="s">
        <v>1286</v>
      </c>
      <c r="F43" s="2048">
        <f ca="1">INDIRECT("'数据-取费表'!k"&amp;$G$1)</f>
        <v>93.61</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2" t="s">
        <v>1287</v>
      </c>
      <c r="B45" s="2049"/>
      <c r="C45" s="2323">
        <f ca="1">ROUND((C68-C40)/10000,4)</f>
        <v>-189.33430000000001</v>
      </c>
      <c r="D45" s="2324" t="s">
        <v>1288</v>
      </c>
      <c r="E45" s="2049"/>
      <c r="F45" s="2049"/>
      <c r="O45" s="2169" t="s">
        <v>1289</v>
      </c>
      <c r="P45" s="2038"/>
      <c r="Q45" s="2038"/>
      <c r="R45" s="2038"/>
    </row>
    <row r="46" spans="1:18" s="761" customFormat="1">
      <c r="A46" s="2051" t="s">
        <v>1290</v>
      </c>
      <c r="C46" s="2052">
        <f ca="1">ROUND(C45,0)</f>
        <v>-189</v>
      </c>
      <c r="D46" s="2053" t="str">
        <f>C2</f>
        <v>万元</v>
      </c>
      <c r="I46" s="2136" t="s">
        <v>1291</v>
      </c>
      <c r="J46" s="2137"/>
      <c r="K46" s="2138"/>
      <c r="L46" s="2139">
        <f ca="1">IF(M47="住宅",0,IF(L48&gt;J51,L60,J60))</f>
        <v>19301</v>
      </c>
      <c r="O46" s="2140" t="s">
        <v>1292</v>
      </c>
      <c r="P46" s="2141" t="s">
        <v>1293</v>
      </c>
      <c r="Q46" s="2187" t="s">
        <v>1294</v>
      </c>
      <c r="R46" s="2187" t="s">
        <v>1295</v>
      </c>
    </row>
    <row r="47" spans="1:18" s="761" customFormat="1">
      <c r="A47" s="2054" t="s">
        <v>1187</v>
      </c>
      <c r="B47" s="2055" t="s">
        <v>1188</v>
      </c>
      <c r="C47" s="2055" t="s">
        <v>1189</v>
      </c>
      <c r="D47" s="2055" t="s">
        <v>1190</v>
      </c>
      <c r="E47" s="2057" t="s">
        <v>1191</v>
      </c>
      <c r="F47" s="996"/>
      <c r="G47" s="2058"/>
      <c r="I47" s="2142" t="s">
        <v>1296</v>
      </c>
      <c r="J47" s="2143" t="s">
        <v>1136</v>
      </c>
      <c r="K47" s="2144" t="s">
        <v>1297</v>
      </c>
      <c r="L47" s="2145">
        <f ca="1">INDIRECT("'数据-取费表'!d"&amp;$G$1)</f>
        <v>40</v>
      </c>
      <c r="M47" s="2146" t="str">
        <f>IF(ISNUMBER(FIND("住宅",C1)),"住宅","非住宅")</f>
        <v>非住宅</v>
      </c>
      <c r="O47" s="2147" t="s">
        <v>1000</v>
      </c>
      <c r="P47" s="2148" t="s">
        <v>1298</v>
      </c>
      <c r="Q47" s="2188">
        <f ca="1">C40+J29</f>
        <v>1851914</v>
      </c>
      <c r="R47" s="2188" t="s">
        <v>1299</v>
      </c>
    </row>
    <row r="48" spans="1:18" s="761" customFormat="1" ht="27.75">
      <c r="A48" s="2059" t="s">
        <v>1300</v>
      </c>
      <c r="B48" s="1956" t="s">
        <v>1192</v>
      </c>
      <c r="C48" s="1004">
        <f ca="1">C49+C53+C55</f>
        <v>0</v>
      </c>
      <c r="D48" s="2060"/>
      <c r="E48" s="2061"/>
      <c r="F48" s="2062"/>
      <c r="G48" s="2058"/>
      <c r="H48" s="2063"/>
      <c r="I48" s="2149" t="s">
        <v>1301</v>
      </c>
      <c r="J48" s="2150" t="s">
        <v>1302</v>
      </c>
      <c r="K48" s="2151" t="s">
        <v>1303</v>
      </c>
      <c r="L48" s="2152">
        <f ca="1">INDIRECT("'数据-取费表'!f"&amp;$G$1)</f>
        <v>31.54</v>
      </c>
      <c r="O48" s="2147" t="s">
        <v>1003</v>
      </c>
      <c r="P48" s="2148" t="s">
        <v>1304</v>
      </c>
      <c r="Q48" s="2188">
        <f ca="1">J60</f>
        <v>19301</v>
      </c>
      <c r="R48" s="2188" t="s">
        <v>1305</v>
      </c>
    </row>
    <row r="49" spans="1:18" s="761" customFormat="1">
      <c r="A49" s="2064" t="s">
        <v>1306</v>
      </c>
      <c r="B49" s="2065" t="s">
        <v>1307</v>
      </c>
      <c r="C49" s="2066">
        <f ca="1">ROUND(F49*F51*F50*(1-F52),0)</f>
        <v>0</v>
      </c>
      <c r="D49" s="2067" t="s">
        <v>1308</v>
      </c>
      <c r="E49" s="2068" t="s">
        <v>1309</v>
      </c>
      <c r="F49" s="2069"/>
      <c r="G49" s="2070"/>
      <c r="H49" s="2063"/>
      <c r="I49" s="2149" t="s">
        <v>1310</v>
      </c>
      <c r="J49" s="2153">
        <v>2018</v>
      </c>
      <c r="K49" s="2151" t="s">
        <v>1311</v>
      </c>
      <c r="L49" s="2154"/>
      <c r="O49" s="2155" t="s">
        <v>1312</v>
      </c>
      <c r="P49" s="2148" t="s">
        <v>1313</v>
      </c>
      <c r="Q49" s="2188">
        <f ca="1">C29</f>
        <v>472213</v>
      </c>
      <c r="R49" s="2188" t="s">
        <v>1299</v>
      </c>
    </row>
    <row r="50" spans="1:18" s="761" customFormat="1">
      <c r="A50" s="2071"/>
      <c r="B50" s="2072"/>
      <c r="C50" s="2078"/>
      <c r="D50" s="2074"/>
      <c r="E50" s="2075" t="s">
        <v>1198</v>
      </c>
      <c r="F50" s="2076">
        <f ca="1">F7</f>
        <v>93.61</v>
      </c>
      <c r="H50" s="2063"/>
      <c r="I50" s="2149" t="s">
        <v>1314</v>
      </c>
      <c r="J50" s="2156">
        <f>SUMPRODUCT((I63:I65=J47)*(J62:L62=J48)*(J63:L65))</f>
        <v>60</v>
      </c>
      <c r="K50" s="2151" t="s">
        <v>1315</v>
      </c>
      <c r="L50" s="2154"/>
      <c r="M50" s="2157"/>
      <c r="O50" s="2155" t="s">
        <v>1316</v>
      </c>
      <c r="P50" s="2148" t="s">
        <v>1317</v>
      </c>
      <c r="Q50" s="2189">
        <f ca="1">J58</f>
        <v>0.4</v>
      </c>
      <c r="R50" s="2188"/>
    </row>
    <row r="51" spans="1:18" s="761" customFormat="1">
      <c r="A51" s="2077"/>
      <c r="B51" s="2072"/>
      <c r="C51" s="2078"/>
      <c r="D51" s="2074"/>
      <c r="E51" s="2079" t="s">
        <v>1199</v>
      </c>
      <c r="F51" s="1965">
        <f ca="1">F8</f>
        <v>365</v>
      </c>
      <c r="I51" s="2158" t="s">
        <v>1318</v>
      </c>
      <c r="J51" s="2159">
        <f>IF(J49="",J50,J49+J50-YEAR('数据-取费表'!B2))</f>
        <v>55</v>
      </c>
      <c r="K51" s="2160" t="s">
        <v>1319</v>
      </c>
      <c r="L51" s="2161">
        <f ca="1">ROUND(-PV(INDIRECT("'数据-取费表'!h"&amp;$G$1),J51,(C39-C13*C76),0),0)</f>
        <v>1166166</v>
      </c>
      <c r="M51" s="2162"/>
      <c r="O51" s="2155" t="s">
        <v>1320</v>
      </c>
      <c r="P51" s="2148" t="s">
        <v>1321</v>
      </c>
      <c r="Q51" s="2189">
        <f>J52</f>
        <v>7.5000000000000011E-2</v>
      </c>
      <c r="R51" s="2188"/>
    </row>
    <row r="52" spans="1:18" s="761" customFormat="1">
      <c r="A52" s="2077"/>
      <c r="B52" s="2072"/>
      <c r="C52" s="2078"/>
      <c r="D52" s="2074"/>
      <c r="E52" s="2079" t="s">
        <v>1200</v>
      </c>
      <c r="F52" s="2080"/>
      <c r="I52" s="2163" t="s">
        <v>1322</v>
      </c>
      <c r="J52" s="2164">
        <f>'数据-取费表'!J6+0.5%</f>
        <v>7.5000000000000011E-2</v>
      </c>
      <c r="K52" s="2163" t="s">
        <v>1323</v>
      </c>
      <c r="L52" s="2164"/>
      <c r="O52" s="2155" t="s">
        <v>1324</v>
      </c>
      <c r="P52" s="2148" t="s">
        <v>1325</v>
      </c>
      <c r="Q52" s="2188">
        <f ca="1">J53</f>
        <v>31.54</v>
      </c>
      <c r="R52" s="2188" t="s">
        <v>1326</v>
      </c>
    </row>
    <row r="53" spans="1:18" s="761" customFormat="1" ht="30.75" customHeight="1">
      <c r="A53" s="2325" t="s">
        <v>1327</v>
      </c>
      <c r="B53" s="2006" t="s">
        <v>1201</v>
      </c>
      <c r="C53" s="1002">
        <f ca="1">ROUND(IF(F53="押一",C49/12*F11,IF(F53="押二",C49/12*2*F11,IF(F53="押三",C49/12*3*F11,C54*F11))),0)</f>
        <v>0</v>
      </c>
      <c r="D53" s="1974" t="s">
        <v>1328</v>
      </c>
      <c r="E53" s="1975" t="s">
        <v>1203</v>
      </c>
      <c r="F53" s="1976"/>
      <c r="I53" s="2165" t="s">
        <v>1329</v>
      </c>
      <c r="J53" s="2166">
        <f ca="1">IF(M47="住宅",IF(D1="——",MAX(J51,L48),MAX(J51,L48-'数据-取费表'!B24)),IF(D1="——",MIN(J51,L48),MIN(J51,L48-'数据-取费表'!B24)))</f>
        <v>31.54</v>
      </c>
      <c r="K53" s="3669" t="s">
        <v>1330</v>
      </c>
      <c r="L53" s="3670"/>
      <c r="O53" s="2147" t="s">
        <v>1331</v>
      </c>
      <c r="P53" s="2148" t="s">
        <v>1332</v>
      </c>
      <c r="Q53" s="2188">
        <f ca="1">Q47+Q48</f>
        <v>1871215</v>
      </c>
      <c r="R53" s="2188" t="s">
        <v>1333</v>
      </c>
    </row>
    <row r="54" spans="1:18" s="761" customFormat="1">
      <c r="A54" s="2064"/>
      <c r="B54" s="2326" t="s">
        <v>1208</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f ca="1">ROUND(IF(J47="钢混",J57/J50,1-(1-2%)*(J50-J57)/J50),3)</f>
        <v>0.39100000000000001</v>
      </c>
      <c r="K55" s="2173" t="s">
        <v>1336</v>
      </c>
      <c r="L55" s="2174"/>
      <c r="O55" s="2140" t="s">
        <v>1292</v>
      </c>
      <c r="P55" s="2141" t="s">
        <v>1293</v>
      </c>
      <c r="Q55" s="2187" t="s">
        <v>1294</v>
      </c>
      <c r="R55" s="2187" t="s">
        <v>1295</v>
      </c>
    </row>
    <row r="56" spans="1:18" s="761" customFormat="1" ht="36" customHeight="1">
      <c r="A56" s="2086">
        <v>2</v>
      </c>
      <c r="B56" s="2087" t="s">
        <v>1210</v>
      </c>
      <c r="C56" s="414">
        <f ca="1">C13</f>
        <v>434436</v>
      </c>
      <c r="D56" s="2088"/>
      <c r="E56" s="2089"/>
      <c r="F56" s="2085"/>
      <c r="I56" s="2175" t="s">
        <v>1337</v>
      </c>
      <c r="J56" s="2176" t="s">
        <v>1338</v>
      </c>
      <c r="K56" s="2149" t="s">
        <v>1339</v>
      </c>
      <c r="L56" s="2152" t="str">
        <f ca="1">IF(L48&lt;J51,"——",L48-J51)</f>
        <v>——</v>
      </c>
      <c r="O56" s="2147" t="s">
        <v>1000</v>
      </c>
      <c r="P56" s="2148" t="s">
        <v>1298</v>
      </c>
      <c r="Q56" s="2188">
        <f ca="1">C40+J29</f>
        <v>1851914</v>
      </c>
      <c r="R56" s="2188" t="s">
        <v>1299</v>
      </c>
    </row>
    <row r="57" spans="1:18" s="761" customFormat="1" ht="24">
      <c r="A57" s="2090"/>
      <c r="B57" s="2091" t="s">
        <v>1277</v>
      </c>
      <c r="C57" s="424">
        <f ca="1">C29</f>
        <v>472213</v>
      </c>
      <c r="D57" s="2092"/>
      <c r="E57" s="2093"/>
      <c r="F57" s="2094"/>
      <c r="I57" s="2177" t="s">
        <v>1340</v>
      </c>
      <c r="J57" s="2178">
        <f ca="1">IF(OR(M47="住宅",J51&lt;L48,J56="是"),"——",J51-L48)</f>
        <v>23.46</v>
      </c>
      <c r="K57" s="2149" t="s">
        <v>1341</v>
      </c>
      <c r="L57" s="2152" t="str">
        <f ca="1">IF(L48&lt;J51,"——",IF(L55="比较法",L49,IF(L55="基准地价",L50,L51)))</f>
        <v>——</v>
      </c>
      <c r="O57" s="2147" t="s">
        <v>1003</v>
      </c>
      <c r="P57" s="2148" t="s">
        <v>1342</v>
      </c>
      <c r="Q57" s="2188">
        <f ca="1">L60</f>
        <v>0</v>
      </c>
      <c r="R57" s="2188" t="s">
        <v>1343</v>
      </c>
    </row>
    <row r="58" spans="1:18" s="761" customFormat="1" ht="24">
      <c r="A58" s="2095" t="s">
        <v>1220</v>
      </c>
      <c r="B58" s="2087" t="s">
        <v>1221</v>
      </c>
      <c r="C58" s="1002">
        <f ca="1">ROUND(C59+C64+C65+C66,0)</f>
        <v>2795</v>
      </c>
      <c r="D58" s="2096" t="s">
        <v>1222</v>
      </c>
      <c r="E58" s="2097"/>
      <c r="F58" s="2062"/>
      <c r="I58" s="2177" t="s">
        <v>1344</v>
      </c>
      <c r="J58" s="2179">
        <f ca="1">IF(J55&lt;0.4,0.4,J55)</f>
        <v>0.4</v>
      </c>
      <c r="K58" s="2160" t="s">
        <v>1345</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f ca="1">IF(OR(M47="住宅",J51&lt;L48,J56="是"),"——",ROUND(C29*J58,0))</f>
        <v>188885</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IF(项目基本情况!B11="自然人","——",ROUND(C48*F60/(1+'数据-取费表'!C42),0))</f>
        <v>0</v>
      </c>
      <c r="D60" s="2099" t="s">
        <v>1233</v>
      </c>
      <c r="E60" s="2091" t="s">
        <v>1218</v>
      </c>
      <c r="F60" s="2010">
        <f t="shared" ref="F60:F66" si="0">F32</f>
        <v>5.5000000000000007E-2</v>
      </c>
      <c r="I60" s="2180" t="s">
        <v>1349</v>
      </c>
      <c r="J60" s="2181">
        <f ca="1">IF(OR(M47="住宅",J51&lt;L48,J56="是"),"0",ROUND(J59/(1+J52)^J53,0))</f>
        <v>19301</v>
      </c>
      <c r="K60" s="2182" t="s">
        <v>1350</v>
      </c>
      <c r="L60" s="2181">
        <f ca="1">IF(OR(M47="住宅",L48&lt;J51),0,ROUND(L57*(L58/L59-1),0))</f>
        <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IF(项目基本情况!B11="自然人","——",IF(D61="按租金收入计税",ROUND(C49*F61/(1+'数据-取费表'!C42),0),IF(D61="按房产原值计税",ROUND(C57*F61*0.7,0),INDIRECT("'数据-取费表'!Aj"&amp;$G$1))))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IF(项目基本情况!B11="自然人","——",ROUND(F62*F63,0))</f>
        <v>0</v>
      </c>
      <c r="D62" s="2101" t="s">
        <v>1241</v>
      </c>
      <c r="E62" s="2091" t="s">
        <v>1242</v>
      </c>
      <c r="F62" s="2009">
        <f t="shared" si="0"/>
        <v>0</v>
      </c>
      <c r="I62" s="2183" t="s">
        <v>1354</v>
      </c>
      <c r="J62" s="2184" t="s">
        <v>1355</v>
      </c>
      <c r="K62" s="2184" t="s">
        <v>1356</v>
      </c>
      <c r="L62" s="2184" t="s">
        <v>1357</v>
      </c>
      <c r="M62" s="2185" t="s">
        <v>1358</v>
      </c>
      <c r="O62" s="2147" t="s">
        <v>1331</v>
      </c>
      <c r="P62" s="2148" t="s">
        <v>1332</v>
      </c>
      <c r="Q62" s="2188">
        <f ca="1">Q56+Q57</f>
        <v>1851914</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ROUND(C57*F64,0)</f>
        <v>2361</v>
      </c>
      <c r="D64" s="2099" t="s">
        <v>1282</v>
      </c>
      <c r="E64" s="2091" t="s">
        <v>1218</v>
      </c>
      <c r="F64" s="2031">
        <f t="shared" ca="1" si="0"/>
        <v>5.0000000000000001E-3</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ROUND(C56*F65,0)</f>
        <v>434</v>
      </c>
      <c r="D65" s="2099" t="s">
        <v>1253</v>
      </c>
      <c r="E65" s="2091" t="s">
        <v>1218</v>
      </c>
      <c r="F65" s="2032">
        <f t="shared" ca="1" si="0"/>
        <v>1E-3</v>
      </c>
      <c r="I65" s="2183" t="s">
        <v>1362</v>
      </c>
      <c r="J65" s="2184">
        <v>40</v>
      </c>
      <c r="K65" s="2184">
        <v>30</v>
      </c>
      <c r="L65" s="2184">
        <v>50</v>
      </c>
      <c r="M65" s="2186">
        <v>0.02</v>
      </c>
      <c r="O65" s="2147" t="s">
        <v>1000</v>
      </c>
      <c r="P65" s="2148" t="s">
        <v>1298</v>
      </c>
      <c r="Q65" s="2188">
        <f ca="1">C40+J29</f>
        <v>1851914</v>
      </c>
      <c r="R65" s="2188" t="s">
        <v>1299</v>
      </c>
    </row>
    <row r="66" spans="1:18" s="761" customFormat="1" ht="15.75">
      <c r="A66" s="1994" t="s">
        <v>947</v>
      </c>
      <c r="B66" s="2091" t="s">
        <v>1238</v>
      </c>
      <c r="C66" s="1003">
        <f ca="1">ROUND(C48*F66,0)</f>
        <v>0</v>
      </c>
      <c r="D66" s="2099" t="s">
        <v>1256</v>
      </c>
      <c r="E66" s="2091" t="s">
        <v>1218</v>
      </c>
      <c r="F66" s="1972">
        <f t="shared" ca="1" si="0"/>
        <v>0.01</v>
      </c>
      <c r="O66" s="2147" t="s">
        <v>1003</v>
      </c>
      <c r="P66" s="2148" t="s">
        <v>1342</v>
      </c>
      <c r="Q66" s="2188">
        <f ca="1">L60</f>
        <v>0</v>
      </c>
      <c r="R66" s="2188" t="s">
        <v>1343</v>
      </c>
    </row>
    <row r="67" spans="1:18" s="761" customFormat="1" ht="15.75">
      <c r="A67" s="2086" t="s">
        <v>1259</v>
      </c>
      <c r="B67" s="2190" t="s">
        <v>1260</v>
      </c>
      <c r="C67" s="1002">
        <f ca="1">C48-C58</f>
        <v>-2795</v>
      </c>
      <c r="D67" s="2098" t="s">
        <v>1261</v>
      </c>
      <c r="E67" s="2191"/>
      <c r="F67" s="2192"/>
      <c r="O67" s="2155" t="s">
        <v>1312</v>
      </c>
      <c r="P67" s="2148" t="s">
        <v>1346</v>
      </c>
      <c r="Q67" s="2212">
        <f ca="1">L51</f>
        <v>1166166</v>
      </c>
      <c r="R67" s="2188" t="s">
        <v>1363</v>
      </c>
    </row>
    <row r="68" spans="1:18" s="761" customFormat="1" ht="15.75">
      <c r="A68" s="2193" t="s">
        <v>1265</v>
      </c>
      <c r="B68" s="2194" t="s">
        <v>1283</v>
      </c>
      <c r="C68" s="2037">
        <f ca="1">ROUND(C67*(1-((1+F70)/(1+F68))^F69)/(F68-F70),0)</f>
        <v>-41429</v>
      </c>
      <c r="D68" s="2101" t="s">
        <v>1267</v>
      </c>
      <c r="E68" s="2091" t="s">
        <v>1268</v>
      </c>
      <c r="F68" s="1972">
        <f ca="1">F40</f>
        <v>5.5E-2</v>
      </c>
      <c r="O68" s="2155" t="s">
        <v>1316</v>
      </c>
      <c r="P68" s="2211" t="s">
        <v>1364</v>
      </c>
      <c r="Q68" s="2188">
        <f ca="1">ROUND(Q69-Q70*Q71,0)</f>
        <v>62584</v>
      </c>
      <c r="R68" s="2188" t="s">
        <v>1365</v>
      </c>
    </row>
    <row r="69" spans="1:18" s="761" customFormat="1">
      <c r="A69" s="2195"/>
      <c r="B69" s="2196"/>
      <c r="C69" s="1971"/>
      <c r="D69" s="2197" t="s">
        <v>1271</v>
      </c>
      <c r="E69" s="2091" t="s">
        <v>1272</v>
      </c>
      <c r="F69" s="2041">
        <f ca="1">F41</f>
        <v>31.54</v>
      </c>
      <c r="O69" s="2155" t="s">
        <v>1366</v>
      </c>
      <c r="P69" s="2211" t="s">
        <v>1367</v>
      </c>
      <c r="Q69" s="2188">
        <f ca="1">C39</f>
        <v>92995</v>
      </c>
      <c r="R69" s="2188" t="s">
        <v>1299</v>
      </c>
    </row>
    <row r="70" spans="1:18" s="761" customFormat="1">
      <c r="A70" s="2198"/>
      <c r="B70" s="2199"/>
      <c r="C70" s="1991"/>
      <c r="D70" s="2103"/>
      <c r="E70" s="2091" t="s">
        <v>1275</v>
      </c>
      <c r="F70" s="2080"/>
      <c r="O70" s="2155" t="s">
        <v>1368</v>
      </c>
      <c r="P70" s="2211" t="s">
        <v>1369</v>
      </c>
      <c r="Q70" s="2188">
        <f ca="1">C13</f>
        <v>434436</v>
      </c>
      <c r="R70" s="2188" t="s">
        <v>1299</v>
      </c>
    </row>
    <row r="71" spans="1:18" s="761" customFormat="1">
      <c r="A71" s="2200" t="s">
        <v>1278</v>
      </c>
      <c r="B71" s="2201" t="s">
        <v>1284</v>
      </c>
      <c r="C71" s="2045">
        <f ca="1">ROUND(C68/F71,0)</f>
        <v>-443</v>
      </c>
      <c r="D71" s="2202" t="s">
        <v>1285</v>
      </c>
      <c r="E71" s="2203" t="s">
        <v>1286</v>
      </c>
      <c r="F71" s="2048">
        <f ca="1">F43</f>
        <v>93.61</v>
      </c>
      <c r="O71" s="2155" t="s">
        <v>1370</v>
      </c>
      <c r="P71" s="2211" t="s">
        <v>1371</v>
      </c>
      <c r="Q71" s="2189">
        <f ca="1">C76</f>
        <v>7.0000000000000007E-2</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30411</v>
      </c>
      <c r="D75" s="761"/>
      <c r="E75" s="761"/>
      <c r="F75" s="761"/>
      <c r="K75" s="2134"/>
      <c r="L75" s="761"/>
      <c r="O75" s="2147" t="s">
        <v>1331</v>
      </c>
      <c r="P75" s="2148" t="s">
        <v>1332</v>
      </c>
      <c r="Q75" s="2188">
        <f ca="1">Q65+Q66</f>
        <v>1851914</v>
      </c>
      <c r="R75" s="2188" t="s">
        <v>1333</v>
      </c>
    </row>
    <row r="76" spans="1:18">
      <c r="B76" s="546" t="s">
        <v>1375</v>
      </c>
      <c r="C76" s="2207">
        <f ca="1">INDIRECT("'数据-取费表'!j"&amp;$G$1)</f>
        <v>7.0000000000000007E-2</v>
      </c>
      <c r="I76" s="761"/>
      <c r="J76" s="761"/>
      <c r="K76" s="2134"/>
      <c r="L76" s="761"/>
    </row>
    <row r="77" spans="1:18">
      <c r="B77" s="2208" t="s">
        <v>1376</v>
      </c>
      <c r="C77" s="2209"/>
      <c r="I77" s="761"/>
      <c r="J77" s="761"/>
      <c r="K77" s="2134"/>
      <c r="L77" s="761"/>
    </row>
    <row r="78" spans="1:18">
      <c r="B78" s="454" t="s">
        <v>1377</v>
      </c>
      <c r="C78" s="2210"/>
    </row>
    <row r="79" spans="1:18">
      <c r="B79" s="2205" t="s">
        <v>1378</v>
      </c>
      <c r="C79" s="457">
        <f ca="1">1-C80</f>
        <v>0.67300000000000004</v>
      </c>
    </row>
    <row r="80" spans="1:18">
      <c r="B80" s="2205" t="s">
        <v>1379</v>
      </c>
      <c r="C80" s="457">
        <f ca="1">ROUND(C75/C39,3)</f>
        <v>0.32700000000000001</v>
      </c>
    </row>
    <row r="81" spans="2:3">
      <c r="B81" s="454" t="s">
        <v>1380</v>
      </c>
      <c r="C81" s="424"/>
    </row>
    <row r="82" spans="2:3">
      <c r="B82" s="456" t="s">
        <v>1079</v>
      </c>
      <c r="C82" s="458">
        <f ca="1">1-C83</f>
        <v>0.76500000000000001</v>
      </c>
    </row>
    <row r="83" spans="2:3">
      <c r="B83" s="456" t="s">
        <v>1080</v>
      </c>
      <c r="C83" s="457">
        <f ca="1">ROUND(C13/C40,3)</f>
        <v>0.23499999999999999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08">
        <v>201</v>
      </c>
      <c r="C1" s="2309" t="s">
        <v>1381</v>
      </c>
      <c r="D1" s="376"/>
      <c r="E1" s="376"/>
      <c r="F1" s="376"/>
      <c r="G1" s="2310">
        <f>MATCH(B1,'数据-取费表'!A6:A16,0)+5</f>
        <v>6</v>
      </c>
      <c r="H1" s="1685" t="str">
        <f>IF(ISERROR(FIND("住宅",B1)),"非住宅","住宅")</f>
        <v>非住宅</v>
      </c>
    </row>
    <row r="2" spans="1:8" s="366" customFormat="1" ht="18" customHeight="1">
      <c r="A2" s="378" t="s">
        <v>985</v>
      </c>
      <c r="B2" s="2311">
        <f ca="1">ROUND(IF(D2="——",C52/10000,C52/10000-E2),4)</f>
        <v>179.47900000000001</v>
      </c>
      <c r="C2" s="377" t="s">
        <v>986</v>
      </c>
      <c r="D2" s="2312" t="s">
        <v>124</v>
      </c>
      <c r="E2" s="2313" t="e">
        <f ca="1">SUMIF(INDIRECT("'"&amp;G2&amp;"'"&amp;"!A:A"),"承租人权益价值",INDIRECT("'"&amp;G2&amp;"'"&amp;"!c:c"))</f>
        <v>#REF!</v>
      </c>
      <c r="F2" s="2314" t="s">
        <v>986</v>
      </c>
      <c r="G2" s="2315"/>
    </row>
    <row r="3" spans="1:8" s="366" customFormat="1" ht="18" customHeight="1">
      <c r="A3" s="381" t="s">
        <v>987</v>
      </c>
      <c r="B3" s="382">
        <f ca="1">ROUND(B2*10000/(IF(B1="",'数据-汇总表'!E3,INDIRECT("'数据-取费表'!k"&amp;$G$1))),0)</f>
        <v>19173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1010411.9</v>
      </c>
      <c r="D5" s="388" t="s">
        <v>992</v>
      </c>
      <c r="E5" s="389" t="s">
        <v>993</v>
      </c>
      <c r="F5" s="389" t="s">
        <v>890</v>
      </c>
      <c r="G5" s="390"/>
    </row>
    <row r="6" spans="1:8" s="368" customFormat="1" ht="13.5" customHeight="1">
      <c r="A6" s="391" t="s">
        <v>994</v>
      </c>
      <c r="B6" s="392" t="s">
        <v>995</v>
      </c>
      <c r="C6" s="393">
        <f>基准地价修正!T3*基准地价修正!U3</f>
        <v>963246.9</v>
      </c>
      <c r="D6" s="394"/>
      <c r="E6" s="395"/>
      <c r="F6" s="395"/>
      <c r="G6" s="396"/>
    </row>
    <row r="7" spans="1:8" s="368" customFormat="1" ht="13.5" customHeight="1">
      <c r="A7" s="391" t="s">
        <v>996</v>
      </c>
      <c r="B7" s="392" t="s">
        <v>997</v>
      </c>
      <c r="C7" s="397">
        <f>ROUND(C6*F7,0)</f>
        <v>29379</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17786</v>
      </c>
      <c r="D8" s="399"/>
      <c r="E8" s="397"/>
      <c r="F8" s="398"/>
      <c r="G8" s="2316" t="s">
        <v>1382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17786</v>
      </c>
      <c r="D10" s="404">
        <f ca="1">IF(B1="",'数据-汇总表'!E6,IF(INDIRECT("'数据-取费表'!c"&amp;$G$1)="住宅",INDIRECT("'数据-取费表'!s"&amp;$G$1),INDIRECT("'数据-取费表'!k"&amp;$G$1)+INDIRECT("'数据-取费表'!s"&amp;$G$1)))</f>
        <v>93.61</v>
      </c>
      <c r="E10" s="403">
        <f>'数据-取费表'!B28</f>
        <v>190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93.61</v>
      </c>
      <c r="E19" s="388">
        <f>'数据-取费表'!B31</f>
        <v>200</v>
      </c>
      <c r="F19" s="413"/>
      <c r="G19" s="2316" t="s">
        <v>1383</v>
      </c>
    </row>
    <row r="20" spans="1:7" s="368" customFormat="1" ht="13.5" customHeight="1">
      <c r="A20" s="386" t="s">
        <v>1023</v>
      </c>
      <c r="B20" s="387" t="s">
        <v>1024</v>
      </c>
      <c r="C20" s="414">
        <f ca="1">ROUND((C5+C19)*F20,0)</f>
        <v>20208</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17">
        <f ca="1">ROUND(SUM(C23:C25),0)</f>
        <v>71618</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2318">
        <f ca="1">ROUND(IF('数据-取费表'!B22&lt;=1,C5*F22*'数据-取费表'!B22,C5*(POWER((1+F22),'数据-取费表'!B22)-1)),0)</f>
        <v>70921</v>
      </c>
      <c r="D23" s="424"/>
      <c r="E23" s="424"/>
      <c r="F23" s="425"/>
      <c r="G23" s="426" t="s">
        <v>1033</v>
      </c>
    </row>
    <row r="24" spans="1:7" s="368" customFormat="1" ht="13.5" customHeight="1">
      <c r="A24" s="422" t="s">
        <v>996</v>
      </c>
      <c r="B24" s="392" t="s">
        <v>1034</v>
      </c>
      <c r="C24" s="231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18">
        <f ca="1">ROUND(IF('数据-取费表'!B22&lt;=1,C20*F22*'数据-取费表'!B22/2,C20*(POWER((1+F22),'数据-取费表'!B22/2)-1)),0)</f>
        <v>697</v>
      </c>
      <c r="D25" s="424"/>
      <c r="E25" s="427"/>
      <c r="F25" s="425"/>
      <c r="G25" s="428" t="s">
        <v>1037</v>
      </c>
    </row>
    <row r="26" spans="1:7" s="368" customFormat="1">
      <c r="A26" s="422" t="s">
        <v>1038</v>
      </c>
      <c r="B26" s="392" t="s">
        <v>1039</v>
      </c>
      <c r="C26" s="424">
        <f ca="1">ROUND(IF('数据-取费表'!B22&lt;=1,F21*F22*'数据-取费表'!B22/2,F21*(POWER((1+F22),'数据-取费表'!B22/2)-1)),4)</f>
        <v>6.9999999999999999E-4</v>
      </c>
      <c r="D26" s="424"/>
      <c r="E26" s="427"/>
      <c r="F26" s="425"/>
      <c r="G26" s="429"/>
    </row>
    <row r="27" spans="1:7" s="368" customFormat="1" ht="24.75">
      <c r="A27" s="386" t="s">
        <v>1040</v>
      </c>
      <c r="B27" s="430" t="s">
        <v>1041</v>
      </c>
      <c r="C27" s="431">
        <f ca="1">C28</f>
        <v>154593</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154593</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1360354</v>
      </c>
      <c r="D31" s="437"/>
      <c r="E31" s="388"/>
      <c r="F31" s="438"/>
      <c r="G31" s="419" t="s">
        <v>1049</v>
      </c>
    </row>
    <row r="32" spans="1:7" s="367" customFormat="1" ht="15.75">
      <c r="A32" s="439" t="s">
        <v>1384</v>
      </c>
      <c r="B32" s="440"/>
      <c r="C32" s="440"/>
      <c r="D32" s="440"/>
      <c r="E32" s="440"/>
      <c r="F32" s="440"/>
      <c r="G32" s="441"/>
    </row>
    <row r="33" spans="1:7" s="368" customFormat="1" ht="13.5" customHeight="1">
      <c r="A33" s="386" t="s">
        <v>990</v>
      </c>
      <c r="B33" s="387" t="s">
        <v>1385</v>
      </c>
      <c r="C33" s="442">
        <f ca="1">SUM(C34:C38)</f>
        <v>361101</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327635</v>
      </c>
      <c r="D34" s="394"/>
      <c r="E34" s="397"/>
      <c r="F34" s="443"/>
      <c r="G34" s="396"/>
    </row>
    <row r="35" spans="1:7" ht="13.5" customHeight="1">
      <c r="A35" s="422" t="s">
        <v>996</v>
      </c>
      <c r="B35" s="392" t="s">
        <v>1054</v>
      </c>
      <c r="C35" s="397">
        <f ca="1">ROUND(C34*F35,0)</f>
        <v>9829</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18722</v>
      </c>
      <c r="D37" s="394">
        <f ca="1">D19</f>
        <v>93.61</v>
      </c>
      <c r="E37" s="435">
        <f>'数据-取费表'!B35</f>
        <v>200</v>
      </c>
      <c r="F37" s="444"/>
      <c r="G37" s="446"/>
    </row>
    <row r="38" spans="1:7" ht="13.5" customHeight="1">
      <c r="A38" s="422" t="s">
        <v>1060</v>
      </c>
      <c r="B38" s="392" t="s">
        <v>926</v>
      </c>
      <c r="C38" s="397">
        <f ca="1">ROUND(C34*F38,0)</f>
        <v>4915</v>
      </c>
      <c r="D38" s="397"/>
      <c r="E38" s="397"/>
      <c r="F38" s="444">
        <f>'数据-取费表'!B36</f>
        <v>1.4999999999999999E-2</v>
      </c>
      <c r="G38" s="396" t="s">
        <v>1055</v>
      </c>
    </row>
    <row r="39" spans="1:7" s="368" customFormat="1" ht="13.5" customHeight="1">
      <c r="A39" s="386" t="s">
        <v>1021</v>
      </c>
      <c r="B39" s="387" t="s">
        <v>1024</v>
      </c>
      <c r="C39" s="414">
        <f ca="1">ROUND(C33*F20,0)</f>
        <v>7222</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12707</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12458</v>
      </c>
      <c r="D42" s="424"/>
      <c r="E42" s="424"/>
      <c r="F42" s="425"/>
      <c r="G42" s="3619" t="s">
        <v>1386</v>
      </c>
    </row>
    <row r="43" spans="1:7" ht="13.5" customHeight="1">
      <c r="A43" s="422" t="s">
        <v>996</v>
      </c>
      <c r="B43" s="392" t="s">
        <v>1034</v>
      </c>
      <c r="C43" s="424">
        <f ca="1">ROUND(IF('数据-取费表'!B22&lt;=1,C39*F22*'数据-取费表'!B20/2,C39*(POWER((1+F22),'数据-取费表'!B20/2)-1)),0)</f>
        <v>249</v>
      </c>
      <c r="D43" s="424"/>
      <c r="E43" s="424"/>
      <c r="F43" s="425"/>
      <c r="G43" s="3620"/>
    </row>
    <row r="44" spans="1:7" ht="13.5" customHeight="1">
      <c r="A44" s="422" t="s">
        <v>998</v>
      </c>
      <c r="B44" s="392" t="s">
        <v>1036</v>
      </c>
      <c r="C44" s="424">
        <f ca="1">ROUND(IF('数据-取费表'!B22&lt;=1,C40*F22*'数据-取费表'!B20/2,C40*(POWER((1+F22),'数据-取费表'!B20/2)-1)),4)</f>
        <v>6.9999999999999999E-4</v>
      </c>
      <c r="D44" s="424"/>
      <c r="E44" s="424"/>
      <c r="F44" s="425"/>
      <c r="G44" s="3621"/>
    </row>
    <row r="45" spans="1:7" s="368" customFormat="1" ht="13.5" customHeight="1">
      <c r="A45" s="386" t="s">
        <v>1030</v>
      </c>
      <c r="B45" s="430" t="s">
        <v>1041</v>
      </c>
      <c r="C45" s="431">
        <f ca="1">C46</f>
        <v>55248</v>
      </c>
      <c r="D45" s="417">
        <f ca="1">C47</f>
        <v>3.0000000000000001E-3</v>
      </c>
      <c r="E45" s="418" t="s">
        <v>1062</v>
      </c>
      <c r="F45" s="432">
        <f ca="1">F27</f>
        <v>0.15</v>
      </c>
      <c r="G45" s="433" t="s">
        <v>1065</v>
      </c>
    </row>
    <row r="46" spans="1:7" s="368" customFormat="1" ht="13.5" customHeight="1">
      <c r="A46" s="422" t="s">
        <v>994</v>
      </c>
      <c r="B46" s="434" t="s">
        <v>1066</v>
      </c>
      <c r="C46" s="435">
        <f ca="1">ROUND((C33+C39)*F27,0)</f>
        <v>55248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1387</v>
      </c>
      <c r="C49" s="414">
        <f ca="1">ROUND((C33+C39+C41+C45)/(1-C40-D41-D45-C48),0)</f>
        <v>472213</v>
      </c>
      <c r="D49" s="414"/>
      <c r="E49" s="414"/>
      <c r="F49" s="449"/>
      <c r="G49" s="419" t="s">
        <v>1070</v>
      </c>
    </row>
    <row r="50" spans="1:7" s="370" customFormat="1">
      <c r="A50" s="386" t="s">
        <v>1071</v>
      </c>
      <c r="B50" s="387" t="s">
        <v>1072</v>
      </c>
      <c r="C50" s="414"/>
      <c r="D50" s="414"/>
      <c r="E50" s="414"/>
      <c r="F50" s="449">
        <f>IF('数据-取费表'!B24=0,'数据-取费表'!N16,1)</f>
        <v>0.92</v>
      </c>
      <c r="G50" s="433"/>
    </row>
    <row r="51" spans="1:7" ht="16.5" customHeight="1">
      <c r="A51" s="386" t="s">
        <v>1074</v>
      </c>
      <c r="B51" s="387" t="s">
        <v>1388</v>
      </c>
      <c r="C51" s="414">
        <f ca="1">ROUND(C49*F50,0)</f>
        <v>434436</v>
      </c>
      <c r="D51" s="414"/>
      <c r="E51" s="414"/>
      <c r="F51" s="449"/>
      <c r="G51" s="419" t="s">
        <v>1076</v>
      </c>
    </row>
    <row r="52" spans="1:7" s="367" customFormat="1" ht="15.75">
      <c r="A52" s="450" t="s">
        <v>1077</v>
      </c>
      <c r="B52" s="451"/>
      <c r="C52" s="452">
        <f ca="1">C31+C51</f>
        <v>1794790</v>
      </c>
      <c r="D52" s="451"/>
      <c r="E52" s="451"/>
      <c r="F52" s="451"/>
      <c r="G52" s="453"/>
    </row>
    <row r="55" spans="1:7" ht="15">
      <c r="B55" s="454" t="s">
        <v>1078</v>
      </c>
      <c r="C55" s="455"/>
    </row>
    <row r="56" spans="1:7">
      <c r="B56" s="456" t="s">
        <v>1079</v>
      </c>
      <c r="C56" s="458">
        <f ca="1">1-C57</f>
        <v>0.75800000000000001</v>
      </c>
    </row>
    <row r="57" spans="1:7">
      <c r="B57" s="456" t="s">
        <v>1080</v>
      </c>
      <c r="C57" s="457">
        <f ca="1">ROUND(C51/C52,3)</f>
        <v>0.24199999999999999</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1389</v>
      </c>
      <c r="B1" s="2042"/>
      <c r="C1" s="2224"/>
      <c r="D1" s="2225"/>
      <c r="E1" s="2226"/>
      <c r="F1" s="2226"/>
      <c r="G1" s="2227"/>
      <c r="H1" s="2226"/>
      <c r="I1" s="2226"/>
      <c r="J1" s="2226"/>
      <c r="K1" s="2295">
        <f>MATCH(C1,'数据-取费表'!A6:A16,0)+5</f>
        <v>7</v>
      </c>
    </row>
    <row r="2" spans="1:33" ht="18" customHeight="1">
      <c r="A2" s="378" t="s">
        <v>985</v>
      </c>
      <c r="B2" s="382">
        <f ca="1">C32</f>
        <v>-2</v>
      </c>
      <c r="C2" s="2228" t="s">
        <v>1390</v>
      </c>
      <c r="D2" s="2228"/>
      <c r="E2" s="2226"/>
      <c r="F2" s="2226"/>
      <c r="G2" s="2226"/>
      <c r="H2" s="2226"/>
      <c r="I2" s="2226"/>
      <c r="J2" s="2226"/>
      <c r="K2" s="2226"/>
    </row>
    <row r="3" spans="1:33" ht="18" customHeight="1">
      <c r="A3" s="381" t="s">
        <v>987</v>
      </c>
      <c r="B3" s="382">
        <f ca="1">ROUND(B2*10000/IF(C1="",'数据-汇总表'!E3,INDIRECT("'数据-取费表'!K"&amp;$K$1)),0)</f>
        <v>-214</v>
      </c>
      <c r="C3" s="2228" t="s">
        <v>1391</v>
      </c>
      <c r="D3" s="2228"/>
      <c r="E3" s="2226"/>
      <c r="F3" s="2226"/>
      <c r="G3" s="2226"/>
      <c r="H3" s="2226"/>
      <c r="I3" s="2226"/>
      <c r="J3" s="2226"/>
      <c r="K3" s="2226"/>
    </row>
    <row r="4" spans="1:33" s="2213" customFormat="1" ht="16.5" customHeight="1">
      <c r="A4" s="2229" t="s">
        <v>1392</v>
      </c>
      <c r="B4" s="2230"/>
      <c r="C4" s="2231">
        <f>SUM(C8:K8)</f>
        <v>0</v>
      </c>
      <c r="D4" s="2230"/>
      <c r="E4" s="2230"/>
      <c r="F4" s="2230"/>
      <c r="G4" s="2230"/>
      <c r="H4" s="2230"/>
      <c r="I4" s="2230"/>
      <c r="J4" s="2230"/>
      <c r="K4" s="2296"/>
    </row>
    <row r="5" spans="1:33" s="2214" customFormat="1" ht="15">
      <c r="A5" s="2232" t="s">
        <v>1393</v>
      </c>
      <c r="B5" s="2233" t="s">
        <v>1394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895</v>
      </c>
      <c r="B6" s="2005" t="s">
        <v>1395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899</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944</v>
      </c>
      <c r="B8" s="2239" t="s">
        <v>1396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1397</v>
      </c>
      <c r="B9" s="2230"/>
      <c r="C9" s="2230"/>
      <c r="D9" s="2230"/>
      <c r="E9" s="2230"/>
      <c r="F9" s="2230"/>
      <c r="G9" s="2230"/>
      <c r="H9" s="2230"/>
      <c r="I9" s="2230"/>
      <c r="J9" s="2230"/>
      <c r="K9" s="2296"/>
    </row>
    <row r="10" spans="1:33" s="2216" customFormat="1" ht="13.5" customHeight="1">
      <c r="A10" s="2232" t="s">
        <v>1393</v>
      </c>
      <c r="B10" s="2242" t="s">
        <v>1394</v>
      </c>
      <c r="C10" s="2243" t="s">
        <v>1398</v>
      </c>
      <c r="D10" s="2244" t="s">
        <v>1399</v>
      </c>
      <c r="E10" s="2244" t="s">
        <v>1400</v>
      </c>
      <c r="F10" s="2244" t="s">
        <v>1401</v>
      </c>
      <c r="G10" s="2242"/>
      <c r="H10" s="2245"/>
      <c r="I10" s="2245"/>
      <c r="J10" s="2245"/>
      <c r="K10" s="2302"/>
    </row>
    <row r="11" spans="1:33" s="2217" customFormat="1" ht="13.5" customHeight="1">
      <c r="A11" s="2246" t="s">
        <v>1000</v>
      </c>
      <c r="B11" s="2247" t="s">
        <v>1402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1003</v>
      </c>
      <c r="B12" s="2247" t="s">
        <v>1216</v>
      </c>
      <c r="C12" s="1003">
        <f ca="1">ROUND(C11*F12,0)</f>
        <v>0</v>
      </c>
      <c r="D12" s="2249"/>
      <c r="E12" s="2008"/>
      <c r="F12" s="2250">
        <f>'数据-取费表'!B33</f>
        <v>0.03</v>
      </c>
      <c r="G12" s="2242" t="s">
        <v>1403</v>
      </c>
      <c r="H12" s="2245"/>
      <c r="I12" s="2245"/>
      <c r="J12" s="2245"/>
      <c r="K12" s="2302"/>
    </row>
    <row r="13" spans="1:33" s="2217" customFormat="1" ht="13.5" customHeight="1">
      <c r="A13" s="2246" t="s">
        <v>1331</v>
      </c>
      <c r="B13" s="2247" t="s">
        <v>1219</v>
      </c>
      <c r="C13" s="1003">
        <f ca="1">ROUND(IF(C1="",SUMIF('数据-取费表'!C:C,"住宅",'数据-取费表'!P:P)*F13,IF(INDIRECT("'数据-取费表'!c"&amp;$K$1)="住宅",INDIRECT("'数据-取费表'!P"&amp;$K$1)*F13,0)),0)</f>
        <v>0</v>
      </c>
      <c r="D13" s="2251"/>
      <c r="E13" s="2008"/>
      <c r="F13" s="2250">
        <f>'数据-取费表'!B34</f>
        <v>0</v>
      </c>
      <c r="G13" s="2242" t="s">
        <v>1404</v>
      </c>
      <c r="H13" s="2245"/>
      <c r="I13" s="2245"/>
      <c r="J13" s="2245"/>
      <c r="K13" s="2302"/>
    </row>
    <row r="14" spans="1:33" s="2218" customFormat="1" ht="13.5" customHeight="1">
      <c r="A14" s="2246" t="s">
        <v>1405</v>
      </c>
      <c r="B14" s="2247" t="s">
        <v>1406</v>
      </c>
      <c r="C14" s="1003">
        <f ca="1">ROUND(D14*E14*F11/10000,0)</f>
        <v>0</v>
      </c>
      <c r="D14" s="2251">
        <f ca="1">IF(C1="",'数据-汇总表'!E3,INDIRECT("'数据-取费表'!K"&amp;$K$1)+INDIRECT("'数据-取费表'!S"&amp;$K$1))</f>
        <v>93.61</v>
      </c>
      <c r="E14" s="1003">
        <f>'数据-取费表'!B35</f>
        <v>200</v>
      </c>
      <c r="F14" s="2252"/>
      <c r="G14" s="2242" t="s">
        <v>1407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1408</v>
      </c>
      <c r="B15" s="2247" t="s">
        <v>1231</v>
      </c>
      <c r="C15" s="2253">
        <f ca="1">ROUND(C11*F15,0)</f>
        <v>0</v>
      </c>
      <c r="D15" s="2254"/>
      <c r="E15" s="2253"/>
      <c r="F15" s="2250">
        <f>'数据-取费表'!B36</f>
        <v>1.4999999999999999E-2</v>
      </c>
      <c r="G15" s="2005" t="s">
        <v>1409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918</v>
      </c>
      <c r="B16" s="2247" t="s">
        <v>1410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922</v>
      </c>
      <c r="B17" s="2247" t="s">
        <v>1411</v>
      </c>
      <c r="C17" s="1003">
        <f ca="1">ROUND(D17*E17/10000,0)</f>
        <v>0</v>
      </c>
      <c r="D17" s="2251">
        <f ca="1">D14</f>
        <v>93.61</v>
      </c>
      <c r="E17" s="1003">
        <f>'数据-取费表'!B32</f>
        <v>0</v>
      </c>
      <c r="F17" s="2254"/>
      <c r="G17" s="2005" t="s">
        <v>1412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1413</v>
      </c>
      <c r="B18" s="2247" t="s">
        <v>1414</v>
      </c>
      <c r="C18" s="1003">
        <f ca="1">C19+C20-IF(C1="",'数据-取费表'!B29,IF(G18="已全部缴纳",C19+C20,H18))</f>
        <v>2</v>
      </c>
      <c r="D18" s="2251"/>
      <c r="E18" s="1003"/>
      <c r="F18" s="2252"/>
      <c r="G18" s="2256"/>
      <c r="H18" s="2257"/>
      <c r="I18" s="2303" t="s">
        <v>1415</v>
      </c>
      <c r="J18" s="2118"/>
      <c r="K18" s="2119"/>
    </row>
    <row r="19" spans="1:33" s="2217" customFormat="1" ht="13.5" customHeight="1">
      <c r="A19" s="2246" t="s">
        <v>1000</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1003</v>
      </c>
      <c r="B20" s="2247" t="s">
        <v>1416</v>
      </c>
      <c r="C20" s="1003">
        <f ca="1">ROUND(D20*E20/10000,0)</f>
        <v>2</v>
      </c>
      <c r="D20" s="2251">
        <f ca="1">IF(C1="",'数据-汇总表'!E6,IF(INDIRECT("'数据-取费表'!c"&amp;$K$1)="住宅",INDIRECT("'数据-取费表'!s"&amp;$K$1),INDIRECT("'数据-取费表'!k"&amp;$K$1)+INDIRECT("'数据-取费表'!s"&amp;$K$1)))</f>
        <v>93.61</v>
      </c>
      <c r="E20" s="1003">
        <f>'数据-取费表'!B28</f>
        <v>190</v>
      </c>
      <c r="F20" s="2252"/>
      <c r="G20" s="2117"/>
      <c r="H20" s="2259"/>
      <c r="I20" s="2259"/>
      <c r="J20" s="2259"/>
      <c r="K20" s="2304"/>
    </row>
    <row r="21" spans="1:33" s="2217" customFormat="1" ht="13.5" customHeight="1">
      <c r="A21" s="2235" t="s">
        <v>895</v>
      </c>
      <c r="B21" s="2260" t="s">
        <v>1417</v>
      </c>
      <c r="C21" s="2261">
        <f ca="1">C16+C17+C18</f>
        <v>2</v>
      </c>
      <c r="D21" s="2262"/>
      <c r="E21" s="2263"/>
      <c r="F21" s="2263"/>
      <c r="G21" s="2005" t="s">
        <v>1418</v>
      </c>
      <c r="H21" s="2118"/>
      <c r="I21" s="2118"/>
      <c r="J21" s="2118"/>
      <c r="K21" s="2119"/>
    </row>
    <row r="22" spans="1:33" s="2217" customFormat="1" ht="13.5" customHeight="1">
      <c r="A22" s="2235" t="s">
        <v>899</v>
      </c>
      <c r="B22" s="2260" t="s">
        <v>1419</v>
      </c>
      <c r="C22" s="2261">
        <f ca="1">ROUND(C21*F22,0)</f>
        <v>0</v>
      </c>
      <c r="D22" s="2263"/>
      <c r="E22" s="2263"/>
      <c r="F22" s="2264">
        <f>'数据-取费表'!B37</f>
        <v>0.02</v>
      </c>
      <c r="G22" s="2242" t="s">
        <v>1420</v>
      </c>
      <c r="H22" s="2245"/>
      <c r="I22" s="2245"/>
      <c r="J22" s="2245"/>
      <c r="K22" s="2302"/>
    </row>
    <row r="23" spans="1:33" s="2217" customFormat="1" ht="13.5" customHeight="1">
      <c r="A23" s="2235" t="s">
        <v>944</v>
      </c>
      <c r="B23" s="2260" t="s">
        <v>1421</v>
      </c>
      <c r="C23" s="2261">
        <f ca="1">ROUND(C4*F23*F11,0)</f>
        <v>0</v>
      </c>
      <c r="D23" s="2263"/>
      <c r="E23" s="2263"/>
      <c r="F23" s="2264">
        <f>'数据-取费表'!B38</f>
        <v>0.02</v>
      </c>
      <c r="G23" s="2242" t="s">
        <v>1422</v>
      </c>
      <c r="H23" s="2245"/>
      <c r="I23" s="2245"/>
      <c r="J23" s="2245"/>
      <c r="K23" s="2302"/>
    </row>
    <row r="24" spans="1:33" s="2217" customFormat="1" ht="13.5" customHeight="1">
      <c r="A24" s="2235" t="s">
        <v>947</v>
      </c>
      <c r="B24" s="2260" t="s">
        <v>1423</v>
      </c>
      <c r="C24" s="2265">
        <f>ROUND(F24/(1+'数据-取费表'!C42),4)</f>
        <v>2.9000000000000001E-2</v>
      </c>
      <c r="D24" s="2263" t="s">
        <v>1424</v>
      </c>
      <c r="E24" s="2263"/>
      <c r="F24" s="2264">
        <f>IF(项目基本情况!B8="出让",0,'数据-取费表'!B48+'数据-取费表'!B49)</f>
        <v>3.0499999999999999E-2</v>
      </c>
      <c r="G24" s="2242" t="s">
        <v>1425</v>
      </c>
      <c r="H24" s="2266"/>
      <c r="I24" s="2266"/>
      <c r="J24" s="2266"/>
      <c r="K24" s="2305"/>
    </row>
    <row r="25" spans="1:33" s="2217" customFormat="1" ht="13.5" customHeight="1">
      <c r="A25" s="2235" t="s">
        <v>951</v>
      </c>
      <c r="B25" s="2262" t="s">
        <v>1426</v>
      </c>
      <c r="C25" s="2267">
        <f ca="1">C27</f>
        <v>0</v>
      </c>
      <c r="D25" s="2265">
        <f ca="1">C26</f>
        <v>0</v>
      </c>
      <c r="E25" s="2268" t="s">
        <v>1424</v>
      </c>
      <c r="F25" s="2269">
        <f ca="1">'数据-取费表'!B40</f>
        <v>3.4500000000000003E-2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918</v>
      </c>
      <c r="B26" s="2270" t="s">
        <v>1427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922</v>
      </c>
      <c r="B27" s="2270" t="s">
        <v>1428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952</v>
      </c>
      <c r="B28" s="2277" t="s">
        <v>1429</v>
      </c>
      <c r="C28" s="2278">
        <f ca="1">C30</f>
        <v>0</v>
      </c>
      <c r="D28" s="2265">
        <f ca="1">C29</f>
        <v>0</v>
      </c>
      <c r="E28" s="2268" t="s">
        <v>1424</v>
      </c>
      <c r="F28" s="1303">
        <f ca="1">IF(C1="",'数据-取费表'!Q16,INDIRECT("'数据-取费表'!q"&amp;$K$1))</f>
        <v>0.15</v>
      </c>
      <c r="G28" s="2279"/>
      <c r="H28" s="2266"/>
      <c r="I28" s="2266"/>
      <c r="J28" s="2266"/>
      <c r="K28" s="2305"/>
    </row>
    <row r="29" spans="1:33" s="2221" customFormat="1" ht="13.5" customHeight="1">
      <c r="A29" s="2246" t="s">
        <v>918</v>
      </c>
      <c r="B29" s="2280" t="s">
        <v>1430</v>
      </c>
      <c r="C29" s="2272">
        <f ca="1">ROUND((1+C24)*F28*'数据-取费表'!B24/'数据-取费表'!B20,4)</f>
        <v>0</v>
      </c>
      <c r="D29" s="2272"/>
      <c r="E29" s="2273"/>
      <c r="F29" s="2281"/>
      <c r="G29" s="2005" t="s">
        <v>1431</v>
      </c>
      <c r="H29" s="2118"/>
      <c r="I29" s="2118"/>
      <c r="J29" s="2118"/>
      <c r="K29" s="2119"/>
    </row>
    <row r="30" spans="1:33" s="2221" customFormat="1" ht="13.5" customHeight="1">
      <c r="A30" s="2246" t="s">
        <v>922</v>
      </c>
      <c r="B30" s="2280" t="s">
        <v>1432</v>
      </c>
      <c r="C30" s="2282">
        <f ca="1">ROUND((C21+C22+C23)*F28,0)</f>
        <v>0</v>
      </c>
      <c r="D30" s="2272"/>
      <c r="E30" s="2273"/>
      <c r="F30" s="2281"/>
      <c r="G30" s="2005"/>
      <c r="H30" s="2118"/>
      <c r="I30" s="2118"/>
      <c r="J30" s="2118"/>
      <c r="K30" s="2119"/>
    </row>
    <row r="31" spans="1:33" s="2217" customFormat="1" ht="13.5" customHeight="1">
      <c r="A31" s="2283" t="s">
        <v>1276</v>
      </c>
      <c r="B31" s="2284" t="s">
        <v>1433</v>
      </c>
      <c r="C31" s="2285">
        <f>ROUND(C4*F31/(1+'数据-取费表'!C42),0)</f>
        <v>0</v>
      </c>
      <c r="D31" s="2286"/>
      <c r="E31" s="2287"/>
      <c r="F31" s="2288">
        <f>'数据-取费表'!B41</f>
        <v>5.5000000000000007E-2</v>
      </c>
      <c r="G31" s="2289" t="s">
        <v>1434</v>
      </c>
      <c r="H31" s="2290"/>
      <c r="I31" s="2290"/>
      <c r="J31" s="2290"/>
      <c r="K31" s="2306"/>
    </row>
    <row r="32" spans="1:33" s="2216" customFormat="1" ht="13.5" customHeight="1">
      <c r="A32" s="2291" t="s">
        <v>1435</v>
      </c>
      <c r="B32" s="2292"/>
      <c r="C32" s="2293">
        <f ca="1">ROUND((C4-C21-C22-C23-C25-C28-C31)/(1+C24+D25+D28),0)</f>
        <v>-2</v>
      </c>
      <c r="D32" s="2292"/>
      <c r="E32" s="2292"/>
      <c r="F32" s="2292"/>
      <c r="G32" s="2294" t="s">
        <v>1436</v>
      </c>
      <c r="H32" s="2292"/>
      <c r="I32" s="2292"/>
      <c r="J32" s="2292"/>
      <c r="K32" s="230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c r="D1" s="1937" t="s">
        <v>124</v>
      </c>
      <c r="E1" s="1938" t="s">
        <v>1180</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1942" t="e">
        <f ca="1">C40+J29+L46</f>
        <v>#DIV/0!</v>
      </c>
      <c r="C2" s="1943" t="s">
        <v>1182</v>
      </c>
      <c r="D2" s="1943"/>
      <c r="E2" s="1944"/>
      <c r="F2" s="1945"/>
      <c r="G2" s="1946"/>
      <c r="H2" s="1947"/>
      <c r="I2" s="1947"/>
      <c r="J2" s="1947"/>
      <c r="K2" s="2107"/>
      <c r="L2" s="1947"/>
      <c r="M2" s="1947"/>
    </row>
    <row r="3" spans="1:37" ht="18" customHeight="1">
      <c r="A3" s="1948" t="s">
        <v>1184</v>
      </c>
      <c r="B3" s="1949">
        <f ca="1">IF(ISERROR(B2*10000/F43),0,ROUND(B2*10000/F43,0))</f>
        <v>0</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0</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ROUND(F6*F8*F7*(1-F9)/10000,0)</f>
        <v>0</v>
      </c>
      <c r="D6" s="1963" t="s">
        <v>1437</v>
      </c>
      <c r="E6" s="1964" t="s">
        <v>1196</v>
      </c>
      <c r="F6" s="1965">
        <f ca="1">INDIRECT("'数据-取费表'!u"&amp;$G$1)</f>
        <v>0</v>
      </c>
      <c r="G6" s="761"/>
      <c r="H6" s="1961" t="s">
        <v>895</v>
      </c>
      <c r="I6" s="3671" t="s">
        <v>1194</v>
      </c>
      <c r="J6" s="2037">
        <f ca="1">ROUND(M6*M8*M7*(1-M9)/10000,0)</f>
        <v>0</v>
      </c>
      <c r="K6" s="1963" t="s">
        <v>1438</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0</v>
      </c>
      <c r="G7" s="761"/>
      <c r="H7" s="1970"/>
      <c r="I7" s="3672"/>
      <c r="J7" s="1971"/>
      <c r="K7" s="1968"/>
      <c r="L7" s="1964" t="s">
        <v>1198</v>
      </c>
      <c r="M7" s="1965">
        <f ca="1">F7</f>
        <v>0</v>
      </c>
    </row>
    <row r="8" spans="1:37" ht="18" customHeight="1">
      <c r="A8" s="1970"/>
      <c r="B8" s="3672"/>
      <c r="C8" s="1971"/>
      <c r="D8" s="1968"/>
      <c r="E8" s="1964" t="s">
        <v>1199</v>
      </c>
      <c r="F8" s="1965">
        <f ca="1">INDIRECT("'数据-取费表'!ai"&amp;$G$1)</f>
        <v>0</v>
      </c>
      <c r="G8" s="761"/>
      <c r="H8" s="1970"/>
      <c r="I8" s="3672"/>
      <c r="J8" s="1971"/>
      <c r="K8" s="1968"/>
      <c r="L8" s="1964" t="s">
        <v>1199</v>
      </c>
      <c r="M8" s="1965">
        <f ca="1">INDIRECT("'数据-取费表'!ai"&amp;$G$1)</f>
        <v>0</v>
      </c>
    </row>
    <row r="9" spans="1:37" ht="18" customHeight="1">
      <c r="A9" s="1970"/>
      <c r="B9" s="3673"/>
      <c r="C9" s="1971"/>
      <c r="D9" s="1968"/>
      <c r="E9" s="1964" t="s">
        <v>1200</v>
      </c>
      <c r="F9" s="1972">
        <f ca="1">INDIRECT("'数据-取费表'!w"&amp;$G$1)</f>
        <v>0</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0</v>
      </c>
      <c r="D10" s="1974" t="s">
        <v>1202</v>
      </c>
      <c r="E10" s="1975" t="s">
        <v>1203</v>
      </c>
      <c r="F10" s="1976"/>
      <c r="G10" s="761"/>
      <c r="H10" s="1961" t="s">
        <v>899</v>
      </c>
      <c r="I10" s="1973" t="s">
        <v>1201</v>
      </c>
      <c r="J10" s="2037">
        <f ca="1">ROUND(IF(M10="押一",J6/12*M11,IF(M10="押二",J6/12*2*M11,IF(M10="押三",J6/12*3*M11,J11*M11))),0)</f>
        <v>0</v>
      </c>
      <c r="K10" s="1974" t="s">
        <v>1202</v>
      </c>
      <c r="L10" s="1975" t="s">
        <v>1203</v>
      </c>
      <c r="M10" s="1976"/>
    </row>
    <row r="11" spans="1:37" ht="18" customHeight="1">
      <c r="A11" s="1977"/>
      <c r="B11" s="1978" t="s">
        <v>1439</v>
      </c>
      <c r="C11" s="1979"/>
      <c r="D11" s="1980"/>
      <c r="E11" s="1975" t="s">
        <v>1207</v>
      </c>
      <c r="F11" s="1981">
        <f ca="1">'数据-取费表'!B39</f>
        <v>1.4999999999999999E-2</v>
      </c>
      <c r="G11" s="761"/>
      <c r="H11" s="1982"/>
      <c r="I11" s="1978" t="s">
        <v>1439</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0</v>
      </c>
      <c r="D13" s="1992" t="s">
        <v>1211</v>
      </c>
      <c r="E13" s="1992" t="s">
        <v>1212</v>
      </c>
      <c r="F13" s="1993">
        <f ca="1">INDIRECT("'数据-取费表'!y"&amp;$G$1)</f>
        <v>0</v>
      </c>
      <c r="G13" s="761"/>
      <c r="H13" s="1989">
        <v>2</v>
      </c>
      <c r="I13" s="1990" t="s">
        <v>1210</v>
      </c>
      <c r="J13" s="2114">
        <f ca="1">ROUND(J14*J15,0)</f>
        <v>0</v>
      </c>
      <c r="K13" s="2015" t="s">
        <v>1211</v>
      </c>
      <c r="L13" s="2115"/>
      <c r="M13" s="2116"/>
    </row>
    <row r="14" spans="1:37" ht="18" customHeight="1">
      <c r="A14" s="1994" t="s">
        <v>918</v>
      </c>
      <c r="B14" s="1964" t="s">
        <v>1213</v>
      </c>
      <c r="C14" s="1995">
        <f ca="1">INDIRECT("'数据-取费表'!m"&amp;$G$1)+INDIRECT("'数据-取费表'!t"&amp;$G$1)</f>
        <v>0</v>
      </c>
      <c r="D14" s="1996" t="s">
        <v>1214</v>
      </c>
      <c r="E14" s="1997"/>
      <c r="F14" s="1998"/>
      <c r="G14" s="761"/>
      <c r="H14" s="1994" t="s">
        <v>895</v>
      </c>
      <c r="I14" s="1964" t="s">
        <v>1215</v>
      </c>
      <c r="J14" s="1003">
        <f ca="1">C29</f>
        <v>0</v>
      </c>
      <c r="K14" s="2117"/>
      <c r="L14" s="2118"/>
      <c r="M14" s="2119"/>
    </row>
    <row r="15" spans="1:37" s="1933" customFormat="1" ht="18" customHeight="1">
      <c r="A15" s="1994" t="s">
        <v>922</v>
      </c>
      <c r="B15" s="1964" t="s">
        <v>1216</v>
      </c>
      <c r="C15" s="1003">
        <f ca="1">ROUND(C14*F15,0)</f>
        <v>0</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ROUND(INDIRECT("'数据-取费表'!m"&amp;$G$1)*F16,0)</f>
        <v>0</v>
      </c>
      <c r="D16" s="1964" t="s">
        <v>1217</v>
      </c>
      <c r="E16" s="1964" t="s">
        <v>1218</v>
      </c>
      <c r="F16" s="2003">
        <f ca="1">IF(INDIRECT("'数据-取费表'!c"&amp;$G$1)="住宅",'数据-取费表'!B34,0)</f>
        <v>0</v>
      </c>
      <c r="G16" s="761"/>
      <c r="H16" s="1989" t="s">
        <v>1220</v>
      </c>
      <c r="I16" s="1990" t="s">
        <v>1221</v>
      </c>
      <c r="J16" s="1991">
        <f ca="1">ROUND(J17+J22+J23+J24,0)</f>
        <v>0</v>
      </c>
      <c r="K16" s="2015" t="s">
        <v>1222</v>
      </c>
      <c r="L16" s="2016"/>
      <c r="M16" s="1960"/>
    </row>
    <row r="17" spans="1:37" s="1933" customFormat="1" ht="18" customHeight="1">
      <c r="A17" s="1994" t="s">
        <v>1223</v>
      </c>
      <c r="B17" s="1964" t="s">
        <v>1224</v>
      </c>
      <c r="C17" s="1003">
        <f ca="1">ROUND(F17*(F43+INDIRECT("'数据-取费表'!S"&amp;$G$1))/10000,0)</f>
        <v>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ROUND(IF(AND(项目基本情况!B11="自然人",项目基本情况!B10="北京市"),J6*M17/(1+'数据-取费表'!C42),J18+J19+J20),2)</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0</v>
      </c>
      <c r="D18" s="1964" t="s">
        <v>1217</v>
      </c>
      <c r="E18" s="1964" t="s">
        <v>1218</v>
      </c>
      <c r="F18" s="2003">
        <f>'数据-取费表'!B36</f>
        <v>1.4999999999999999E-2</v>
      </c>
      <c r="G18" s="2001"/>
      <c r="H18" s="1994" t="s">
        <v>918</v>
      </c>
      <c r="I18" s="1964" t="s">
        <v>1232</v>
      </c>
      <c r="J18" s="1003">
        <f ca="1">ROUND(J6*M18/(1+'数据-取费表'!C42),2)</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0</v>
      </c>
      <c r="D19" s="2005" t="s">
        <v>1235</v>
      </c>
      <c r="E19" s="1005"/>
      <c r="F19" s="2004"/>
      <c r="G19" s="761"/>
      <c r="H19" s="1994" t="s">
        <v>922</v>
      </c>
      <c r="I19" s="1964" t="s">
        <v>1236</v>
      </c>
      <c r="J19" s="1003">
        <f ca="1">IF(K19="按租金收入计税",ROUND(J6*M19/(1+'数据-取费表'!C42),2),ROUND(C29*M19*0.7,2))</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0</v>
      </c>
      <c r="D20" s="2006" t="s">
        <v>1239</v>
      </c>
      <c r="E20" s="1964" t="s">
        <v>1218</v>
      </c>
      <c r="F20" s="2003">
        <f>'数据-取费表'!B37</f>
        <v>0.02</v>
      </c>
      <c r="G20" s="2001"/>
      <c r="H20" s="1994" t="s">
        <v>925</v>
      </c>
      <c r="I20" s="1963" t="s">
        <v>1240</v>
      </c>
      <c r="J20" s="2024">
        <f ca="1">ROUND(M20*M21/10000,2)</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ROUND(J14*M22,2)</f>
        <v>0</v>
      </c>
      <c r="K22" s="2019" t="s">
        <v>1249</v>
      </c>
      <c r="L22" s="1964" t="s">
        <v>1218</v>
      </c>
      <c r="M22" s="2031">
        <f ca="1">INDIRECT("'数据-取费表'!Ak"&amp;$G$1)</f>
        <v>0</v>
      </c>
    </row>
    <row r="23" spans="1:37" s="1933" customFormat="1" ht="18" customHeight="1">
      <c r="A23" s="1994" t="s">
        <v>918</v>
      </c>
      <c r="B23" s="1964" t="s">
        <v>1250</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ROUND(J13*M23,2)</f>
        <v>0</v>
      </c>
      <c r="K23" s="2019" t="s">
        <v>1253</v>
      </c>
      <c r="L23" s="1964" t="s">
        <v>1218</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ROUND(J5*M24,2)</f>
        <v>0</v>
      </c>
      <c r="K24" s="2012" t="s">
        <v>1256</v>
      </c>
      <c r="L24" s="1987" t="s">
        <v>1218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951</v>
      </c>
      <c r="B25" s="1964" t="s">
        <v>1257</v>
      </c>
      <c r="C25" s="1003"/>
      <c r="D25" s="2005" t="s">
        <v>1258</v>
      </c>
      <c r="E25" s="1005"/>
      <c r="F25" s="2004"/>
      <c r="G25" s="761"/>
      <c r="H25" s="1989" t="s">
        <v>1259</v>
      </c>
      <c r="I25" s="2033" t="s">
        <v>1260</v>
      </c>
      <c r="J25" s="1991">
        <f ca="1">J5-J16</f>
        <v>0</v>
      </c>
      <c r="K25" s="2034" t="s">
        <v>1261</v>
      </c>
      <c r="L25" s="2035"/>
      <c r="M25" s="2036"/>
    </row>
    <row r="26" spans="1:37">
      <c r="A26" s="1994" t="s">
        <v>918</v>
      </c>
      <c r="B26" s="1964" t="s">
        <v>1262</v>
      </c>
      <c r="C26" s="1003">
        <f ca="1">ROUND((C19+C20)*F26,0)</f>
        <v>0</v>
      </c>
      <c r="D26" s="2006" t="s">
        <v>1263</v>
      </c>
      <c r="E26" s="1975" t="s">
        <v>1264</v>
      </c>
      <c r="F26" s="1972">
        <f ca="1">INDIRECT("'数据-取费表'!q"&amp;$G$1)</f>
        <v>0</v>
      </c>
      <c r="G26" s="761"/>
      <c r="H26" s="1955" t="s">
        <v>1265</v>
      </c>
      <c r="I26" s="1956" t="s">
        <v>1266</v>
      </c>
      <c r="J26" s="2037">
        <f ca="1">IF(J5&lt;&gt;0,ROUND(J25*(1-((1+M28)/(1+M26))^M27)/(M26-M28),0),0)</f>
        <v>0</v>
      </c>
      <c r="K26" s="2025" t="s">
        <v>1267</v>
      </c>
      <c r="L26" s="1964" t="s">
        <v>1268</v>
      </c>
      <c r="M26" s="1972">
        <f ca="1">INDIRECT("'数据-取费表'!I"&amp;$G$1)</f>
        <v>0</v>
      </c>
    </row>
    <row r="27" spans="1:37" ht="18" customHeight="1">
      <c r="A27" s="1994" t="s">
        <v>922</v>
      </c>
      <c r="B27" s="1964" t="s">
        <v>1269</v>
      </c>
      <c r="C27" s="1003">
        <f ca="1">ROUND(F21*F26,4)</f>
        <v>0</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0</v>
      </c>
      <c r="D29" s="2012"/>
      <c r="E29" s="1987"/>
      <c r="F29" s="2013"/>
      <c r="G29" s="2001"/>
      <c r="H29" s="2014" t="s">
        <v>1278</v>
      </c>
      <c r="I29" s="2044" t="s">
        <v>1279</v>
      </c>
      <c r="J29" s="2045">
        <f ca="1">ROUND(J26/(1+F40)^F41,0)</f>
        <v>0</v>
      </c>
      <c r="K29" s="2046" t="s">
        <v>1280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ROUND(IF(AND(项目基本情况!B11="自然人",项目基本情况!B10="北京市"),C6*F31/(1+'数据-取费表'!C42),C32+C33+C34),2)</f>
        <v>0</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IF(项目基本情况!B11="自然人","——",ROUND(C6*F32/(1+'数据-取费表'!C42),2))</f>
        <v>0</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IF(项目基本情况!B11="自然人","——",IF(D33="按租金收入计税",ROUND(C6*F33/(1+'数据-取费表'!C42),2),IF(D33="按房产原值计税",ROUND(C29*F33*0.7,2),INDIRECT("'数据-取费表'!Aj"&amp;$G$1))))</f>
        <v>0</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IF(项目基本情况!B11="自然人","——",ROUND(F34*F35/10000,2))</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ROUND(C29*F36,2)</f>
        <v>0</v>
      </c>
      <c r="D36" s="2019" t="s">
        <v>1282</v>
      </c>
      <c r="E36" s="1964" t="s">
        <v>1218</v>
      </c>
      <c r="F36" s="2031">
        <f ca="1">INDIRECT("'数据-取费表'!Ak"&amp;$G$1)</f>
        <v>0</v>
      </c>
      <c r="G36" s="761"/>
      <c r="H36" s="2023"/>
      <c r="I36" s="2124"/>
      <c r="J36" s="2125"/>
      <c r="K36" s="2132"/>
      <c r="L36" s="2023"/>
      <c r="M36" s="2023"/>
    </row>
    <row r="37" spans="1:18" ht="18" customHeight="1">
      <c r="A37" s="1994" t="s">
        <v>944</v>
      </c>
      <c r="B37" s="1964" t="s">
        <v>1252</v>
      </c>
      <c r="C37" s="1003">
        <f ca="1">ROUND(C13*F37,2)</f>
        <v>0</v>
      </c>
      <c r="D37" s="2019" t="s">
        <v>1253</v>
      </c>
      <c r="E37" s="1964" t="s">
        <v>1218</v>
      </c>
      <c r="F37" s="2032">
        <f ca="1">INDIRECT("'数据-取费表'!Al"&amp;$G$1)</f>
        <v>0</v>
      </c>
      <c r="G37" s="761"/>
      <c r="H37" s="2023"/>
      <c r="I37" s="2124"/>
      <c r="J37" s="2125"/>
      <c r="K37" s="2132"/>
      <c r="L37" s="2023"/>
      <c r="M37" s="2023"/>
    </row>
    <row r="38" spans="1:18" ht="18" customHeight="1">
      <c r="A38" s="2002" t="s">
        <v>947</v>
      </c>
      <c r="B38" s="1987" t="s">
        <v>1238</v>
      </c>
      <c r="C38" s="2011">
        <f ca="1">ROUND(C5*F38,2)</f>
        <v>0</v>
      </c>
      <c r="D38" s="2012" t="s">
        <v>1256</v>
      </c>
      <c r="E38" s="1987" t="s">
        <v>1218</v>
      </c>
      <c r="F38" s="1988">
        <f ca="1">INDIRECT("'数据-取费表'!Am"&amp;$G$1)</f>
        <v>0</v>
      </c>
      <c r="G38" s="761"/>
      <c r="H38" s="2023"/>
      <c r="I38" s="2124"/>
      <c r="J38" s="2125"/>
      <c r="K38" s="2133"/>
      <c r="L38" s="2023"/>
      <c r="M38" s="2023"/>
    </row>
    <row r="39" spans="1:18" ht="24.6" customHeight="1">
      <c r="A39" s="1989" t="s">
        <v>1259</v>
      </c>
      <c r="B39" s="2033" t="s">
        <v>1260</v>
      </c>
      <c r="C39" s="1991">
        <f ca="1">C5-C30</f>
        <v>0</v>
      </c>
      <c r="D39" s="2034" t="s">
        <v>1261</v>
      </c>
      <c r="E39" s="2035"/>
      <c r="F39" s="2036"/>
      <c r="G39" s="761"/>
      <c r="H39" s="2023"/>
      <c r="I39" s="2124"/>
      <c r="J39" s="2125"/>
      <c r="K39" s="2133"/>
      <c r="L39" s="2023"/>
      <c r="M39" s="2023"/>
    </row>
    <row r="40" spans="1:18" ht="18" customHeight="1">
      <c r="A40" s="1955" t="s">
        <v>1265</v>
      </c>
      <c r="B40" s="1956" t="s">
        <v>1283</v>
      </c>
      <c r="C40" s="2037" t="e">
        <f ca="1">ROUND(C39*(1-((1+F42)/(1+F40))^F41)/(F40-F42),0)</f>
        <v>#DIV/0!</v>
      </c>
      <c r="D40" s="2025" t="s">
        <v>1267</v>
      </c>
      <c r="E40" s="1964" t="s">
        <v>1268</v>
      </c>
      <c r="F40" s="1972">
        <f ca="1">INDIRECT("'数据-取费表'!I"&amp;$G$1)</f>
        <v>0</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1275</v>
      </c>
      <c r="F42" s="1972">
        <f ca="1">INDIRECT("'数据-取费表'!v"&amp;$G$1)</f>
        <v>0</v>
      </c>
      <c r="G42" s="761"/>
      <c r="H42" s="2042"/>
      <c r="I42" s="2124"/>
      <c r="J42" s="2125"/>
      <c r="K42" s="2132"/>
      <c r="L42" s="2042"/>
      <c r="M42" s="2042"/>
    </row>
    <row r="43" spans="1:18" ht="18" customHeight="1">
      <c r="A43" s="2014" t="s">
        <v>1278</v>
      </c>
      <c r="B43" s="2044" t="s">
        <v>1284</v>
      </c>
      <c r="C43" s="2045" t="e">
        <f ca="1">ROUND(C40*10000/F43,0)</f>
        <v>#DIV/0!</v>
      </c>
      <c r="D43" s="2046" t="s">
        <v>1285</v>
      </c>
      <c r="E43" s="2047" t="s">
        <v>1286</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1289</v>
      </c>
      <c r="P45" s="2038"/>
      <c r="Q45" s="2038"/>
      <c r="R45" s="2038"/>
    </row>
    <row r="46" spans="1:18" s="761" customFormat="1">
      <c r="A46" s="2051" t="s">
        <v>1290</v>
      </c>
      <c r="C46" s="2052" t="e">
        <f ca="1">C68-C40</f>
        <v>#DIV/0!</v>
      </c>
      <c r="D46" s="2053" t="str">
        <f>C2</f>
        <v>万元</v>
      </c>
      <c r="E46" s="2049"/>
      <c r="F46" s="2049"/>
      <c r="I46" s="2136" t="s">
        <v>1291</v>
      </c>
      <c r="J46" s="2137"/>
      <c r="K46" s="2138"/>
      <c r="L46" s="2139" t="e">
        <f ca="1">IF(M47="住宅",0,IF(L48&gt;J51,L60,J60))</f>
        <v>#DIV/0!</v>
      </c>
      <c r="O46" s="2140" t="s">
        <v>1292</v>
      </c>
      <c r="P46" s="2141" t="s">
        <v>1293</v>
      </c>
      <c r="Q46" s="2187" t="s">
        <v>1294</v>
      </c>
      <c r="R46" s="2187" t="s">
        <v>1295</v>
      </c>
    </row>
    <row r="47" spans="1:18" s="761" customFormat="1">
      <c r="A47" s="2054" t="s">
        <v>1187</v>
      </c>
      <c r="B47" s="2055" t="s">
        <v>1188</v>
      </c>
      <c r="C47" s="2056" t="s">
        <v>1189</v>
      </c>
      <c r="D47" s="2055" t="s">
        <v>1190</v>
      </c>
      <c r="E47" s="2057" t="s">
        <v>1191</v>
      </c>
      <c r="F47" s="996"/>
      <c r="G47" s="2058"/>
      <c r="I47" s="2142" t="s">
        <v>1296</v>
      </c>
      <c r="J47" s="2143"/>
      <c r="K47" s="2144" t="s">
        <v>1297</v>
      </c>
      <c r="L47" s="2145">
        <f ca="1">INDIRECT("'数据-取费表'!d"&amp;$G$1)</f>
        <v>0</v>
      </c>
      <c r="M47" s="2146" t="str">
        <f>IF(ISNUMBER(FIND("住宅",C1)),"住宅","非住宅")</f>
        <v>非住宅</v>
      </c>
      <c r="O47" s="2147" t="s">
        <v>1000</v>
      </c>
      <c r="P47" s="2148" t="s">
        <v>1298</v>
      </c>
      <c r="Q47" s="2188" t="e">
        <f ca="1">C40+J29</f>
        <v>#DIV/0!</v>
      </c>
      <c r="R47" s="2188" t="s">
        <v>1299</v>
      </c>
    </row>
    <row r="48" spans="1:18" s="761" customFormat="1" ht="27.75">
      <c r="A48" s="2059" t="s">
        <v>1300</v>
      </c>
      <c r="B48" s="1956" t="s">
        <v>1192</v>
      </c>
      <c r="C48" s="1004">
        <f ca="1">C49+C53+C55</f>
        <v>0</v>
      </c>
      <c r="D48" s="2060"/>
      <c r="E48" s="2061"/>
      <c r="F48" s="2062"/>
      <c r="G48" s="2058"/>
      <c r="H48" s="2063"/>
      <c r="I48" s="2149" t="s">
        <v>1301</v>
      </c>
      <c r="J48" s="2150"/>
      <c r="K48" s="2151" t="s">
        <v>1303</v>
      </c>
      <c r="L48" s="2152">
        <f ca="1">INDIRECT("'数据-取费表'!f"&amp;$G$1)</f>
        <v>0</v>
      </c>
      <c r="O48" s="2147" t="s">
        <v>1003</v>
      </c>
      <c r="P48" s="2148" t="s">
        <v>1304</v>
      </c>
      <c r="Q48" s="2188" t="e">
        <f ca="1">J60</f>
        <v>#DIV/0!</v>
      </c>
      <c r="R48" s="2188" t="s">
        <v>1305</v>
      </c>
    </row>
    <row r="49" spans="1:18" s="761" customFormat="1">
      <c r="A49" s="2064" t="s">
        <v>1306</v>
      </c>
      <c r="B49" s="2065" t="s">
        <v>1307</v>
      </c>
      <c r="C49" s="2066">
        <f ca="1">ROUND(F49*F51*F50*(1-F52)/10000,0)</f>
        <v>0</v>
      </c>
      <c r="D49" s="2067" t="s">
        <v>1438</v>
      </c>
      <c r="E49" s="2068" t="s">
        <v>1309</v>
      </c>
      <c r="F49" s="2069"/>
      <c r="G49" s="2070"/>
      <c r="H49" s="2063"/>
      <c r="I49" s="2149" t="s">
        <v>1310</v>
      </c>
      <c r="J49" s="2153"/>
      <c r="K49" s="2151" t="s">
        <v>1311</v>
      </c>
      <c r="L49" s="2154"/>
      <c r="O49" s="2155" t="s">
        <v>1312</v>
      </c>
      <c r="P49" s="2148" t="s">
        <v>1313</v>
      </c>
      <c r="Q49" s="2188">
        <f ca="1">C29</f>
        <v>0</v>
      </c>
      <c r="R49" s="2188" t="s">
        <v>1299</v>
      </c>
    </row>
    <row r="50" spans="1:18" s="761" customFormat="1">
      <c r="A50" s="2071"/>
      <c r="B50" s="2072"/>
      <c r="C50" s="2073"/>
      <c r="D50" s="2074"/>
      <c r="E50" s="2075" t="s">
        <v>1198</v>
      </c>
      <c r="F50" s="2076">
        <f ca="1">F7</f>
        <v>0</v>
      </c>
      <c r="H50" s="2063"/>
      <c r="I50" s="2149" t="s">
        <v>1314</v>
      </c>
      <c r="J50" s="2156">
        <f>SUMPRODUCT((I63:I65=J47)*(J62:L62=J48)*(J63:L65))</f>
        <v>0</v>
      </c>
      <c r="K50" s="2151" t="s">
        <v>1315</v>
      </c>
      <c r="L50" s="2154"/>
      <c r="M50" s="2157"/>
      <c r="O50" s="2155" t="s">
        <v>1316</v>
      </c>
      <c r="P50" s="2148" t="s">
        <v>1317</v>
      </c>
      <c r="Q50" s="2189" t="e">
        <f ca="1">J58</f>
        <v>#DIV/0!</v>
      </c>
      <c r="R50" s="2188"/>
    </row>
    <row r="51" spans="1:18" s="761" customFormat="1">
      <c r="A51" s="2077"/>
      <c r="B51" s="2072"/>
      <c r="C51" s="2078"/>
      <c r="D51" s="2074"/>
      <c r="E51" s="2079" t="s">
        <v>1199</v>
      </c>
      <c r="F51" s="1965">
        <f ca="1">F8</f>
        <v>0</v>
      </c>
      <c r="I51" s="2158" t="s">
        <v>1318</v>
      </c>
      <c r="J51" s="2159">
        <f>IF(J49="",J50,J49+J50-YEAR('数据-取费表'!B2))</f>
        <v>0</v>
      </c>
      <c r="K51" s="2160" t="s">
        <v>1319</v>
      </c>
      <c r="L51" s="2161">
        <f ca="1">ROUND(-PV(INDIRECT("'数据-取费表'!h"&amp;$G$1),J51,(C39-C13*C76),0),0)</f>
        <v>0</v>
      </c>
      <c r="M51" s="2162"/>
      <c r="O51" s="2155" t="s">
        <v>1320</v>
      </c>
      <c r="P51" s="2148" t="s">
        <v>1321</v>
      </c>
      <c r="Q51" s="2189">
        <f>J52</f>
        <v>0</v>
      </c>
      <c r="R51" s="2188"/>
    </row>
    <row r="52" spans="1:18" s="761" customFormat="1">
      <c r="A52" s="2077"/>
      <c r="B52" s="2072"/>
      <c r="C52" s="2078"/>
      <c r="D52" s="2074"/>
      <c r="E52" s="2079" t="s">
        <v>1200</v>
      </c>
      <c r="F52" s="2080"/>
      <c r="I52" s="2163" t="s">
        <v>1322</v>
      </c>
      <c r="J52" s="2164"/>
      <c r="K52" s="2163" t="s">
        <v>1323</v>
      </c>
      <c r="L52" s="2164"/>
      <c r="O52" s="2155" t="s">
        <v>1324</v>
      </c>
      <c r="P52" s="2148" t="s">
        <v>1325</v>
      </c>
      <c r="Q52" s="2188">
        <f ca="1">J53</f>
        <v>0</v>
      </c>
      <c r="R52" s="2188" t="s">
        <v>1326</v>
      </c>
    </row>
    <row r="53" spans="1:18" s="761" customFormat="1" ht="24">
      <c r="A53" s="2081" t="s">
        <v>1327</v>
      </c>
      <c r="B53" s="2082" t="s">
        <v>1201</v>
      </c>
      <c r="C53" s="1002">
        <f ca="1">ROUND(IF(F53="押一",C49/12*F11,IF(F53="押二",C49/12*2*F11,IF(F53="押三",C49/12*3*F11,C54*F11))),0)</f>
        <v>0</v>
      </c>
      <c r="D53" s="1974" t="s">
        <v>1202</v>
      </c>
      <c r="E53" s="1975" t="s">
        <v>1203</v>
      </c>
      <c r="F53" s="1976"/>
      <c r="I53" s="2165" t="s">
        <v>1329</v>
      </c>
      <c r="J53" s="2166">
        <f ca="1">IF(M47="住宅",IF(D1="——",MAX(J51,L48),MAX(J51,L48-'数据-取费表'!B24)),IF(D1="——",MIN(J51,L48),MIN(J51,L48-'数据-取费表'!B24)))</f>
        <v>0</v>
      </c>
      <c r="K53" s="3669" t="s">
        <v>1330</v>
      </c>
      <c r="L53" s="3670"/>
      <c r="O53" s="2147" t="s">
        <v>1331</v>
      </c>
      <c r="P53" s="2148" t="s">
        <v>1332</v>
      </c>
      <c r="Q53" s="2188" t="e">
        <f ca="1">Q47+Q48</f>
        <v>#DIV/0!</v>
      </c>
      <c r="R53" s="2188" t="s">
        <v>1333</v>
      </c>
    </row>
    <row r="54" spans="1:18" s="761" customFormat="1">
      <c r="A54" s="2083"/>
      <c r="B54" s="1978" t="s">
        <v>1439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t="e">
        <f ca="1">ROUND(IF(J47="钢混",J57/J50,1-(1-2%)*(J50-J57)/J50),3)</f>
        <v>#DIV/0!</v>
      </c>
      <c r="K55" s="2173" t="s">
        <v>1336</v>
      </c>
      <c r="L55" s="2174"/>
      <c r="O55" s="2140" t="s">
        <v>1292</v>
      </c>
      <c r="P55" s="2141" t="s">
        <v>1293</v>
      </c>
      <c r="Q55" s="2187" t="s">
        <v>1294</v>
      </c>
      <c r="R55" s="2187" t="s">
        <v>1295</v>
      </c>
    </row>
    <row r="56" spans="1:18" s="761" customFormat="1" ht="24">
      <c r="A56" s="2086">
        <v>2</v>
      </c>
      <c r="B56" s="2087" t="s">
        <v>1210</v>
      </c>
      <c r="C56" s="414">
        <f ca="1">C13</f>
        <v>0</v>
      </c>
      <c r="D56" s="2088"/>
      <c r="E56" s="2089"/>
      <c r="F56" s="2085"/>
      <c r="I56" s="2175" t="s">
        <v>1337</v>
      </c>
      <c r="J56" s="2176"/>
      <c r="K56" s="2149" t="s">
        <v>1339</v>
      </c>
      <c r="L56" s="2152">
        <f ca="1">IF(L48&lt;J51,"——",L48-J53)</f>
        <v>0</v>
      </c>
      <c r="O56" s="2147" t="s">
        <v>1000</v>
      </c>
      <c r="P56" s="2148" t="s">
        <v>1298</v>
      </c>
      <c r="Q56" s="2188" t="e">
        <f ca="1">C40+J29</f>
        <v>#DIV/0!</v>
      </c>
      <c r="R56" s="2188" t="s">
        <v>1299</v>
      </c>
    </row>
    <row r="57" spans="1:18" s="761" customFormat="1" ht="24">
      <c r="A57" s="2090"/>
      <c r="B57" s="2091" t="s">
        <v>1277</v>
      </c>
      <c r="C57" s="424">
        <f ca="1">C29</f>
        <v>0</v>
      </c>
      <c r="D57" s="2092"/>
      <c r="E57" s="2093"/>
      <c r="F57" s="2094"/>
      <c r="I57" s="2177" t="s">
        <v>1340</v>
      </c>
      <c r="J57" s="2178">
        <f ca="1">IF(OR(M47="住宅",J51&lt;L48,J56="是"),"——",J51-L48)</f>
        <v>0</v>
      </c>
      <c r="K57" s="2149" t="s">
        <v>1440</v>
      </c>
      <c r="L57" s="2152">
        <f ca="1">IF(L48&lt;J51,"——",IF(L55="比较法",L49,IF(L55="基准地价",L50,L51)))</f>
        <v>0</v>
      </c>
      <c r="O57" s="2147" t="s">
        <v>1003</v>
      </c>
      <c r="P57" s="2148" t="s">
        <v>1342</v>
      </c>
      <c r="Q57" s="2188" t="e">
        <f ca="1">L60</f>
        <v>#DIV/0!</v>
      </c>
      <c r="R57" s="2188" t="s">
        <v>1343</v>
      </c>
    </row>
    <row r="58" spans="1:18" s="761" customFormat="1" ht="24">
      <c r="A58" s="2095" t="s">
        <v>1220</v>
      </c>
      <c r="B58" s="2087" t="s">
        <v>1221</v>
      </c>
      <c r="C58" s="1002">
        <f ca="1">ROUND(C59+C64+C65+C66,0)</f>
        <v>0</v>
      </c>
      <c r="D58" s="2096" t="s">
        <v>1222</v>
      </c>
      <c r="E58" s="2097"/>
      <c r="F58" s="2062"/>
      <c r="I58" s="2177" t="s">
        <v>1344</v>
      </c>
      <c r="J58" s="2179" t="e">
        <f ca="1">IF(J55&lt;0.4,0.4,J55)</f>
        <v>#DIV/0!</v>
      </c>
      <c r="K58" s="2160" t="s">
        <v>1441</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IF(项目基本情况!B11="自然人","——",ROUND(C48*F60/(1+'数据-取费表'!C42),2))</f>
        <v>0</v>
      </c>
      <c r="D60" s="2099" t="s">
        <v>1233</v>
      </c>
      <c r="E60" s="2091" t="s">
        <v>1218</v>
      </c>
      <c r="F60" s="2010">
        <f t="shared" ref="F60:F66" si="0">F32</f>
        <v>5.5000000000000007E-2</v>
      </c>
      <c r="I60" s="2180" t="s">
        <v>1349</v>
      </c>
      <c r="J60" s="2181" t="e">
        <f ca="1">IF(OR(M47="住宅",J51&lt;L48,J56="是"),"0",ROUND(J59/(1+J52)^J53,0))</f>
        <v>#DIV/0!</v>
      </c>
      <c r="K60" s="2182" t="s">
        <v>1350</v>
      </c>
      <c r="L60" s="2181" t="e">
        <f ca="1">IF(OR(M47="住宅",L48&lt;J51),0,ROUND(L57*(L58/L59-1),0))</f>
        <v>#DIV/0!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IF(项目基本情况!B11="自然人","——",IF(D61="按租金收入计税",ROUND(C49*F61/(1+'数据-取费表'!C42),2),IF(D61="按房产原值计税",ROUND(C57*F61*0.7,2),INDIRECT("'数据-取费表'!Aj"&amp;$G$1))))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IF(项目基本情况!B11="自然人","——",ROUND(F62*F63/10000,2))</f>
        <v>0</v>
      </c>
      <c r="D62" s="2101" t="s">
        <v>1241</v>
      </c>
      <c r="E62" s="2091" t="s">
        <v>1242</v>
      </c>
      <c r="F62" s="2009">
        <f t="shared" si="0"/>
        <v>0</v>
      </c>
      <c r="I62" s="2183" t="s">
        <v>1354</v>
      </c>
      <c r="J62" s="2184" t="s">
        <v>1355</v>
      </c>
      <c r="K62" s="2184" t="s">
        <v>1356</v>
      </c>
      <c r="L62" s="2184" t="s">
        <v>1357</v>
      </c>
      <c r="M62" s="2185" t="s">
        <v>1358</v>
      </c>
      <c r="O62" s="2147" t="s">
        <v>1331</v>
      </c>
      <c r="P62" s="2148" t="s">
        <v>1332</v>
      </c>
      <c r="Q62" s="2188" t="e">
        <f ca="1">Q56+Q57</f>
        <v>#DIV/0!</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ROUND(C57*F64,2)</f>
        <v>0</v>
      </c>
      <c r="D64" s="2099" t="s">
        <v>1282</v>
      </c>
      <c r="E64" s="2091" t="s">
        <v>1218</v>
      </c>
      <c r="F64" s="2031">
        <f t="shared" ca="1" si="0"/>
        <v>0</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ROUND(C56*F65,2)</f>
        <v>0</v>
      </c>
      <c r="D65" s="2099" t="s">
        <v>1253</v>
      </c>
      <c r="E65" s="2091" t="s">
        <v>1218</v>
      </c>
      <c r="F65" s="2032">
        <f t="shared" ca="1" si="0"/>
        <v>0</v>
      </c>
      <c r="I65" s="2183" t="s">
        <v>1362</v>
      </c>
      <c r="J65" s="2184">
        <v>40</v>
      </c>
      <c r="K65" s="2184">
        <v>30</v>
      </c>
      <c r="L65" s="2184">
        <v>50</v>
      </c>
      <c r="M65" s="2186">
        <v>0.02</v>
      </c>
      <c r="O65" s="2147" t="s">
        <v>1000</v>
      </c>
      <c r="P65" s="2148" t="s">
        <v>1298</v>
      </c>
      <c r="Q65" s="2188" t="e">
        <f ca="1">C40+J29</f>
        <v>#DIV/0!</v>
      </c>
      <c r="R65" s="2188" t="s">
        <v>1299</v>
      </c>
    </row>
    <row r="66" spans="1:18" s="761" customFormat="1" ht="15.75">
      <c r="A66" s="1994" t="s">
        <v>947</v>
      </c>
      <c r="B66" s="2091" t="s">
        <v>1238</v>
      </c>
      <c r="C66" s="1003">
        <f ca="1">ROUND(C48*F66,2)</f>
        <v>0</v>
      </c>
      <c r="D66" s="2099" t="s">
        <v>1256</v>
      </c>
      <c r="E66" s="2091" t="s">
        <v>1218</v>
      </c>
      <c r="F66" s="1972">
        <f t="shared" ca="1" si="0"/>
        <v>0</v>
      </c>
      <c r="O66" s="2147" t="s">
        <v>1003</v>
      </c>
      <c r="P66" s="2148" t="s">
        <v>1342</v>
      </c>
      <c r="Q66" s="2188" t="e">
        <f ca="1">L60</f>
        <v>#DIV/0!</v>
      </c>
      <c r="R66" s="2188" t="s">
        <v>1343</v>
      </c>
    </row>
    <row r="67" spans="1:18" s="761" customFormat="1" ht="15.75">
      <c r="A67" s="2086" t="s">
        <v>1259</v>
      </c>
      <c r="B67" s="2190" t="s">
        <v>1260</v>
      </c>
      <c r="C67" s="1002">
        <f ca="1">C48-C58</f>
        <v>0</v>
      </c>
      <c r="D67" s="2098" t="s">
        <v>1261</v>
      </c>
      <c r="E67" s="2191"/>
      <c r="F67" s="2192"/>
      <c r="O67" s="2155" t="s">
        <v>1312</v>
      </c>
      <c r="P67" s="2148" t="s">
        <v>1346</v>
      </c>
      <c r="Q67" s="2212">
        <f ca="1">L51</f>
        <v>0</v>
      </c>
      <c r="R67" s="2188" t="s">
        <v>1363</v>
      </c>
    </row>
    <row r="68" spans="1:18" s="761" customFormat="1" ht="15.75">
      <c r="A68" s="2193" t="s">
        <v>1265</v>
      </c>
      <c r="B68" s="2194" t="s">
        <v>1283</v>
      </c>
      <c r="C68" s="2037" t="e">
        <f ca="1">ROUND(C67*(1-((1+F70)/(1+F68))^F69)/(F68-F70),0)</f>
        <v>#DIV/0!</v>
      </c>
      <c r="D68" s="2101" t="s">
        <v>1267</v>
      </c>
      <c r="E68" s="2091" t="s">
        <v>1268</v>
      </c>
      <c r="F68" s="1972">
        <f ca="1">F40</f>
        <v>0</v>
      </c>
      <c r="O68" s="2155" t="s">
        <v>1316</v>
      </c>
      <c r="P68" s="2211" t="s">
        <v>1364</v>
      </c>
      <c r="Q68" s="2188">
        <f ca="1">ROUND(Q69-Q70*Q71,0)</f>
        <v>0</v>
      </c>
      <c r="R68" s="2188" t="s">
        <v>1365</v>
      </c>
    </row>
    <row r="69" spans="1:18" s="761" customFormat="1">
      <c r="A69" s="2195"/>
      <c r="B69" s="2196"/>
      <c r="C69" s="1971"/>
      <c r="D69" s="2197" t="s">
        <v>1271</v>
      </c>
      <c r="E69" s="2091" t="s">
        <v>1272</v>
      </c>
      <c r="F69" s="2041">
        <f ca="1">F41</f>
        <v>0</v>
      </c>
      <c r="O69" s="2155" t="s">
        <v>1366</v>
      </c>
      <c r="P69" s="2211" t="s">
        <v>1367</v>
      </c>
      <c r="Q69" s="2188">
        <f ca="1">C39</f>
        <v>0</v>
      </c>
      <c r="R69" s="2188" t="s">
        <v>1299</v>
      </c>
    </row>
    <row r="70" spans="1:18" s="761" customFormat="1">
      <c r="A70" s="2198"/>
      <c r="B70" s="2199"/>
      <c r="C70" s="1991"/>
      <c r="D70" s="2103"/>
      <c r="E70" s="2091" t="s">
        <v>1275</v>
      </c>
      <c r="F70" s="2080"/>
      <c r="O70" s="2155" t="s">
        <v>1368</v>
      </c>
      <c r="P70" s="2211" t="s">
        <v>1369</v>
      </c>
      <c r="Q70" s="2188">
        <f ca="1">C13</f>
        <v>0</v>
      </c>
      <c r="R70" s="2188" t="s">
        <v>1299</v>
      </c>
    </row>
    <row r="71" spans="1:18" s="761" customFormat="1">
      <c r="A71" s="2200" t="s">
        <v>1278</v>
      </c>
      <c r="B71" s="2201" t="s">
        <v>1284</v>
      </c>
      <c r="C71" s="2045" t="e">
        <f ca="1">ROUND(C68*10000/F71,0)</f>
        <v>#DIV/0!</v>
      </c>
      <c r="D71" s="2202" t="s">
        <v>1285</v>
      </c>
      <c r="E71" s="2203" t="s">
        <v>1286</v>
      </c>
      <c r="F71" s="2048">
        <f ca="1">F43</f>
        <v>0</v>
      </c>
      <c r="O71" s="2155" t="s">
        <v>1370</v>
      </c>
      <c r="P71" s="2211" t="s">
        <v>1371</v>
      </c>
      <c r="Q71" s="2189">
        <f ca="1">C76</f>
        <v>0</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0</v>
      </c>
      <c r="D75" s="761"/>
      <c r="E75" s="761"/>
      <c r="F75" s="761"/>
      <c r="K75" s="2134"/>
      <c r="L75" s="761"/>
      <c r="O75" s="2147" t="s">
        <v>1331</v>
      </c>
      <c r="P75" s="2148" t="s">
        <v>1332</v>
      </c>
      <c r="Q75" s="2188" t="e">
        <f ca="1">Q65+Q66</f>
        <v>#DIV/0!</v>
      </c>
      <c r="R75" s="2188" t="s">
        <v>1333</v>
      </c>
    </row>
    <row r="76" spans="1:18">
      <c r="B76" s="546" t="s">
        <v>1375</v>
      </c>
      <c r="C76" s="2207">
        <f ca="1">INDIRECT("'数据-取费表'!j"&amp;$G$1)</f>
        <v>0</v>
      </c>
      <c r="I76" s="761"/>
      <c r="J76" s="761"/>
      <c r="K76" s="2134"/>
      <c r="L76" s="761"/>
    </row>
    <row r="77" spans="1:18">
      <c r="B77" s="2208" t="s">
        <v>1376</v>
      </c>
      <c r="C77" s="2209"/>
      <c r="I77" s="761"/>
      <c r="J77" s="761"/>
      <c r="K77" s="2134"/>
      <c r="L77" s="761"/>
    </row>
    <row r="78" spans="1:18">
      <c r="B78" s="454" t="s">
        <v>1377</v>
      </c>
      <c r="C78" s="2210"/>
    </row>
    <row r="79" spans="1:18">
      <c r="B79" s="2205" t="s">
        <v>1378</v>
      </c>
      <c r="C79" s="457" t="e">
        <f ca="1">1-C80</f>
        <v>#DIV/0!</v>
      </c>
    </row>
    <row r="80" spans="1:18">
      <c r="B80" s="2205" t="s">
        <v>1379</v>
      </c>
      <c r="C80" s="457" t="e">
        <f ca="1">ROUND(C75/C39,3)</f>
        <v>#DIV/0!</v>
      </c>
    </row>
    <row r="81" spans="2:3">
      <c r="B81" s="454" t="s">
        <v>1380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1442</v>
      </c>
      <c r="B1" s="1763"/>
      <c r="C1" s="1764"/>
      <c r="D1" s="1764"/>
      <c r="E1" s="1765"/>
      <c r="F1" s="1766"/>
      <c r="G1" s="1767"/>
      <c r="J1" s="1869" t="s">
        <v>1443</v>
      </c>
      <c r="K1" s="1870"/>
      <c r="L1" s="1870"/>
      <c r="M1" s="1870"/>
      <c r="N1" s="1870"/>
      <c r="O1" s="1870"/>
      <c r="P1" s="1870"/>
      <c r="Q1" s="1870"/>
      <c r="R1" s="1909"/>
      <c r="S1" s="1910"/>
      <c r="T1" s="1910"/>
      <c r="U1" s="1910"/>
    </row>
    <row r="2" spans="1:22" s="1755" customFormat="1" ht="13.15" customHeight="1">
      <c r="A2" s="1768" t="s">
        <v>1181</v>
      </c>
      <c r="B2" s="1769" t="e">
        <f>IF(D2="——",C40,C40+E2)</f>
        <v>#DIV/0!</v>
      </c>
      <c r="C2" s="1764" t="s">
        <v>1182</v>
      </c>
      <c r="D2" s="1770" t="s">
        <v>1444</v>
      </c>
      <c r="E2" s="1771"/>
      <c r="F2" s="1772"/>
      <c r="G2" s="1773"/>
      <c r="H2" s="1774"/>
      <c r="I2" s="1871"/>
      <c r="J2" s="3674" t="s">
        <v>1445</v>
      </c>
      <c r="K2" s="3675"/>
      <c r="L2" s="1872" t="s">
        <v>1446</v>
      </c>
      <c r="M2" s="1872" t="s">
        <v>1447</v>
      </c>
      <c r="N2" s="1872" t="s">
        <v>1448</v>
      </c>
      <c r="O2" s="1872" t="s">
        <v>1449</v>
      </c>
      <c r="P2" s="1872" t="s">
        <v>1450</v>
      </c>
      <c r="Q2" s="1911" t="s">
        <v>1451</v>
      </c>
      <c r="R2" s="1912" t="s">
        <v>1452</v>
      </c>
      <c r="S2" s="1910"/>
      <c r="T2" s="1910"/>
      <c r="U2" s="1910"/>
      <c r="V2" s="1871"/>
    </row>
    <row r="3" spans="1:22" s="1755" customFormat="1" ht="13.15" customHeight="1">
      <c r="A3" s="1775" t="s">
        <v>1184</v>
      </c>
      <c r="B3" s="1776" t="e">
        <f>ROUND(B2*10000/B4,0)</f>
        <v>#DIV/0!</v>
      </c>
      <c r="C3" s="1764" t="s">
        <v>1185</v>
      </c>
      <c r="D3" s="1764"/>
      <c r="E3" s="1777"/>
      <c r="F3" s="1772"/>
      <c r="G3" s="1773"/>
      <c r="H3" s="1774"/>
      <c r="I3" s="1871"/>
      <c r="J3" s="3676" t="s">
        <v>1453</v>
      </c>
      <c r="K3" s="3677"/>
      <c r="L3" s="1873"/>
      <c r="M3" s="1873"/>
      <c r="N3" s="1873"/>
      <c r="O3" s="1873"/>
      <c r="P3" s="1873"/>
      <c r="Q3" s="1913"/>
      <c r="R3" s="1914">
        <f>SUM(L3:Q3)</f>
        <v>0</v>
      </c>
      <c r="S3" s="1910"/>
      <c r="T3" s="1910"/>
      <c r="U3" s="1910"/>
      <c r="V3" s="1871"/>
    </row>
    <row r="4" spans="1:22" s="1755" customFormat="1" ht="13.15" customHeight="1">
      <c r="A4" s="1778" t="s">
        <v>1454</v>
      </c>
      <c r="B4" s="1779"/>
      <c r="C4" s="1764"/>
      <c r="D4" s="1764"/>
      <c r="E4" s="1777"/>
      <c r="F4" s="1772"/>
      <c r="G4" s="1773"/>
      <c r="H4" s="1774"/>
      <c r="I4" s="1871"/>
      <c r="J4" s="3676" t="s">
        <v>1455</v>
      </c>
      <c r="K4" s="3677"/>
      <c r="L4" s="1874"/>
      <c r="M4" s="1874"/>
      <c r="N4" s="1874"/>
      <c r="O4" s="1874"/>
      <c r="P4" s="1874"/>
      <c r="Q4" s="1915"/>
      <c r="R4" s="1916">
        <f>SUM(L4:Q4)</f>
        <v>0</v>
      </c>
      <c r="S4" s="1910"/>
      <c r="T4" s="1910"/>
      <c r="U4" s="1910"/>
      <c r="V4" s="1871"/>
    </row>
    <row r="5" spans="1:22" s="1755" customFormat="1" ht="13.15" customHeight="1">
      <c r="A5" s="1780" t="s">
        <v>1456</v>
      </c>
      <c r="B5" s="1781"/>
      <c r="C5" s="1764"/>
      <c r="D5" s="1782"/>
      <c r="E5" s="1772"/>
      <c r="F5" s="1772"/>
      <c r="G5" s="1773"/>
      <c r="H5" s="1774"/>
      <c r="I5" s="1871"/>
      <c r="J5" s="1875" t="s">
        <v>1457</v>
      </c>
      <c r="K5" s="1876"/>
      <c r="L5" s="1876"/>
      <c r="M5" s="1877"/>
      <c r="N5" s="1877"/>
      <c r="O5" s="1877"/>
      <c r="P5" s="1877"/>
      <c r="Q5" s="1877"/>
      <c r="R5" s="1912">
        <f>SUM(R14,R19,R24,R25,R27,R28)</f>
        <v>0</v>
      </c>
      <c r="S5" s="1910"/>
      <c r="T5" s="1910" t="s">
        <v>1458</v>
      </c>
      <c r="U5" s="1910" t="e">
        <f>ROUND(R5*10000/365/R3,1)</f>
        <v>#DIV/0!</v>
      </c>
      <c r="V5" s="1871"/>
    </row>
    <row r="6" spans="1:22" s="1755" customFormat="1" ht="13.15" customHeight="1">
      <c r="A6" s="3678" t="s">
        <v>1459</v>
      </c>
      <c r="B6" s="3679"/>
      <c r="C6" s="3680"/>
      <c r="D6" s="1783"/>
      <c r="E6" s="1784"/>
      <c r="F6" s="1785"/>
      <c r="G6" s="1786"/>
      <c r="H6" s="1774"/>
      <c r="I6" s="1871"/>
      <c r="J6" s="3687">
        <v>1</v>
      </c>
      <c r="K6" s="3690" t="s">
        <v>1460</v>
      </c>
      <c r="L6" s="1879" t="s">
        <v>1461</v>
      </c>
      <c r="M6" s="1880" t="s">
        <v>1462</v>
      </c>
      <c r="N6" s="1880" t="s">
        <v>1463</v>
      </c>
      <c r="O6" s="1880" t="s">
        <v>1464</v>
      </c>
      <c r="P6" s="1880" t="s">
        <v>1465</v>
      </c>
      <c r="Q6" s="1880" t="s">
        <v>1466</v>
      </c>
      <c r="R6" s="1914" t="s">
        <v>1467</v>
      </c>
      <c r="S6" s="1910"/>
      <c r="T6" s="1910" t="s">
        <v>1468</v>
      </c>
      <c r="U6" s="1910"/>
      <c r="V6" s="1871"/>
    </row>
    <row r="7" spans="1:22" s="1755" customFormat="1" ht="13.15" customHeight="1">
      <c r="A7" s="1787" t="s">
        <v>1469</v>
      </c>
      <c r="B7" s="1788"/>
      <c r="C7" s="1789"/>
      <c r="D7" s="1790">
        <f>SUM(D9,D10,D11,D17,0)</f>
        <v>0</v>
      </c>
      <c r="E7" s="1791" t="e">
        <f>E9+E10+E11+E17</f>
        <v>#DIV/0!</v>
      </c>
      <c r="F7" s="1792"/>
      <c r="G7" s="1793"/>
      <c r="H7" s="1774"/>
      <c r="I7" s="1871"/>
      <c r="J7" s="3687"/>
      <c r="K7" s="3691"/>
      <c r="L7" s="1881" t="s">
        <v>1470</v>
      </c>
      <c r="M7" s="1882"/>
      <c r="N7" s="1779"/>
      <c r="O7" s="1883"/>
      <c r="P7" s="1883"/>
      <c r="Q7" s="1812">
        <v>365</v>
      </c>
      <c r="R7" s="1917">
        <f>ROUND(M7*N7*O7*P7*Q7/10000,0)</f>
        <v>0</v>
      </c>
      <c r="S7" s="1910"/>
      <c r="T7" s="1910" t="s">
        <v>1471</v>
      </c>
      <c r="U7" s="1910"/>
      <c r="V7" s="1871"/>
    </row>
    <row r="8" spans="1:22" s="1755" customFormat="1" ht="13.15" customHeight="1">
      <c r="A8" s="1794" t="s">
        <v>1472</v>
      </c>
      <c r="B8" s="3681" t="s">
        <v>1473</v>
      </c>
      <c r="C8" s="3682"/>
      <c r="D8" s="1797" t="s">
        <v>1474</v>
      </c>
      <c r="E8" s="1798" t="s">
        <v>1475</v>
      </c>
      <c r="F8" s="1799" t="s">
        <v>1476</v>
      </c>
      <c r="G8" s="1800"/>
      <c r="H8" s="1774"/>
      <c r="I8" s="1871"/>
      <c r="J8" s="3687"/>
      <c r="K8" s="3691"/>
      <c r="L8" s="1881" t="s">
        <v>1477</v>
      </c>
      <c r="M8" s="1882"/>
      <c r="N8" s="1779"/>
      <c r="O8" s="1883"/>
      <c r="P8" s="1883"/>
      <c r="Q8" s="1812">
        <v>365</v>
      </c>
      <c r="R8" s="1917">
        <f t="shared" ref="R8:R13" si="0">ROUND(M8*N8*O8*P8*Q8/10000,0)</f>
        <v>0</v>
      </c>
      <c r="S8" s="1910"/>
      <c r="T8" s="1910" t="s">
        <v>1478</v>
      </c>
      <c r="U8" s="1910"/>
      <c r="V8" s="1871"/>
    </row>
    <row r="9" spans="1:22" s="1755" customFormat="1" ht="13.15" customHeight="1">
      <c r="A9" s="1794">
        <v>1</v>
      </c>
      <c r="B9" s="3681" t="s">
        <v>1479</v>
      </c>
      <c r="C9" s="3682"/>
      <c r="D9" s="1797">
        <f>ROUND(D6*E9,0)</f>
        <v>0</v>
      </c>
      <c r="E9" s="1801"/>
      <c r="F9" s="1802" t="s">
        <v>1480</v>
      </c>
      <c r="G9" s="1786"/>
      <c r="H9" s="1774"/>
      <c r="I9" s="1871"/>
      <c r="J9" s="3687"/>
      <c r="K9" s="3691"/>
      <c r="L9" s="1881" t="s">
        <v>1481</v>
      </c>
      <c r="M9" s="1882"/>
      <c r="N9" s="1779"/>
      <c r="O9" s="1883"/>
      <c r="P9" s="1883"/>
      <c r="Q9" s="1812">
        <v>365</v>
      </c>
      <c r="R9" s="1917">
        <f t="shared" si="0"/>
        <v>0</v>
      </c>
      <c r="S9" s="1910"/>
      <c r="T9" s="1910"/>
      <c r="U9" s="1910"/>
      <c r="V9" s="1871"/>
    </row>
    <row r="10" spans="1:22" s="1755" customFormat="1" ht="13.15" customHeight="1">
      <c r="A10" s="1794">
        <v>2</v>
      </c>
      <c r="B10" s="3681" t="s">
        <v>1482</v>
      </c>
      <c r="C10" s="3682"/>
      <c r="D10" s="1797">
        <f>ROUND(D6*E10,0)</f>
        <v>0</v>
      </c>
      <c r="E10" s="1801"/>
      <c r="F10" s="1802" t="s">
        <v>1483</v>
      </c>
      <c r="G10" s="1786"/>
      <c r="H10" s="1774"/>
      <c r="I10" s="1871"/>
      <c r="J10" s="3687"/>
      <c r="K10" s="3691"/>
      <c r="L10" s="1881" t="s">
        <v>1484</v>
      </c>
      <c r="M10" s="1882"/>
      <c r="N10" s="1779"/>
      <c r="O10" s="1883"/>
      <c r="P10" s="1883"/>
      <c r="Q10" s="1812">
        <v>365</v>
      </c>
      <c r="R10" s="1917">
        <f t="shared" si="0"/>
        <v>0</v>
      </c>
      <c r="S10" s="1910"/>
      <c r="T10" s="1910"/>
      <c r="U10" s="1910"/>
      <c r="V10" s="1871"/>
    </row>
    <row r="11" spans="1:22" s="1755" customFormat="1" ht="13.15" customHeight="1">
      <c r="A11" s="1794">
        <v>3</v>
      </c>
      <c r="B11" s="3681" t="s">
        <v>1485</v>
      </c>
      <c r="C11" s="3682"/>
      <c r="D11" s="1797">
        <f>D12+D14+D15+D16</f>
        <v>0</v>
      </c>
      <c r="E11" s="1803" t="e">
        <f>D11/D6</f>
        <v>#DIV/0!</v>
      </c>
      <c r="F11" s="1799"/>
      <c r="G11" s="1800"/>
      <c r="H11" s="1774"/>
      <c r="I11" s="1871"/>
      <c r="J11" s="3687"/>
      <c r="K11" s="3691"/>
      <c r="L11" s="1881" t="s">
        <v>1486</v>
      </c>
      <c r="M11" s="1882"/>
      <c r="N11" s="1779"/>
      <c r="O11" s="1883"/>
      <c r="P11" s="1883"/>
      <c r="Q11" s="1812">
        <v>365</v>
      </c>
      <c r="R11" s="1917">
        <f t="shared" si="0"/>
        <v>0</v>
      </c>
      <c r="S11" s="1910"/>
      <c r="T11" s="1910"/>
      <c r="U11" s="1910"/>
      <c r="V11" s="1871"/>
    </row>
    <row r="12" spans="1:22" s="1755" customFormat="1" ht="13.15" customHeight="1">
      <c r="A12" s="1804" t="s">
        <v>1487</v>
      </c>
      <c r="B12" s="3683" t="s">
        <v>1488</v>
      </c>
      <c r="C12" s="3684"/>
      <c r="D12" s="1807">
        <f>ROUND(D13*1.2%*(1-30%),0)</f>
        <v>0</v>
      </c>
      <c r="E12" s="1808">
        <v>1.2E-2</v>
      </c>
      <c r="F12" s="1799" t="s">
        <v>1489</v>
      </c>
      <c r="G12" s="1800"/>
      <c r="H12" s="1774"/>
      <c r="I12" s="1871"/>
      <c r="J12" s="3687"/>
      <c r="K12" s="3691"/>
      <c r="L12" s="1881" t="s">
        <v>1490</v>
      </c>
      <c r="M12" s="1882"/>
      <c r="N12" s="1779"/>
      <c r="O12" s="1883"/>
      <c r="P12" s="1883"/>
      <c r="Q12" s="1812">
        <v>365</v>
      </c>
      <c r="R12" s="1917">
        <f t="shared" si="0"/>
        <v>0</v>
      </c>
      <c r="S12" s="1910"/>
      <c r="T12" s="1910"/>
      <c r="U12" s="1910"/>
      <c r="V12" s="1871"/>
    </row>
    <row r="13" spans="1:22" s="1755" customFormat="1" ht="13.15" customHeight="1">
      <c r="A13" s="1804"/>
      <c r="B13" s="1805"/>
      <c r="C13" s="1809" t="s">
        <v>1491</v>
      </c>
      <c r="D13" s="1810"/>
      <c r="E13" s="1811"/>
      <c r="F13" s="1799"/>
      <c r="G13" s="1800"/>
      <c r="H13" s="1774"/>
      <c r="I13" s="1871"/>
      <c r="J13" s="3687"/>
      <c r="K13" s="3691"/>
      <c r="L13" s="1881" t="s">
        <v>1492</v>
      </c>
      <c r="M13" s="1882"/>
      <c r="N13" s="1779"/>
      <c r="O13" s="1883"/>
      <c r="P13" s="1883"/>
      <c r="Q13" s="1812">
        <v>365</v>
      </c>
      <c r="R13" s="1917">
        <f t="shared" si="0"/>
        <v>0</v>
      </c>
      <c r="S13" s="1910"/>
      <c r="T13" s="1910"/>
      <c r="U13" s="1910"/>
      <c r="V13" s="1871"/>
    </row>
    <row r="14" spans="1:22" s="1755" customFormat="1" ht="13.15" customHeight="1">
      <c r="A14" s="1804" t="s">
        <v>1493</v>
      </c>
      <c r="B14" s="3683" t="s">
        <v>1494</v>
      </c>
      <c r="C14" s="3684"/>
      <c r="D14" s="1807">
        <f>ROUND(E14*B5/10000,0)</f>
        <v>0</v>
      </c>
      <c r="E14" s="1812"/>
      <c r="F14" s="1799" t="s">
        <v>1495</v>
      </c>
      <c r="G14" s="1800"/>
      <c r="H14" s="1774"/>
      <c r="I14" s="1871"/>
      <c r="J14" s="3687"/>
      <c r="K14" s="3692"/>
      <c r="L14" s="1884" t="s">
        <v>1496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1497</v>
      </c>
      <c r="B15" s="3683" t="s">
        <v>1498</v>
      </c>
      <c r="C15" s="3684"/>
      <c r="D15" s="1807">
        <f>ROUND(D6*E15,0)</f>
        <v>0</v>
      </c>
      <c r="E15" s="1808">
        <v>5.5E-2</v>
      </c>
      <c r="F15" s="1799" t="s">
        <v>1499</v>
      </c>
      <c r="G15" s="1786"/>
      <c r="H15" s="1774"/>
      <c r="I15" s="1871"/>
      <c r="J15" s="3687">
        <v>2</v>
      </c>
      <c r="K15" s="3690" t="s">
        <v>1500</v>
      </c>
      <c r="L15" s="1881" t="s">
        <v>1501</v>
      </c>
      <c r="M15" s="1882" t="s">
        <v>1502</v>
      </c>
      <c r="N15" s="1882" t="s">
        <v>1503</v>
      </c>
      <c r="O15" s="1883" t="s">
        <v>1504</v>
      </c>
      <c r="P15" s="1883" t="s">
        <v>1466</v>
      </c>
      <c r="Q15" s="1779" t="s">
        <v>124</v>
      </c>
      <c r="R15" s="1919" t="s">
        <v>1467</v>
      </c>
      <c r="S15" s="1910"/>
      <c r="T15" s="1910"/>
      <c r="U15" s="1910"/>
      <c r="V15" s="1871"/>
    </row>
    <row r="16" spans="1:22" s="1755" customFormat="1" ht="13.15" customHeight="1">
      <c r="A16" s="1804" t="s">
        <v>1505</v>
      </c>
      <c r="B16" s="3683" t="s">
        <v>1506</v>
      </c>
      <c r="C16" s="3684"/>
      <c r="D16" s="1813">
        <f>D6*E16</f>
        <v>0</v>
      </c>
      <c r="E16" s="1814"/>
      <c r="F16" s="1802" t="s">
        <v>1507</v>
      </c>
      <c r="G16" s="1786"/>
      <c r="H16" s="1774"/>
      <c r="I16" s="1871"/>
      <c r="J16" s="3687"/>
      <c r="K16" s="3691"/>
      <c r="L16" s="1881" t="s">
        <v>1508</v>
      </c>
      <c r="M16" s="1882"/>
      <c r="N16" s="1882"/>
      <c r="O16" s="1883"/>
      <c r="P16" s="1812">
        <v>365</v>
      </c>
      <c r="Q16" s="1779"/>
      <c r="R16" s="1919">
        <f>ROUND(M16*N16*O16*P16/10000,0)</f>
        <v>0</v>
      </c>
      <c r="S16" s="1910"/>
      <c r="T16" s="1910"/>
      <c r="U16" s="1910"/>
      <c r="V16" s="1871"/>
    </row>
    <row r="17" spans="1:22" s="1755" customFormat="1" ht="13.15" customHeight="1">
      <c r="A17" s="1815">
        <v>4</v>
      </c>
      <c r="B17" s="3685" t="s">
        <v>1509</v>
      </c>
      <c r="C17" s="3686"/>
      <c r="D17" s="1816">
        <f>ROUND(D6*E17,0)</f>
        <v>0</v>
      </c>
      <c r="E17" s="1817"/>
      <c r="F17" s="1818" t="s">
        <v>1510</v>
      </c>
      <c r="G17" s="1786"/>
      <c r="H17" s="1774"/>
      <c r="I17" s="1871"/>
      <c r="J17" s="3687"/>
      <c r="K17" s="3691"/>
      <c r="L17" s="1881" t="s">
        <v>1511</v>
      </c>
      <c r="M17" s="1882"/>
      <c r="N17" s="1882"/>
      <c r="O17" s="1883"/>
      <c r="P17" s="1812">
        <v>365</v>
      </c>
      <c r="Q17" s="1779"/>
      <c r="R17" s="1919">
        <f>ROUND(M17*N17*O17*P17/10000,0)</f>
        <v>0</v>
      </c>
      <c r="S17" s="1910"/>
      <c r="T17" s="1910"/>
      <c r="U17" s="1910"/>
      <c r="V17" s="1871"/>
    </row>
    <row r="18" spans="1:22" s="1755" customFormat="1" ht="13.15" customHeight="1">
      <c r="A18" s="1787" t="s">
        <v>1512</v>
      </c>
      <c r="B18" s="1788"/>
      <c r="C18" s="1788"/>
      <c r="D18" s="1819">
        <f>ROUND(D6*E18,0)</f>
        <v>0</v>
      </c>
      <c r="E18" s="1820"/>
      <c r="F18" s="1821" t="s">
        <v>1513</v>
      </c>
      <c r="G18" s="1786"/>
      <c r="H18" s="1774"/>
      <c r="I18" s="1871"/>
      <c r="J18" s="3687"/>
      <c r="K18" s="3691"/>
      <c r="L18" s="1881" t="s">
        <v>1514</v>
      </c>
      <c r="M18" s="1882"/>
      <c r="N18" s="1882"/>
      <c r="O18" s="1883"/>
      <c r="P18" s="1812">
        <v>365</v>
      </c>
      <c r="Q18" s="1779"/>
      <c r="R18" s="1919">
        <f>ROUND(M18*N18*O18*P18/10000,0)</f>
        <v>0</v>
      </c>
      <c r="S18" s="1910"/>
      <c r="T18" s="1910"/>
      <c r="U18" s="1910"/>
      <c r="V18" s="1871"/>
    </row>
    <row r="19" spans="1:22" s="1755" customFormat="1" ht="13.15" customHeight="1">
      <c r="A19" s="1822" t="s">
        <v>1515</v>
      </c>
      <c r="B19" s="1784"/>
      <c r="C19" s="1784"/>
      <c r="D19" s="1784"/>
      <c r="E19" s="1784"/>
      <c r="F19" s="1785"/>
      <c r="G19" s="1800"/>
      <c r="H19" s="1774"/>
      <c r="I19" s="1871"/>
      <c r="J19" s="3687"/>
      <c r="K19" s="3692"/>
      <c r="L19" s="1884" t="s">
        <v>1496</v>
      </c>
      <c r="M19" s="1885"/>
      <c r="N19" s="1885">
        <f>SUM(N16:N18)</f>
        <v>0</v>
      </c>
      <c r="O19" s="1886"/>
      <c r="P19" s="1887" t="s">
        <v>1516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87">
        <v>3</v>
      </c>
      <c r="K20" s="3690" t="s">
        <v>1517</v>
      </c>
      <c r="L20" s="1881" t="s">
        <v>1518</v>
      </c>
      <c r="M20" s="1882" t="s">
        <v>1519</v>
      </c>
      <c r="N20" s="1888" t="s">
        <v>1520</v>
      </c>
      <c r="O20" s="1883" t="s">
        <v>1521</v>
      </c>
      <c r="P20" s="1812" t="s">
        <v>1466</v>
      </c>
      <c r="Q20" s="1779" t="s">
        <v>124</v>
      </c>
      <c r="R20" s="1919" t="s">
        <v>1467</v>
      </c>
      <c r="S20" s="1907"/>
      <c r="T20" s="1907"/>
      <c r="U20" s="1907"/>
      <c r="V20" s="1871"/>
    </row>
    <row r="21" spans="1:22" s="1755" customFormat="1" ht="13.15" customHeight="1">
      <c r="A21" s="1787"/>
      <c r="B21" s="1788"/>
      <c r="C21" s="1795" t="s">
        <v>1522</v>
      </c>
      <c r="D21" s="1824" t="s">
        <v>1523</v>
      </c>
      <c r="E21" s="1796" t="s">
        <v>1524</v>
      </c>
      <c r="F21" s="1823"/>
      <c r="G21" s="1800"/>
      <c r="H21" s="1774"/>
      <c r="I21" s="1871"/>
      <c r="J21" s="3687"/>
      <c r="K21" s="3691"/>
      <c r="L21" s="1881" t="s">
        <v>1525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1526</v>
      </c>
      <c r="D22" s="1826" t="s">
        <v>1527</v>
      </c>
      <c r="E22" s="1827" t="s">
        <v>1528</v>
      </c>
      <c r="F22" s="1823"/>
      <c r="G22" s="1828"/>
      <c r="H22" s="1774"/>
      <c r="I22" s="1871"/>
      <c r="J22" s="3687"/>
      <c r="K22" s="3691"/>
      <c r="L22" s="1881" t="s">
        <v>1529</v>
      </c>
      <c r="M22" s="1882"/>
      <c r="N22" s="1882"/>
      <c r="O22" s="1883"/>
      <c r="P22" s="1812">
        <v>365</v>
      </c>
      <c r="Q22" s="1779"/>
      <c r="R22" s="1921">
        <f>ROUND(M22*N22*O22*P22/10000,0)</f>
        <v>0</v>
      </c>
      <c r="S22" s="1907"/>
      <c r="T22" s="1907"/>
      <c r="U22" s="1907"/>
      <c r="V22" s="1871"/>
    </row>
    <row r="23" spans="1:22" s="1755" customFormat="1" ht="13.15" customHeight="1">
      <c r="A23" s="1829">
        <v>1</v>
      </c>
      <c r="B23" s="1830" t="s">
        <v>1530</v>
      </c>
      <c r="C23" s="1831">
        <f>D6</f>
        <v>0</v>
      </c>
      <c r="D23" s="1832">
        <f>C23*(1+D24)</f>
        <v>0</v>
      </c>
      <c r="E23" s="1833">
        <f>D23*(1+E24)</f>
        <v>0</v>
      </c>
      <c r="F23" s="1834"/>
      <c r="G23" s="1835"/>
      <c r="H23" s="1774"/>
      <c r="I23" s="1871"/>
      <c r="J23" s="3687"/>
      <c r="K23" s="3691"/>
      <c r="L23" s="1881" t="s">
        <v>1531</v>
      </c>
      <c r="M23" s="1882"/>
      <c r="N23" s="1882"/>
      <c r="O23" s="1883"/>
      <c r="P23" s="1812">
        <v>365</v>
      </c>
      <c r="Q23" s="1779"/>
      <c r="R23" s="1921">
        <f>ROUND(M23*N23*O23*P23/10000,0)</f>
        <v>0</v>
      </c>
      <c r="S23" s="1910"/>
      <c r="T23" s="1910"/>
      <c r="U23" s="1910"/>
      <c r="V23" s="1871"/>
    </row>
    <row r="24" spans="1:22" s="1755" customFormat="1" ht="13.15" customHeight="1">
      <c r="A24" s="1836"/>
      <c r="B24" s="1837" t="s">
        <v>1532</v>
      </c>
      <c r="C24" s="1838"/>
      <c r="D24" s="1839"/>
      <c r="E24" s="1840"/>
      <c r="F24" s="1841"/>
      <c r="G24" s="1835"/>
      <c r="H24" s="1774"/>
      <c r="I24" s="1871"/>
      <c r="J24" s="3687"/>
      <c r="K24" s="3692"/>
      <c r="L24" s="1884" t="s">
        <v>1496</v>
      </c>
      <c r="M24" s="1885">
        <f>SUM(M21:M23)</f>
        <v>0</v>
      </c>
      <c r="N24" s="1885"/>
      <c r="O24" s="1886"/>
      <c r="P24" s="1887" t="s">
        <v>1516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1533</v>
      </c>
      <c r="L25" s="1890"/>
      <c r="M25" s="1890"/>
      <c r="N25" s="1890"/>
      <c r="O25" s="1890"/>
      <c r="P25" s="1891"/>
      <c r="Q25" s="1922">
        <v>0</v>
      </c>
      <c r="R25" s="1920">
        <f>ROUND(R14*Q25,0)</f>
        <v>0</v>
      </c>
      <c r="S25" s="1910"/>
      <c r="T25" s="1910"/>
      <c r="U25" s="1910"/>
      <c r="V25" s="1897"/>
    </row>
    <row r="26" spans="1:22" s="1756" customFormat="1" ht="13.15" customHeight="1">
      <c r="A26" s="1829">
        <v>2</v>
      </c>
      <c r="B26" s="1830" t="s">
        <v>1534</v>
      </c>
      <c r="C26" s="1831">
        <f>D7</f>
        <v>0</v>
      </c>
      <c r="D26" s="1832">
        <f>D23*D27</f>
        <v>0</v>
      </c>
      <c r="E26" s="1833">
        <f>E23*E27</f>
        <v>0</v>
      </c>
      <c r="F26" s="1834"/>
      <c r="G26" s="1835"/>
      <c r="H26" s="1774"/>
      <c r="I26" s="1871"/>
      <c r="J26" s="3688">
        <v>5</v>
      </c>
      <c r="K26" s="1892" t="s">
        <v>1535</v>
      </c>
      <c r="L26" s="1893"/>
      <c r="M26" s="1894"/>
      <c r="N26" s="1895" t="s">
        <v>456</v>
      </c>
      <c r="O26" s="1895" t="s">
        <v>1536</v>
      </c>
      <c r="P26" s="1896" t="s">
        <v>1537</v>
      </c>
      <c r="Q26" s="1896" t="s">
        <v>1538</v>
      </c>
      <c r="R26" s="1914" t="s">
        <v>1467</v>
      </c>
      <c r="S26" s="1923"/>
      <c r="T26" s="1923"/>
      <c r="U26" s="1923"/>
      <c r="V26" s="1897"/>
    </row>
    <row r="27" spans="1:22" s="1755" customFormat="1" ht="13.15" customHeight="1">
      <c r="A27" s="1836"/>
      <c r="B27" s="1837" t="s">
        <v>1539</v>
      </c>
      <c r="C27" s="1842" t="e">
        <f>E7</f>
        <v>#DIV/0!</v>
      </c>
      <c r="D27" s="1839"/>
      <c r="E27" s="1840"/>
      <c r="F27" s="1841"/>
      <c r="G27" s="1835"/>
      <c r="H27" s="1843"/>
      <c r="I27" s="1897"/>
      <c r="J27" s="3689"/>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1540</v>
      </c>
      <c r="F28" s="1841"/>
      <c r="G28" s="1828"/>
      <c r="H28" s="1843"/>
      <c r="I28" s="1897"/>
      <c r="J28" s="1902">
        <v>6</v>
      </c>
      <c r="K28" s="1903" t="s">
        <v>1541</v>
      </c>
      <c r="L28" s="1904" t="s">
        <v>1542</v>
      </c>
      <c r="M28" s="1905"/>
      <c r="N28" s="1904" t="s">
        <v>1543</v>
      </c>
      <c r="O28" s="1906"/>
      <c r="P28" s="1904" t="s">
        <v>1544</v>
      </c>
      <c r="Q28" s="1925">
        <v>1.4999999999999999E-2</v>
      </c>
      <c r="R28" s="1926"/>
      <c r="S28" s="1907"/>
      <c r="T28" s="1907"/>
      <c r="U28" s="1907"/>
      <c r="V28" s="1897"/>
    </row>
    <row r="29" spans="1:22" s="1756" customFormat="1" ht="13.15" customHeight="1">
      <c r="A29" s="1829">
        <v>3</v>
      </c>
      <c r="B29" s="1830" t="s">
        <v>1545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1539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1546</v>
      </c>
      <c r="K31" s="1870"/>
      <c r="L31" s="1870"/>
      <c r="M31" s="1870"/>
      <c r="N31" s="1870"/>
      <c r="O31" s="1870"/>
      <c r="P31" s="1870"/>
      <c r="Q31" s="1870"/>
      <c r="R31" s="1909"/>
      <c r="S31" s="1907"/>
      <c r="T31" s="1910"/>
      <c r="U31" s="1910"/>
      <c r="V31" s="1897"/>
    </row>
    <row r="32" spans="1:22" s="1756" customFormat="1" ht="13.15" customHeight="1">
      <c r="A32" s="1829">
        <v>4</v>
      </c>
      <c r="B32" s="1830" t="s">
        <v>1547</v>
      </c>
      <c r="C32" s="1831">
        <f>C23-C26-C29</f>
        <v>0</v>
      </c>
      <c r="D32" s="1832">
        <f>D23-D26-D29</f>
        <v>0</v>
      </c>
      <c r="E32" s="1833">
        <f>E23-E26-E29</f>
        <v>0</v>
      </c>
      <c r="F32" s="1834"/>
      <c r="G32" s="1828"/>
      <c r="H32" s="1774"/>
      <c r="I32" s="1871"/>
      <c r="J32" s="3674" t="s">
        <v>1445</v>
      </c>
      <c r="K32" s="3675"/>
      <c r="L32" s="1872" t="s">
        <v>1446</v>
      </c>
      <c r="M32" s="1872" t="s">
        <v>1447</v>
      </c>
      <c r="N32" s="1872" t="s">
        <v>1448</v>
      </c>
      <c r="O32" s="1872" t="s">
        <v>1449</v>
      </c>
      <c r="P32" s="1872" t="s">
        <v>1450</v>
      </c>
      <c r="Q32" s="1911" t="s">
        <v>1451</v>
      </c>
      <c r="R32" s="1927" t="s">
        <v>1452</v>
      </c>
      <c r="S32" s="1907"/>
      <c r="T32" s="1910"/>
      <c r="U32" s="1910"/>
      <c r="V32" s="1897"/>
    </row>
    <row r="33" spans="1:23" s="1755" customFormat="1" ht="13.15" customHeight="1">
      <c r="A33" s="1829"/>
      <c r="B33" s="1830"/>
      <c r="C33" s="1831"/>
      <c r="D33" s="1846"/>
      <c r="E33" s="1806"/>
      <c r="F33" s="1834"/>
      <c r="G33" s="1828"/>
      <c r="H33" s="1843"/>
      <c r="I33" s="1897"/>
      <c r="J33" s="3676" t="s">
        <v>1453</v>
      </c>
      <c r="K33" s="3677"/>
      <c r="L33" s="1873"/>
      <c r="M33" s="1873"/>
      <c r="N33" s="1873"/>
      <c r="O33" s="1873"/>
      <c r="P33" s="1873"/>
      <c r="Q33" s="1913"/>
      <c r="R33" s="1928">
        <f>SUM(L33:Q33)</f>
        <v>0</v>
      </c>
      <c r="S33" s="1907"/>
      <c r="T33" s="1910"/>
      <c r="U33" s="1910"/>
      <c r="V33" s="1871"/>
    </row>
    <row r="34" spans="1:23" s="1755" customFormat="1" ht="13.15" customHeight="1">
      <c r="A34" s="1829">
        <v>5</v>
      </c>
      <c r="B34" s="1830" t="s">
        <v>1548</v>
      </c>
      <c r="C34" s="1847"/>
      <c r="D34" s="1848"/>
      <c r="E34" s="1849"/>
      <c r="F34" s="1834"/>
      <c r="G34" s="1828"/>
      <c r="H34" s="1843"/>
      <c r="I34" s="1897"/>
      <c r="J34" s="3676" t="s">
        <v>1455</v>
      </c>
      <c r="K34" s="3677"/>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1549</v>
      </c>
      <c r="C35" s="1850"/>
      <c r="D35" s="1851"/>
      <c r="E35" s="1852"/>
      <c r="F35" s="1834"/>
      <c r="G35" s="1853"/>
      <c r="H35" s="1774"/>
      <c r="I35" s="1897"/>
      <c r="J35" s="1875" t="s">
        <v>1457</v>
      </c>
      <c r="K35" s="1876"/>
      <c r="L35" s="1876"/>
      <c r="M35" s="1877"/>
      <c r="N35" s="1877"/>
      <c r="O35" s="1877"/>
      <c r="P35" s="1877"/>
      <c r="Q35" s="1877"/>
      <c r="R35" s="1930">
        <f>R40+R41+R43</f>
        <v>0</v>
      </c>
      <c r="S35" s="1907"/>
      <c r="T35" s="1910" t="s">
        <v>1458</v>
      </c>
      <c r="U35" s="1910"/>
      <c r="V35" s="1871"/>
    </row>
    <row r="36" spans="1:23" s="1755" customFormat="1" ht="13.15" customHeight="1">
      <c r="A36" s="1829">
        <v>7</v>
      </c>
      <c r="B36" s="1854" t="s">
        <v>1550</v>
      </c>
      <c r="C36" s="1855"/>
      <c r="D36" s="1856"/>
      <c r="E36" s="1857"/>
      <c r="F36" s="1858">
        <f>C36+D36+E36</f>
        <v>0</v>
      </c>
      <c r="G36" s="1828"/>
      <c r="H36" s="1774"/>
      <c r="I36" s="1871"/>
      <c r="J36" s="3687">
        <v>1</v>
      </c>
      <c r="K36" s="3690" t="s">
        <v>1551</v>
      </c>
      <c r="L36" s="1879"/>
      <c r="M36" s="1880"/>
      <c r="N36" s="1880"/>
      <c r="O36" s="1880"/>
      <c r="P36" s="1880"/>
      <c r="Q36" s="1880"/>
      <c r="R36" s="1914" t="s">
        <v>1467</v>
      </c>
      <c r="S36" s="1907"/>
      <c r="T36" s="1910" t="s">
        <v>1468</v>
      </c>
      <c r="U36" s="1910"/>
      <c r="V36" s="1871"/>
    </row>
    <row r="37" spans="1:23" s="1755" customFormat="1" ht="13.15" customHeight="1">
      <c r="A37" s="1829"/>
      <c r="B37" s="1830"/>
      <c r="C37" s="1830"/>
      <c r="D37" s="1830"/>
      <c r="E37" s="1830"/>
      <c r="F37" s="1834"/>
      <c r="G37" s="1828"/>
      <c r="H37" s="1774"/>
      <c r="I37" s="1871"/>
      <c r="J37" s="3687"/>
      <c r="K37" s="3691"/>
      <c r="L37" s="1881"/>
      <c r="M37" s="1882"/>
      <c r="N37" s="1779"/>
      <c r="O37" s="1883"/>
      <c r="P37" s="1883"/>
      <c r="Q37" s="1812"/>
      <c r="R37" s="1917"/>
      <c r="S37" s="1907"/>
      <c r="T37" s="1910" t="s">
        <v>1471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87"/>
      <c r="K38" s="3691"/>
      <c r="L38" s="1881"/>
      <c r="M38" s="1882"/>
      <c r="N38" s="1779"/>
      <c r="O38" s="1883"/>
      <c r="P38" s="1883"/>
      <c r="Q38" s="1812"/>
      <c r="R38" s="1917"/>
      <c r="S38" s="1907"/>
      <c r="T38" s="1910" t="s">
        <v>1478</v>
      </c>
      <c r="U38" s="1910"/>
      <c r="V38" s="1871"/>
    </row>
    <row r="39" spans="1:23" s="1755" customFormat="1" ht="13.15" customHeight="1">
      <c r="A39" s="1829">
        <v>9</v>
      </c>
      <c r="B39" s="1830" t="s">
        <v>1552</v>
      </c>
      <c r="C39" s="1807" t="e">
        <f>C38</f>
        <v>#DIV/0!</v>
      </c>
      <c r="D39" s="1830">
        <f>D38/(1+D34)^C36</f>
        <v>0</v>
      </c>
      <c r="E39" s="1830">
        <f>E38/(1+E34)^(C36+D36)</f>
        <v>0</v>
      </c>
      <c r="F39" s="1834"/>
      <c r="G39" s="1859"/>
      <c r="H39" s="1774"/>
      <c r="I39" s="1871"/>
      <c r="J39" s="3687"/>
      <c r="K39" s="3691"/>
      <c r="L39" s="1881"/>
      <c r="M39" s="1882"/>
      <c r="N39" s="1779"/>
      <c r="O39" s="1883"/>
      <c r="P39" s="1883"/>
      <c r="Q39" s="1812"/>
      <c r="R39" s="1917"/>
      <c r="S39" s="1907"/>
      <c r="T39" s="1910"/>
      <c r="U39" s="1910"/>
      <c r="V39" s="1871"/>
    </row>
    <row r="40" spans="1:23" s="1755" customFormat="1" ht="13.15" customHeight="1">
      <c r="A40" s="1860">
        <v>10</v>
      </c>
      <c r="B40" s="1830" t="s">
        <v>1553</v>
      </c>
      <c r="C40" s="1861" t="e">
        <f>C39+D39+E39</f>
        <v>#DIV/0!</v>
      </c>
      <c r="D40" s="1862"/>
      <c r="E40" s="1862"/>
      <c r="F40" s="1863"/>
      <c r="G40" s="1828"/>
      <c r="H40" s="1774"/>
      <c r="I40" s="1871"/>
      <c r="J40" s="3687"/>
      <c r="K40" s="3692"/>
      <c r="L40" s="1884" t="s">
        <v>1496</v>
      </c>
      <c r="M40" s="1885"/>
      <c r="N40" s="1885"/>
      <c r="O40" s="1886"/>
      <c r="P40" s="1886"/>
      <c r="Q40" s="1918"/>
      <c r="R40" s="1912">
        <f>SUM(R37:R39)</f>
        <v>0</v>
      </c>
      <c r="S40" s="1907"/>
      <c r="T40" s="1910"/>
      <c r="U40" s="1910"/>
      <c r="V40" s="1871"/>
    </row>
    <row r="41" spans="1:23" s="1755" customFormat="1" ht="13.15" customHeight="1">
      <c r="A41" s="1864">
        <v>11</v>
      </c>
      <c r="B41" s="1865" t="s">
        <v>1554</v>
      </c>
      <c r="C41" s="1865" t="e">
        <f>ROUND(C40*10000/B4,0)</f>
        <v>#DIV/0!</v>
      </c>
      <c r="D41" s="1866"/>
      <c r="E41" s="1866"/>
      <c r="F41" s="1867"/>
      <c r="G41" s="1868"/>
      <c r="H41" s="1774"/>
      <c r="I41" s="1871"/>
      <c r="J41" s="1878">
        <v>2</v>
      </c>
      <c r="K41" s="1889" t="s">
        <v>1533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88">
        <v>3</v>
      </c>
      <c r="K42" s="1892" t="s">
        <v>1535</v>
      </c>
      <c r="L42" s="1893"/>
      <c r="M42" s="1894"/>
      <c r="N42" s="1895" t="s">
        <v>456</v>
      </c>
      <c r="O42" s="1895" t="s">
        <v>1536</v>
      </c>
      <c r="P42" s="1896" t="s">
        <v>1537</v>
      </c>
      <c r="Q42" s="1896" t="s">
        <v>1538</v>
      </c>
      <c r="R42" s="1914" t="s">
        <v>1467</v>
      </c>
      <c r="S42" s="1923"/>
      <c r="T42" s="1923"/>
      <c r="U42" s="1910"/>
      <c r="V42" s="1871"/>
    </row>
    <row r="43" spans="1:23" ht="13.15" customHeight="1">
      <c r="A43" s="1755"/>
      <c r="B43" s="1755"/>
      <c r="C43" s="1755"/>
      <c r="D43" s="1755"/>
      <c r="E43" s="1755"/>
      <c r="F43" s="1755"/>
      <c r="I43" s="1759"/>
      <c r="J43" s="3689"/>
      <c r="K43" s="1898"/>
      <c r="L43" s="1899"/>
      <c r="M43" s="1900"/>
      <c r="N43" s="1882"/>
      <c r="O43" s="1882"/>
      <c r="P43" s="1882"/>
      <c r="Q43" s="1922"/>
      <c r="R43" s="1920">
        <f>ROUND(O43*N43*P43*(1-Q43)/10000,0)</f>
        <v>0</v>
      </c>
      <c r="S43" s="1907"/>
      <c r="T43" s="1910"/>
      <c r="V43" s="1761"/>
      <c r="W43" s="1931"/>
    </row>
    <row r="44" spans="1:23" ht="13.15" customHeight="1">
      <c r="J44" s="1902">
        <v>6</v>
      </c>
      <c r="K44" s="1903" t="s">
        <v>1541</v>
      </c>
      <c r="L44" s="1908" t="s">
        <v>1542</v>
      </c>
      <c r="M44" s="1905"/>
      <c r="N44" s="1908" t="s">
        <v>1543</v>
      </c>
      <c r="O44" s="1905"/>
      <c r="P44" s="1908" t="s">
        <v>1544</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1555</v>
      </c>
      <c r="B1" s="1732"/>
      <c r="C1" s="1732"/>
      <c r="D1" s="1732"/>
      <c r="E1" s="1733"/>
      <c r="F1" s="1734"/>
      <c r="G1" s="1735"/>
      <c r="H1" s="1735"/>
      <c r="I1" s="1735"/>
      <c r="J1" s="1735"/>
      <c r="K1" s="1735"/>
      <c r="L1" s="1735"/>
      <c r="M1" s="1735"/>
      <c r="N1" s="1735"/>
      <c r="O1" s="1735"/>
      <c r="P1" s="1735"/>
      <c r="Q1" s="1735"/>
      <c r="R1" s="1735"/>
      <c r="S1" s="1735"/>
    </row>
    <row r="2" spans="1:22" ht="15.75">
      <c r="A2" s="1736" t="s">
        <v>985</v>
      </c>
      <c r="B2" s="1737">
        <f ca="1">SUMIF(B6:B13,"&lt;&gt;#ref!",B6:B13)</f>
        <v>187.1215</v>
      </c>
      <c r="C2" s="1738" t="s">
        <v>1556</v>
      </c>
      <c r="D2" s="1739" t="s">
        <v>1557</v>
      </c>
      <c r="E2" s="1740">
        <f>SUM(E6:E13)</f>
        <v>93.61</v>
      </c>
      <c r="F2" s="1734"/>
      <c r="G2" s="1735"/>
      <c r="H2" s="1735"/>
      <c r="I2" s="1735"/>
      <c r="J2" s="1735"/>
      <c r="K2" s="1735"/>
      <c r="L2" s="1735"/>
      <c r="M2" s="1735"/>
      <c r="N2" s="1735"/>
      <c r="O2" s="1735"/>
      <c r="P2" s="1735"/>
      <c r="Q2" s="1735"/>
      <c r="R2" s="1735"/>
      <c r="S2" s="1735"/>
    </row>
    <row r="3" spans="1:22" ht="15.75">
      <c r="A3" s="1736" t="s">
        <v>987</v>
      </c>
      <c r="B3" s="1741">
        <f ca="1">ROUND(B2*10000/E2,0)</f>
        <v>19989</v>
      </c>
      <c r="C3" s="1738" t="s">
        <v>1558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1559</v>
      </c>
      <c r="B5" s="3693" t="s">
        <v>1560</v>
      </c>
      <c r="C5" s="3694"/>
      <c r="D5" s="1746"/>
      <c r="E5" s="1747" t="s">
        <v>1561</v>
      </c>
      <c r="F5" s="1748" t="s">
        <v>1562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187.1215</v>
      </c>
      <c r="C6" s="1738" t="s">
        <v>1556</v>
      </c>
      <c r="D6" s="1742"/>
      <c r="E6" s="1750">
        <f>IF(OR(A6=0,F6="否"),0,'数据-取费表'!K6+'数据-取费表'!S6)</f>
        <v>93.61</v>
      </c>
      <c r="F6" s="1751" t="s">
        <v>1563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1556</v>
      </c>
      <c r="D7" s="1742"/>
      <c r="E7" s="1750">
        <f>IF(OR(A7=0,F7="否"),0,'数据-取费表'!K7+'数据-取费表'!S7)</f>
        <v>0</v>
      </c>
      <c r="F7" s="1751" t="s">
        <v>1563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1556</v>
      </c>
      <c r="D8" s="1742"/>
      <c r="E8" s="1750">
        <f>IF(OR(A8=0,F8="否"),0,'数据-取费表'!K8+'数据-取费表'!S8)</f>
        <v>0</v>
      </c>
      <c r="F8" s="1751" t="s">
        <v>1563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1556</v>
      </c>
      <c r="D9" s="1742"/>
      <c r="E9" s="1750">
        <f>IF(OR(A9=0,F9="否"),0,'数据-取费表'!K9+'数据-取费表'!S9)</f>
        <v>0</v>
      </c>
      <c r="F9" s="1751" t="s">
        <v>1563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1556</v>
      </c>
      <c r="D10" s="1742"/>
      <c r="E10" s="1750">
        <f>IF(OR(A10=0,F10="否"),0,'数据-取费表'!K10+'数据-取费表'!S10)</f>
        <v>0</v>
      </c>
      <c r="F10" s="1751" t="s">
        <v>1563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1556</v>
      </c>
      <c r="D11" s="1742"/>
      <c r="E11" s="1750">
        <f>IF(OR(A11=0,F11="否"),0,'数据-取费表'!K11+'数据-取费表'!S11)</f>
        <v>0</v>
      </c>
      <c r="F11" s="1751" t="s">
        <v>1563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1556</v>
      </c>
      <c r="D12" s="1742"/>
      <c r="E12" s="1750">
        <f>IF(OR(A12=0,F12="否"),0,'数据-取费表'!K12+'数据-取费表'!S12)</f>
        <v>0</v>
      </c>
      <c r="F12" s="1751" t="s">
        <v>1563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1556</v>
      </c>
      <c r="D13" s="1754"/>
      <c r="E13" s="1750">
        <f>IF(OR(A13=0,F13="否"),0,'数据-取费表'!K13+'数据-取费表'!S13)</f>
        <v>0</v>
      </c>
      <c r="F13" s="1751" t="s">
        <v>1563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1564</v>
      </c>
      <c r="C1" s="1508" t="s">
        <v>1083</v>
      </c>
      <c r="D1" s="1451"/>
      <c r="E1" s="1649"/>
      <c r="F1" s="1453"/>
      <c r="G1" s="1454" t="s">
        <v>1086</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985</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987</v>
      </c>
      <c r="B3" s="1462">
        <f>IF(C2="——",C49,ROUND(B2*10000/D3,0))</f>
        <v>0</v>
      </c>
      <c r="C3" s="1461" t="s">
        <v>1087</v>
      </c>
      <c r="D3" s="1462">
        <f>IF(D1="",'数据-汇总表'!E3,SUMIF('数据-汇总表'!$C19:$C33,D1,'数据-汇总表'!$E19:$E33))</f>
        <v>93.61</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1088</v>
      </c>
      <c r="B4" s="1089"/>
      <c r="C4" s="3622" t="s">
        <v>1089</v>
      </c>
      <c r="D4" s="3623"/>
      <c r="E4" s="3624" t="s">
        <v>1090</v>
      </c>
      <c r="F4" s="3625"/>
      <c r="G4" s="3622" t="s">
        <v>1091</v>
      </c>
      <c r="H4" s="3623"/>
      <c r="I4" s="3622" t="s">
        <v>1092</v>
      </c>
      <c r="J4" s="3623"/>
      <c r="K4" s="1666"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4" t="s">
        <v>1091</v>
      </c>
      <c r="AC4" s="3654" t="s">
        <v>1092</v>
      </c>
    </row>
    <row r="5" spans="1:29" ht="15">
      <c r="A5" s="1090"/>
      <c r="B5" s="1091"/>
      <c r="C5" s="3626" t="s">
        <v>1095</v>
      </c>
      <c r="D5" s="3627"/>
      <c r="E5" s="3695" t="s">
        <v>1565</v>
      </c>
      <c r="F5" s="3629"/>
      <c r="G5" s="3626" t="s">
        <v>1566</v>
      </c>
      <c r="H5" s="3627"/>
      <c r="I5" s="3626" t="s">
        <v>1567</v>
      </c>
      <c r="J5" s="3627"/>
      <c r="K5" s="1667"/>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667"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4"/>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85.5">
      <c r="A15" s="1124" t="s">
        <v>1115</v>
      </c>
      <c r="B15" s="1417" t="s">
        <v>1161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5"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6"/>
      <c r="Q16" s="664"/>
      <c r="R16" s="1285"/>
      <c r="S16" s="1286"/>
      <c r="T16" s="1285"/>
      <c r="U16" s="1286"/>
      <c r="V16" s="1285"/>
      <c r="W16" s="1286"/>
      <c r="X16" s="1279"/>
      <c r="Y16" s="3651"/>
      <c r="Z16" s="1269"/>
      <c r="AA16" s="1296">
        <v>1</v>
      </c>
      <c r="AB16" s="1296">
        <v>1</v>
      </c>
      <c r="AC16" s="1296">
        <v>1</v>
      </c>
    </row>
    <row r="17" spans="1:29" ht="71.25">
      <c r="A17" s="1110"/>
      <c r="B17" s="1420" t="s">
        <v>1119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6"/>
      <c r="Q22" s="664"/>
      <c r="R22" s="1285"/>
      <c r="S22" s="1286"/>
      <c r="T22" s="1285"/>
      <c r="U22" s="1286"/>
      <c r="V22" s="1285"/>
      <c r="W22" s="1286"/>
      <c r="X22" s="1279"/>
      <c r="Y22" s="3651"/>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6"/>
      <c r="Q23" s="664" t="str">
        <f>B23</f>
        <v>自然及人文环境</v>
      </c>
      <c r="R23" s="1285" t="s">
        <v>1103</v>
      </c>
      <c r="S23" s="1286">
        <f>F23</f>
        <v>100</v>
      </c>
      <c r="T23" s="1285" t="s">
        <v>1103</v>
      </c>
      <c r="U23" s="1286">
        <f>H23</f>
        <v>100</v>
      </c>
      <c r="V23" s="1285" t="s">
        <v>1103</v>
      </c>
      <c r="W23" s="1286">
        <f>J23</f>
        <v>100</v>
      </c>
      <c r="X23" s="1279"/>
      <c r="Y23" s="3651"/>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1568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6"/>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51"/>
      <c r="Z25" s="1269" t="str">
        <f>Q25</f>
        <v>楼层-1</v>
      </c>
      <c r="AA25" s="1296">
        <f t="shared" ref="AA25:AA46" si="15">D25/F25</f>
        <v>1</v>
      </c>
      <c r="AB25" s="1296">
        <f t="shared" ref="AB25:AB46" si="16">D25/H25</f>
        <v>1</v>
      </c>
      <c r="AC25" s="1296">
        <f t="shared" ref="AC25:AC46" si="17">D25/J25</f>
        <v>1</v>
      </c>
    </row>
    <row r="26" spans="1:29" ht="15">
      <c r="A26" s="1110"/>
      <c r="B26" s="1107" t="s">
        <v>1569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6"/>
      <c r="Q26" s="664" t="str">
        <f t="shared" si="11"/>
        <v>朝向</v>
      </c>
      <c r="R26" s="1285" t="s">
        <v>1103</v>
      </c>
      <c r="S26" s="1286">
        <f t="shared" si="12"/>
        <v>100</v>
      </c>
      <c r="T26" s="1285" t="s">
        <v>1103</v>
      </c>
      <c r="U26" s="1286">
        <f t="shared" si="13"/>
        <v>100</v>
      </c>
      <c r="V26" s="1285" t="s">
        <v>1103</v>
      </c>
      <c r="W26" s="1286">
        <f t="shared" si="14"/>
        <v>100</v>
      </c>
      <c r="X26" s="1279"/>
      <c r="Y26" s="3651"/>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6"/>
      <c r="Q27" s="1284">
        <f t="shared" si="11"/>
        <v>111</v>
      </c>
      <c r="R27" s="1280" t="s">
        <v>1103</v>
      </c>
      <c r="S27" s="1281">
        <f t="shared" si="12"/>
        <v>100</v>
      </c>
      <c r="T27" s="1280" t="s">
        <v>1103</v>
      </c>
      <c r="U27" s="1281">
        <f t="shared" si="13"/>
        <v>100</v>
      </c>
      <c r="V27" s="1280" t="s">
        <v>1103</v>
      </c>
      <c r="W27" s="1281">
        <f t="shared" si="14"/>
        <v>100</v>
      </c>
      <c r="X27" s="1282"/>
      <c r="Y27" s="3651"/>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6"/>
      <c r="Q28" s="664">
        <f t="shared" si="11"/>
        <v>111</v>
      </c>
      <c r="R28" s="1285" t="s">
        <v>1103</v>
      </c>
      <c r="S28" s="1286">
        <f t="shared" si="12"/>
        <v>100</v>
      </c>
      <c r="T28" s="1285" t="s">
        <v>1103</v>
      </c>
      <c r="U28" s="1286">
        <f t="shared" si="13"/>
        <v>100</v>
      </c>
      <c r="V28" s="1285" t="s">
        <v>1103</v>
      </c>
      <c r="W28" s="1286">
        <f t="shared" si="14"/>
        <v>100</v>
      </c>
      <c r="X28" s="1279"/>
      <c r="Y28" s="365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6"/>
      <c r="Q29" s="664">
        <f t="shared" si="11"/>
        <v>111</v>
      </c>
      <c r="R29" s="1285" t="s">
        <v>1103</v>
      </c>
      <c r="S29" s="1286">
        <f t="shared" si="12"/>
        <v>100</v>
      </c>
      <c r="T29" s="1285" t="s">
        <v>1103</v>
      </c>
      <c r="U29" s="1286">
        <f t="shared" si="13"/>
        <v>100</v>
      </c>
      <c r="V29" s="1285" t="s">
        <v>1103</v>
      </c>
      <c r="W29" s="1286">
        <f t="shared" si="14"/>
        <v>100</v>
      </c>
      <c r="X29" s="1279"/>
      <c r="Y29" s="365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8"/>
        <v>111</v>
      </c>
      <c r="AA31" s="1296">
        <f t="shared" si="15"/>
        <v>1</v>
      </c>
      <c r="AB31" s="1296">
        <f t="shared" si="16"/>
        <v>1</v>
      </c>
      <c r="AC31" s="1296">
        <f t="shared" si="17"/>
        <v>1</v>
      </c>
    </row>
    <row r="32" spans="1:29" ht="15">
      <c r="A32" s="1124" t="s">
        <v>1131</v>
      </c>
      <c r="B32" s="1103" t="s">
        <v>1570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7" t="s">
        <v>1133</v>
      </c>
      <c r="Q32" s="664" t="str">
        <f t="shared" si="11"/>
        <v>建筑类型</v>
      </c>
      <c r="R32" s="1285" t="s">
        <v>1103</v>
      </c>
      <c r="S32" s="1286">
        <f t="shared" si="12"/>
        <v>100</v>
      </c>
      <c r="T32" s="1285" t="s">
        <v>1103</v>
      </c>
      <c r="U32" s="1286">
        <f t="shared" si="13"/>
        <v>100</v>
      </c>
      <c r="V32" s="1285" t="s">
        <v>1103</v>
      </c>
      <c r="W32" s="1286">
        <f t="shared" si="14"/>
        <v>100</v>
      </c>
      <c r="X32" s="1279"/>
      <c r="Y32" s="3652" t="s">
        <v>1133</v>
      </c>
      <c r="Z32" s="1269" t="str">
        <f t="shared" si="18"/>
        <v>建筑类型</v>
      </c>
      <c r="AA32" s="1296">
        <f t="shared" si="15"/>
        <v>1</v>
      </c>
      <c r="AB32" s="1296">
        <f t="shared" si="16"/>
        <v>1</v>
      </c>
      <c r="AC32" s="1296">
        <f t="shared" si="17"/>
        <v>1</v>
      </c>
    </row>
    <row r="33" spans="1:29" s="1071" customFormat="1" ht="15">
      <c r="A33" s="1166"/>
      <c r="B33" s="1107" t="s">
        <v>1134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8"/>
      <c r="Q33" s="1513" t="str">
        <f t="shared" si="11"/>
        <v>项目建筑规模</v>
      </c>
      <c r="R33" s="1287" t="s">
        <v>1103</v>
      </c>
      <c r="S33" s="1288" t="e">
        <f t="shared" si="12"/>
        <v>#N/A</v>
      </c>
      <c r="T33" s="1287" t="s">
        <v>1103</v>
      </c>
      <c r="U33" s="1288" t="e">
        <f t="shared" si="13"/>
        <v>#N/A</v>
      </c>
      <c r="V33" s="1287" t="s">
        <v>1103</v>
      </c>
      <c r="W33" s="1288" t="e">
        <f t="shared" si="14"/>
        <v>#N/A</v>
      </c>
      <c r="X33" s="1289"/>
      <c r="Y33" s="3652"/>
      <c r="Z33" s="1297" t="str">
        <f t="shared" si="18"/>
        <v>项目建筑规模</v>
      </c>
      <c r="AA33" s="1296" t="e">
        <f t="shared" si="15"/>
        <v>#N/A</v>
      </c>
      <c r="AB33" s="1296" t="e">
        <f t="shared" si="16"/>
        <v>#N/A</v>
      </c>
      <c r="AC33" s="1296" t="e">
        <f t="shared" si="17"/>
        <v>#N/A</v>
      </c>
    </row>
    <row r="34" spans="1:29" ht="15">
      <c r="A34" s="1161"/>
      <c r="B34" s="1107" t="s">
        <v>1135</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8"/>
      <c r="Q34" s="664" t="str">
        <f t="shared" si="11"/>
        <v>建筑结构</v>
      </c>
      <c r="R34" s="1285" t="s">
        <v>1103</v>
      </c>
      <c r="S34" s="1286">
        <f t="shared" si="12"/>
        <v>100</v>
      </c>
      <c r="T34" s="1285" t="s">
        <v>1103</v>
      </c>
      <c r="U34" s="1286">
        <f t="shared" si="13"/>
        <v>100</v>
      </c>
      <c r="V34" s="1285" t="s">
        <v>1103</v>
      </c>
      <c r="W34" s="1286">
        <f t="shared" si="14"/>
        <v>100</v>
      </c>
      <c r="X34" s="1279"/>
      <c r="Y34" s="3652"/>
      <c r="Z34" s="1269" t="str">
        <f t="shared" si="18"/>
        <v>建筑结构</v>
      </c>
      <c r="AA34" s="1296">
        <f t="shared" si="15"/>
        <v>1</v>
      </c>
      <c r="AB34" s="1296">
        <f t="shared" si="16"/>
        <v>1</v>
      </c>
      <c r="AC34" s="1296">
        <f t="shared" si="17"/>
        <v>1</v>
      </c>
    </row>
    <row r="35" spans="1:29" ht="15">
      <c r="A35" s="1161"/>
      <c r="B35" s="1107" t="s">
        <v>1571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8"/>
      <c r="Q35" s="664" t="str">
        <f t="shared" si="11"/>
        <v>建筑品质</v>
      </c>
      <c r="R35" s="1285" t="s">
        <v>1103</v>
      </c>
      <c r="S35" s="1286">
        <f t="shared" si="12"/>
        <v>100</v>
      </c>
      <c r="T35" s="1285" t="s">
        <v>1103</v>
      </c>
      <c r="U35" s="1286">
        <f t="shared" si="13"/>
        <v>100</v>
      </c>
      <c r="V35" s="1285" t="s">
        <v>1103</v>
      </c>
      <c r="W35" s="1286">
        <f t="shared" si="14"/>
        <v>100</v>
      </c>
      <c r="X35" s="1279"/>
      <c r="Y35" s="3652"/>
      <c r="Z35" s="1269" t="str">
        <f t="shared" si="18"/>
        <v>建筑品质</v>
      </c>
      <c r="AA35" s="1296">
        <f t="shared" si="15"/>
        <v>1</v>
      </c>
      <c r="AB35" s="1296">
        <f t="shared" si="16"/>
        <v>1</v>
      </c>
      <c r="AC35" s="1296">
        <f t="shared" si="17"/>
        <v>1</v>
      </c>
    </row>
    <row r="36" spans="1:29" ht="15">
      <c r="A36" s="1161"/>
      <c r="B36" s="1107" t="s">
        <v>1137</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8"/>
      <c r="Q37" s="1284" t="str">
        <f t="shared" si="11"/>
        <v>成新度</v>
      </c>
      <c r="R37" s="1280" t="s">
        <v>1103</v>
      </c>
      <c r="S37" s="1281" t="e">
        <f t="shared" si="12"/>
        <v>#N/A</v>
      </c>
      <c r="T37" s="1280" t="s">
        <v>1103</v>
      </c>
      <c r="U37" s="1281" t="e">
        <f t="shared" si="13"/>
        <v>#N/A</v>
      </c>
      <c r="V37" s="1280" t="s">
        <v>1103</v>
      </c>
      <c r="W37" s="1281" t="e">
        <f t="shared" si="14"/>
        <v>#N/A</v>
      </c>
      <c r="X37" s="1282"/>
      <c r="Y37" s="3652"/>
      <c r="Z37" s="1295" t="str">
        <f t="shared" si="18"/>
        <v>成新度</v>
      </c>
      <c r="AA37" s="1294" t="e">
        <f t="shared" si="15"/>
        <v>#N/A</v>
      </c>
      <c r="AB37" s="1294" t="e">
        <f t="shared" si="16"/>
        <v>#N/A</v>
      </c>
      <c r="AC37" s="1294" t="e">
        <f t="shared" si="17"/>
        <v>#N/A</v>
      </c>
    </row>
    <row r="38" spans="1:29" ht="15">
      <c r="A38" s="1161"/>
      <c r="B38" s="1107" t="s">
        <v>1572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8" t="s">
        <v>1133</v>
      </c>
      <c r="Q38" s="664" t="str">
        <f t="shared" si="11"/>
        <v>物业管理</v>
      </c>
      <c r="R38" s="1285" t="s">
        <v>1103</v>
      </c>
      <c r="S38" s="1286">
        <f t="shared" si="12"/>
        <v>100</v>
      </c>
      <c r="T38" s="1285" t="s">
        <v>1103</v>
      </c>
      <c r="U38" s="1286">
        <f t="shared" si="13"/>
        <v>100</v>
      </c>
      <c r="V38" s="1285" t="s">
        <v>1103</v>
      </c>
      <c r="W38" s="1286">
        <f t="shared" si="14"/>
        <v>100</v>
      </c>
      <c r="X38" s="1279"/>
      <c r="Y38" s="3652" t="s">
        <v>1133</v>
      </c>
      <c r="Z38" s="1269" t="str">
        <f t="shared" si="18"/>
        <v>物业管理</v>
      </c>
      <c r="AA38" s="1296">
        <f t="shared" si="15"/>
        <v>1</v>
      </c>
      <c r="AB38" s="1296">
        <f t="shared" si="16"/>
        <v>1</v>
      </c>
      <c r="AC38" s="1296">
        <f t="shared" si="17"/>
        <v>1</v>
      </c>
    </row>
    <row r="39" spans="1:29" ht="15">
      <c r="A39" s="1161"/>
      <c r="B39" s="1107" t="s">
        <v>1139</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8"/>
      <c r="Q39" s="664" t="str">
        <f t="shared" si="11"/>
        <v>市政基础设施</v>
      </c>
      <c r="R39" s="1285" t="s">
        <v>1103</v>
      </c>
      <c r="S39" s="1286">
        <f t="shared" si="12"/>
        <v>100</v>
      </c>
      <c r="T39" s="1285" t="s">
        <v>1103</v>
      </c>
      <c r="U39" s="1286">
        <f t="shared" si="13"/>
        <v>100</v>
      </c>
      <c r="V39" s="1285" t="s">
        <v>1103</v>
      </c>
      <c r="W39" s="1286">
        <f t="shared" si="14"/>
        <v>100</v>
      </c>
      <c r="X39" s="1279"/>
      <c r="Y39" s="3652"/>
      <c r="Z39" s="1269" t="str">
        <f t="shared" si="18"/>
        <v>市政基础设施</v>
      </c>
      <c r="AA39" s="1296">
        <f t="shared" si="15"/>
        <v>1</v>
      </c>
      <c r="AB39" s="1296">
        <f t="shared" si="16"/>
        <v>1</v>
      </c>
      <c r="AC39" s="1296">
        <f t="shared" si="17"/>
        <v>1</v>
      </c>
    </row>
    <row r="40" spans="1:29" ht="15">
      <c r="A40" s="1161"/>
      <c r="B40" s="1107" t="s">
        <v>1573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8"/>
      <c r="Q40" s="664" t="str">
        <f t="shared" si="11"/>
        <v>房型</v>
      </c>
      <c r="R40" s="1285" t="s">
        <v>1103</v>
      </c>
      <c r="S40" s="1286">
        <f t="shared" si="12"/>
        <v>100</v>
      </c>
      <c r="T40" s="1285" t="s">
        <v>1103</v>
      </c>
      <c r="U40" s="1286">
        <f t="shared" si="13"/>
        <v>100</v>
      </c>
      <c r="V40" s="1285" t="s">
        <v>1103</v>
      </c>
      <c r="W40" s="1286">
        <f t="shared" si="14"/>
        <v>100</v>
      </c>
      <c r="X40" s="1279"/>
      <c r="Y40" s="3652"/>
      <c r="Z40" s="1269" t="str">
        <f t="shared" si="18"/>
        <v>房型</v>
      </c>
      <c r="AA40" s="1296">
        <f t="shared" si="15"/>
        <v>1</v>
      </c>
      <c r="AB40" s="1296">
        <f t="shared" si="16"/>
        <v>1</v>
      </c>
      <c r="AC40" s="1296">
        <f t="shared" si="17"/>
        <v>1</v>
      </c>
    </row>
    <row r="41" spans="1:29" s="1071" customFormat="1" ht="28.5">
      <c r="A41" s="1166"/>
      <c r="B41" s="1107" t="s">
        <v>1574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8"/>
      <c r="Q41" s="1513" t="str">
        <f t="shared" si="11"/>
        <v>单套/主力户型建筑面积</v>
      </c>
      <c r="R41" s="1287" t="s">
        <v>1103</v>
      </c>
      <c r="S41" s="1288">
        <f t="shared" si="12"/>
        <v>100</v>
      </c>
      <c r="T41" s="1287" t="s">
        <v>1103</v>
      </c>
      <c r="U41" s="1288">
        <f t="shared" si="13"/>
        <v>100</v>
      </c>
      <c r="V41" s="1287" t="s">
        <v>1103</v>
      </c>
      <c r="W41" s="1288">
        <f t="shared" si="14"/>
        <v>100</v>
      </c>
      <c r="X41" s="1289"/>
      <c r="Y41" s="3652"/>
      <c r="Z41" s="1297" t="str">
        <f t="shared" si="18"/>
        <v>单套/主力户型建筑面积</v>
      </c>
      <c r="AA41" s="1296">
        <f t="shared" si="15"/>
        <v>1</v>
      </c>
      <c r="AB41" s="1296">
        <f t="shared" si="16"/>
        <v>1</v>
      </c>
      <c r="AC41" s="1296">
        <f t="shared" si="17"/>
        <v>1</v>
      </c>
    </row>
    <row r="42" spans="1:29" ht="15">
      <c r="A42" s="1161"/>
      <c r="B42" s="1107" t="s">
        <v>1146</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8"/>
      <c r="Q42" s="664" t="str">
        <f t="shared" si="11"/>
        <v>内部装修</v>
      </c>
      <c r="R42" s="1285" t="s">
        <v>1103</v>
      </c>
      <c r="S42" s="1286">
        <f t="shared" si="12"/>
        <v>100</v>
      </c>
      <c r="T42" s="1285" t="s">
        <v>1103</v>
      </c>
      <c r="U42" s="1286">
        <f t="shared" si="13"/>
        <v>100</v>
      </c>
      <c r="V42" s="1285" t="s">
        <v>1103</v>
      </c>
      <c r="W42" s="1286">
        <f t="shared" si="14"/>
        <v>100</v>
      </c>
      <c r="X42" s="1279"/>
      <c r="Y42" s="3652"/>
      <c r="Z42" s="1269" t="str">
        <f t="shared" si="18"/>
        <v>内部装修</v>
      </c>
      <c r="AA42" s="1296">
        <f t="shared" si="15"/>
        <v>1</v>
      </c>
      <c r="AB42" s="1296">
        <f t="shared" si="16"/>
        <v>1</v>
      </c>
      <c r="AC42" s="1296">
        <f t="shared" si="17"/>
        <v>1</v>
      </c>
    </row>
    <row r="43" spans="1:29" ht="15">
      <c r="A43" s="1161"/>
      <c r="B43" s="1107" t="s">
        <v>1149</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8"/>
      <c r="Q43" s="664" t="str">
        <f t="shared" si="11"/>
        <v>内部装修维护情况</v>
      </c>
      <c r="R43" s="1285" t="s">
        <v>1103</v>
      </c>
      <c r="S43" s="1286">
        <f t="shared" si="12"/>
        <v>100</v>
      </c>
      <c r="T43" s="1285" t="s">
        <v>1103</v>
      </c>
      <c r="U43" s="1286">
        <f t="shared" si="13"/>
        <v>100</v>
      </c>
      <c r="V43" s="1285" t="s">
        <v>1103</v>
      </c>
      <c r="W43" s="1286">
        <f t="shared" si="14"/>
        <v>100</v>
      </c>
      <c r="X43" s="1279"/>
      <c r="Y43" s="365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8"/>
      <c r="Q44" s="1284">
        <f t="shared" si="11"/>
        <v>111</v>
      </c>
      <c r="R44" s="1280" t="s">
        <v>1103</v>
      </c>
      <c r="S44" s="1281">
        <f t="shared" si="12"/>
        <v>100</v>
      </c>
      <c r="T44" s="1280" t="s">
        <v>1103</v>
      </c>
      <c r="U44" s="1281">
        <f t="shared" si="13"/>
        <v>100</v>
      </c>
      <c r="V44" s="1280" t="s">
        <v>1103</v>
      </c>
      <c r="W44" s="1281">
        <f t="shared" si="14"/>
        <v>100</v>
      </c>
      <c r="X44" s="1282"/>
      <c r="Y44" s="365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8"/>
      <c r="Q45" s="664">
        <f t="shared" si="11"/>
        <v>111</v>
      </c>
      <c r="R45" s="1285" t="s">
        <v>1103</v>
      </c>
      <c r="S45" s="1286">
        <f t="shared" si="12"/>
        <v>100</v>
      </c>
      <c r="T45" s="1285" t="s">
        <v>1103</v>
      </c>
      <c r="U45" s="1286">
        <f t="shared" si="13"/>
        <v>100</v>
      </c>
      <c r="V45" s="1285" t="s">
        <v>1103</v>
      </c>
      <c r="W45" s="1286">
        <f t="shared" si="14"/>
        <v>100</v>
      </c>
      <c r="X45" s="1279"/>
      <c r="Y45" s="365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8"/>
        <v>111</v>
      </c>
      <c r="AA46" s="1296">
        <f t="shared" si="15"/>
        <v>1</v>
      </c>
      <c r="AB46" s="1296">
        <f t="shared" si="16"/>
        <v>1</v>
      </c>
      <c r="AC46" s="1296">
        <f t="shared" si="17"/>
        <v>1</v>
      </c>
    </row>
    <row r="47" spans="1:29" ht="15">
      <c r="A47" s="1168" t="s">
        <v>1150</v>
      </c>
      <c r="B47" s="1488"/>
      <c r="C47" s="1489" t="s">
        <v>124</v>
      </c>
      <c r="D47" s="1490"/>
      <c r="E47" s="1491"/>
      <c r="F47" s="1492"/>
      <c r="G47" s="1493"/>
      <c r="H47" s="1494"/>
      <c r="I47" s="1491"/>
      <c r="J47" s="1494"/>
      <c r="K47" s="1674"/>
      <c r="L47" s="1261"/>
      <c r="M47" s="1185"/>
      <c r="N47" s="1237"/>
      <c r="O47" s="1185"/>
      <c r="P47" s="3638" t="str">
        <f>A47</f>
        <v>成交单价（元/平方米）</v>
      </c>
      <c r="Q47" s="3638"/>
      <c r="R47" s="3640">
        <f>E47</f>
        <v>0</v>
      </c>
      <c r="S47" s="3640"/>
      <c r="T47" s="3640">
        <f>G47</f>
        <v>0</v>
      </c>
      <c r="U47" s="3640"/>
      <c r="V47" s="3640">
        <f>I47</f>
        <v>0</v>
      </c>
      <c r="W47" s="3640"/>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675">
        <f>F48+H48+J48</f>
        <v>0</v>
      </c>
      <c r="L48" s="1261"/>
      <c r="M48" s="1185"/>
      <c r="N48" s="1185"/>
      <c r="O48" s="1185"/>
      <c r="P48" s="3638" t="str">
        <f>A48</f>
        <v>比较价值（元/平方米）</v>
      </c>
      <c r="Q48" s="3638"/>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1153</v>
      </c>
      <c r="B49" s="1183"/>
      <c r="C49" s="1658" t="e">
        <f>R49</f>
        <v>#DIV/0!</v>
      </c>
      <c r="D49" s="1498"/>
      <c r="E49" s="1498"/>
      <c r="F49" s="1498"/>
      <c r="G49" s="1498"/>
      <c r="H49" s="1498"/>
      <c r="I49" s="1498"/>
      <c r="J49" s="1498"/>
      <c r="K49" s="1676"/>
      <c r="L49" s="1261"/>
      <c r="M49" s="1185"/>
      <c r="N49" s="1185"/>
      <c r="O49" s="1185"/>
      <c r="P49" s="3641" t="str">
        <f>A49</f>
        <v>估价对象XX用房的比较价值（楼面单价，元/平方米）</v>
      </c>
      <c r="Q49" s="3642"/>
      <c r="R49" s="3643" t="e">
        <f>IF(F1="售价",ROUND(IF(D48="简单平均",AVERAGE(R48:V48),R48*F48+T48*H48+V48*J48),0),ROUND(IF(D48="简单平均",AVERAGE(R48:V48),R48*F48+T48*H48+V48*J48),1))</f>
        <v>#DIV/0!</v>
      </c>
      <c r="S49" s="3643"/>
      <c r="T49" s="3643"/>
      <c r="U49" s="3643"/>
      <c r="V49" s="3643"/>
      <c r="W49" s="364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1678"/>
      <c r="Q57" s="1608"/>
    </row>
    <row r="58" spans="1:29" s="1074" customFormat="1" ht="15">
      <c r="A58" s="1500" t="s">
        <v>1101</v>
      </c>
      <c r="B58" s="1501"/>
      <c r="C58" s="1659"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1158</v>
      </c>
      <c r="B60" s="1306"/>
      <c r="C60" s="1307"/>
      <c r="D60" s="1308"/>
      <c r="E60" s="1308"/>
      <c r="F60" s="1308"/>
      <c r="G60" s="1308"/>
      <c r="H60" s="1308"/>
      <c r="I60" s="1308"/>
      <c r="J60" s="1308"/>
      <c r="K60" s="1308"/>
      <c r="L60" s="1308"/>
      <c r="M60" s="1356"/>
      <c r="N60" s="1308"/>
      <c r="O60" s="1356"/>
      <c r="P60" s="1680"/>
      <c r="Q60" s="1608"/>
    </row>
    <row r="61" spans="1:29" s="1069" customFormat="1" ht="15">
      <c r="A61" s="1309" t="s">
        <v>1104</v>
      </c>
      <c r="B61" s="1310"/>
      <c r="C61" s="1311" t="s">
        <v>1159</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1160</v>
      </c>
      <c r="B63" s="1316" t="s">
        <v>1110</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1113</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1115</v>
      </c>
      <c r="B76" s="1316" t="s">
        <v>1161</v>
      </c>
      <c r="C76" s="1337" t="s">
        <v>1162</v>
      </c>
      <c r="D76" s="1337" t="s">
        <v>1163</v>
      </c>
      <c r="E76" s="1337" t="s">
        <v>1164</v>
      </c>
      <c r="F76" s="1337" t="s">
        <v>1165</v>
      </c>
      <c r="G76" s="1337" t="s">
        <v>1166</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1119</v>
      </c>
      <c r="C78" s="1339" t="s">
        <v>1162</v>
      </c>
      <c r="D78" s="1339" t="s">
        <v>1163</v>
      </c>
      <c r="E78" s="1339" t="s">
        <v>1164</v>
      </c>
      <c r="F78" s="1339" t="s">
        <v>1165</v>
      </c>
      <c r="G78" s="1339" t="s">
        <v>1166</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1162</v>
      </c>
      <c r="D80" s="1339" t="s">
        <v>1163</v>
      </c>
      <c r="E80" s="1339" t="s">
        <v>1164</v>
      </c>
      <c r="F80" s="1339" t="s">
        <v>1165</v>
      </c>
      <c r="G80" s="1339" t="s">
        <v>1166</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1167</v>
      </c>
      <c r="D82" s="1321" t="s">
        <v>1168</v>
      </c>
      <c r="E82" s="1321" t="s">
        <v>1169</v>
      </c>
      <c r="F82" s="1321" t="s">
        <v>1170</v>
      </c>
      <c r="G82" s="1321" t="s">
        <v>1171</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1162</v>
      </c>
      <c r="D84" s="1339" t="s">
        <v>1163</v>
      </c>
      <c r="E84" s="1339" t="s">
        <v>1164</v>
      </c>
      <c r="F84" s="1339" t="s">
        <v>1165</v>
      </c>
      <c r="G84" s="1339" t="s">
        <v>1166</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1568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1569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1131</v>
      </c>
      <c r="B100" s="1316" t="s">
        <v>1570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1135</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1137</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1572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1139</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1573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1574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1146</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1149</v>
      </c>
      <c r="C124" s="1339" t="s">
        <v>1162</v>
      </c>
      <c r="D124" s="1339" t="s">
        <v>1163</v>
      </c>
      <c r="E124" s="1339" t="s">
        <v>1164</v>
      </c>
      <c r="F124" s="1339" t="s">
        <v>1165</v>
      </c>
      <c r="G124" s="1339" t="s">
        <v>1166</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1575</v>
      </c>
    </row>
    <row r="137" spans="1:17" ht="15">
      <c r="B137" s="1694" t="s">
        <v>1576</v>
      </c>
      <c r="C137" s="1695"/>
      <c r="D137" s="1695"/>
      <c r="E137" s="1695"/>
      <c r="F137" s="1695"/>
      <c r="G137" s="1696"/>
      <c r="H137" s="1697"/>
      <c r="I137" s="1720" t="s">
        <v>1577</v>
      </c>
      <c r="J137" s="1695"/>
      <c r="K137" s="1721"/>
    </row>
    <row r="138" spans="1:17" ht="15">
      <c r="B138" s="1698"/>
      <c r="C138" s="1699" t="s">
        <v>1578</v>
      </c>
      <c r="D138" s="1699" t="s">
        <v>1579</v>
      </c>
      <c r="E138" s="1700" t="s">
        <v>1580</v>
      </c>
      <c r="F138" s="1701" t="s">
        <v>1581</v>
      </c>
      <c r="G138" s="1699" t="s">
        <v>1579</v>
      </c>
      <c r="H138" s="1702" t="s">
        <v>1580</v>
      </c>
      <c r="I138" s="1722"/>
      <c r="J138" s="1699" t="s">
        <v>1582</v>
      </c>
      <c r="K138" s="1702" t="s">
        <v>1583</v>
      </c>
    </row>
    <row r="139" spans="1:17" ht="15">
      <c r="B139" s="1703">
        <v>6</v>
      </c>
      <c r="C139" s="1704">
        <v>96</v>
      </c>
      <c r="D139" s="1705" t="s">
        <v>1584</v>
      </c>
      <c r="E139" s="1706">
        <v>100</v>
      </c>
      <c r="F139" s="1707">
        <v>102.5</v>
      </c>
      <c r="G139" s="1705" t="s">
        <v>1584</v>
      </c>
      <c r="H139" s="1708">
        <v>105</v>
      </c>
      <c r="I139" s="1723" t="s">
        <v>1585</v>
      </c>
      <c r="J139" s="1704">
        <v>20</v>
      </c>
      <c r="K139" s="1724">
        <f>C145/(J139-2)</f>
        <v>4.0555555555555553E-3</v>
      </c>
    </row>
    <row r="140" spans="1:17" ht="15">
      <c r="B140" s="1709">
        <v>5</v>
      </c>
      <c r="C140" s="1710">
        <v>100</v>
      </c>
      <c r="D140" s="1710"/>
      <c r="E140" s="1711"/>
      <c r="F140" s="1712">
        <v>102</v>
      </c>
      <c r="G140" s="1710"/>
      <c r="H140" s="1713"/>
      <c r="I140" s="1725" t="s">
        <v>1586</v>
      </c>
      <c r="J140" s="455">
        <f>ROUNDUP((J139-1)/2,0)</f>
        <v>10</v>
      </c>
      <c r="K140" s="1726">
        <v>100</v>
      </c>
    </row>
    <row r="141" spans="1:17" ht="15">
      <c r="B141" s="1709">
        <v>4</v>
      </c>
      <c r="C141" s="1710">
        <v>102</v>
      </c>
      <c r="D141" s="1710"/>
      <c r="E141" s="1711"/>
      <c r="F141" s="1712">
        <v>101.5</v>
      </c>
      <c r="G141" s="1710"/>
      <c r="H141" s="1713"/>
      <c r="I141" s="1725" t="s">
        <v>1587</v>
      </c>
      <c r="J141" s="455">
        <v>1</v>
      </c>
      <c r="K141" s="1727">
        <f>ROUND(100+(J141-J140)*K139*100,1)</f>
        <v>96.4</v>
      </c>
    </row>
    <row r="142" spans="1:17" ht="15">
      <c r="B142" s="1709">
        <v>3</v>
      </c>
      <c r="C142" s="1710">
        <v>103</v>
      </c>
      <c r="D142" s="1710"/>
      <c r="E142" s="1711"/>
      <c r="F142" s="1712">
        <v>101</v>
      </c>
      <c r="G142" s="1710"/>
      <c r="H142" s="1713"/>
      <c r="I142" s="1725" t="s">
        <v>1588</v>
      </c>
      <c r="J142" s="455">
        <f>J139</f>
        <v>20</v>
      </c>
      <c r="K142" s="1728">
        <v>95</v>
      </c>
    </row>
    <row r="143" spans="1:17" ht="15">
      <c r="B143" s="1709">
        <v>2</v>
      </c>
      <c r="C143" s="1710">
        <v>100</v>
      </c>
      <c r="D143" s="1710"/>
      <c r="E143" s="1711"/>
      <c r="F143" s="1712">
        <v>100.5</v>
      </c>
      <c r="G143" s="1710"/>
      <c r="H143" s="1713"/>
      <c r="I143" s="1725" t="s">
        <v>1589</v>
      </c>
      <c r="J143" s="1710">
        <v>15</v>
      </c>
      <c r="K143" s="1727">
        <f>ROUND(100+(J143-J140)*K139*100,1)</f>
        <v>102</v>
      </c>
    </row>
    <row r="144" spans="1:17" ht="15">
      <c r="B144" s="1709">
        <v>1</v>
      </c>
      <c r="C144" s="1710">
        <v>98</v>
      </c>
      <c r="D144" s="1714" t="s">
        <v>1590</v>
      </c>
      <c r="E144" s="1711">
        <v>102</v>
      </c>
      <c r="F144" s="1715">
        <v>100</v>
      </c>
      <c r="G144" s="1714" t="s">
        <v>1590</v>
      </c>
      <c r="H144" s="1713">
        <v>105</v>
      </c>
      <c r="I144" s="1725" t="s">
        <v>1589</v>
      </c>
      <c r="J144" s="1710">
        <v>18</v>
      </c>
      <c r="K144" s="1727">
        <f>ROUND(100+(J144-J140)*K139*100,1)</f>
        <v>103.2</v>
      </c>
    </row>
    <row r="145" spans="2:11" ht="15">
      <c r="B145" s="1716" t="s">
        <v>1591</v>
      </c>
      <c r="C145" s="1717">
        <f>ROUND(MAX(C139:C144)/MIN(C139:C144)-1,3)</f>
        <v>7.2999999999999995E-2</v>
      </c>
      <c r="D145" s="1718"/>
      <c r="E145" s="1718"/>
      <c r="F145" s="1719" t="s">
        <v>1592</v>
      </c>
      <c r="G145" s="1638"/>
      <c r="H145" s="1641"/>
      <c r="I145" s="1729" t="s">
        <v>1589</v>
      </c>
      <c r="J145" s="1730">
        <v>8</v>
      </c>
      <c r="K145" s="1731">
        <f>ROUND(100+(J145-J140)*K139*100,1)</f>
        <v>99.2</v>
      </c>
    </row>
    <row r="147" spans="2:11">
      <c r="B147" s="1693" t="s">
        <v>1593</v>
      </c>
    </row>
    <row r="148" spans="2:11">
      <c r="B148" s="1693"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1595</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1087</v>
      </c>
      <c r="D3" s="1462">
        <f>IF(D1="",'数据-汇总表'!E3,SUMIF('数据-汇总表'!$C19:$C33,D1,'数据-汇总表'!$E19:$E33))</f>
        <v>93.61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704" t="s">
        <v>1094</v>
      </c>
      <c r="Q4" s="3705"/>
      <c r="R4" s="3708" t="s">
        <v>1090</v>
      </c>
      <c r="S4" s="3709"/>
      <c r="T4" s="3708" t="s">
        <v>1091</v>
      </c>
      <c r="U4" s="3709"/>
      <c r="V4" s="3710" t="s">
        <v>1092</v>
      </c>
      <c r="W4" s="3710"/>
      <c r="X4" s="1637"/>
      <c r="Y4" s="3708" t="s">
        <v>1094</v>
      </c>
      <c r="Z4" s="3709"/>
      <c r="AA4" s="3700" t="s">
        <v>1090</v>
      </c>
      <c r="AB4" s="3700" t="s">
        <v>1091</v>
      </c>
      <c r="AC4" s="3701" t="s">
        <v>1092</v>
      </c>
    </row>
    <row r="5" spans="1:29" ht="15">
      <c r="A5" s="1090"/>
      <c r="B5" s="1091"/>
      <c r="C5" s="3626" t="s">
        <v>1095</v>
      </c>
      <c r="D5" s="3627"/>
      <c r="E5" s="3695" t="s">
        <v>1565</v>
      </c>
      <c r="F5" s="3629"/>
      <c r="G5" s="3626" t="s">
        <v>1566</v>
      </c>
      <c r="H5" s="3627"/>
      <c r="I5" s="3626" t="s">
        <v>1567</v>
      </c>
      <c r="J5" s="3627"/>
      <c r="K5" s="1235"/>
      <c r="L5" s="1236"/>
      <c r="M5" s="1237"/>
      <c r="N5" s="1237"/>
      <c r="O5" s="1237"/>
      <c r="P5" s="3706"/>
      <c r="Q5" s="3660"/>
      <c r="R5" s="3665"/>
      <c r="S5" s="3666"/>
      <c r="T5" s="3665"/>
      <c r="U5" s="3666"/>
      <c r="V5" s="3639"/>
      <c r="W5" s="3639"/>
      <c r="X5" s="1279"/>
      <c r="Y5" s="3665"/>
      <c r="Z5" s="3666"/>
      <c r="AA5" s="3655"/>
      <c r="AB5" s="3655"/>
      <c r="AC5" s="3702"/>
    </row>
    <row r="6" spans="1:29" ht="15">
      <c r="A6" s="1092"/>
      <c r="B6" s="1093"/>
      <c r="C6" s="3631" t="s">
        <v>1099</v>
      </c>
      <c r="D6" s="3632"/>
      <c r="E6" s="3633" t="s">
        <v>1099</v>
      </c>
      <c r="F6" s="3634"/>
      <c r="G6" s="3631" t="s">
        <v>1099</v>
      </c>
      <c r="H6" s="3632"/>
      <c r="I6" s="3631" t="s">
        <v>1099</v>
      </c>
      <c r="J6" s="3632"/>
      <c r="K6" s="1235" t="s">
        <v>1100</v>
      </c>
      <c r="L6" s="1236"/>
      <c r="M6" s="1237"/>
      <c r="N6" s="1237"/>
      <c r="O6" s="1237"/>
      <c r="P6" s="3707"/>
      <c r="Q6" s="3662"/>
      <c r="R6" s="3665"/>
      <c r="S6" s="3666"/>
      <c r="T6" s="3667"/>
      <c r="U6" s="3668"/>
      <c r="V6" s="3639"/>
      <c r="W6" s="3639"/>
      <c r="X6" s="1279"/>
      <c r="Y6" s="3667"/>
      <c r="Z6" s="3668"/>
      <c r="AA6" s="3656"/>
      <c r="AB6" s="3656"/>
      <c r="AC6" s="3703"/>
    </row>
    <row r="7" spans="1:29" s="1069" customFormat="1" ht="15">
      <c r="A7" s="1094" t="s">
        <v>1101</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6"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639" t="e">
        <f>D7/J7</f>
        <v>#DIV/0!</v>
      </c>
    </row>
    <row r="8" spans="1:29" s="1069" customFormat="1" ht="15">
      <c r="A8" s="1094" t="s">
        <v>1104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6" t="s">
        <v>1108</v>
      </c>
      <c r="Q8" s="3637"/>
      <c r="R8" s="1280" t="s">
        <v>1103</v>
      </c>
      <c r="S8" s="1281">
        <f t="shared" si="0"/>
        <v>100</v>
      </c>
      <c r="T8" s="1280" t="s">
        <v>1103</v>
      </c>
      <c r="U8" s="1281">
        <f t="shared" si="1"/>
        <v>100</v>
      </c>
      <c r="V8" s="1280" t="s">
        <v>1103</v>
      </c>
      <c r="W8" s="1281">
        <f t="shared" si="2"/>
        <v>100</v>
      </c>
      <c r="X8" s="1282"/>
      <c r="Y8" s="3635" t="s">
        <v>1108</v>
      </c>
      <c r="Z8" s="3637"/>
      <c r="AA8" s="1294">
        <f t="shared" ref="AA8:AA47" si="3">D8/F8</f>
        <v>1</v>
      </c>
      <c r="AB8" s="1294">
        <f t="shared" ref="AB8:AB47" si="4">D8/H8</f>
        <v>1</v>
      </c>
      <c r="AC8" s="1639">
        <f t="shared" ref="AC8:AC47" si="5">D8/J8</f>
        <v>1</v>
      </c>
    </row>
    <row r="9" spans="1:29" s="1069" customFormat="1">
      <c r="A9" s="1102" t="s">
        <v>1109</v>
      </c>
      <c r="B9" s="1103" t="s">
        <v>1110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4"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63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4"/>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63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4"/>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4"/>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4"/>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4"/>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639">
        <f t="shared" si="5"/>
        <v>1</v>
      </c>
    </row>
    <row r="15" spans="1:29" ht="71.25">
      <c r="A15" s="1124" t="s">
        <v>1115</v>
      </c>
      <c r="B15" s="1125" t="s">
        <v>1596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5" t="s">
        <v>1117</v>
      </c>
      <c r="Q15" s="664" t="str">
        <f t="shared" si="6"/>
        <v>办公集聚程度</v>
      </c>
      <c r="R15" s="1285" t="s">
        <v>1103</v>
      </c>
      <c r="S15" s="1286">
        <f t="shared" si="0"/>
        <v>100</v>
      </c>
      <c r="T15" s="1285" t="s">
        <v>1103</v>
      </c>
      <c r="U15" s="1286">
        <f t="shared" si="1"/>
        <v>100</v>
      </c>
      <c r="V15" s="1285" t="s">
        <v>1103</v>
      </c>
      <c r="W15" s="1286">
        <f t="shared" si="2"/>
        <v>100</v>
      </c>
      <c r="X15" s="1279"/>
      <c r="Y15" s="3650" t="s">
        <v>1117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6"/>
      <c r="Q16" s="664"/>
      <c r="R16" s="1285"/>
      <c r="S16" s="1286"/>
      <c r="T16" s="1285"/>
      <c r="U16" s="1286"/>
      <c r="V16" s="1285"/>
      <c r="W16" s="1286"/>
      <c r="X16" s="1279"/>
      <c r="Y16" s="3651"/>
      <c r="Z16" s="1269"/>
      <c r="AA16" s="1296">
        <v>1</v>
      </c>
      <c r="AB16" s="1296">
        <v>1</v>
      </c>
      <c r="AC16" s="1640">
        <v>1</v>
      </c>
    </row>
    <row r="17" spans="1:29" ht="71.25">
      <c r="A17" s="1110"/>
      <c r="B17" s="1134" t="s">
        <v>1119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6"/>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6"/>
      <c r="Q18" s="664"/>
      <c r="R18" s="1285"/>
      <c r="S18" s="1286"/>
      <c r="T18" s="1285"/>
      <c r="U18" s="1286"/>
      <c r="V18" s="1285"/>
      <c r="W18" s="1286"/>
      <c r="X18" s="1279"/>
      <c r="Y18" s="3651"/>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6"/>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6"/>
      <c r="Q20" s="664"/>
      <c r="R20" s="1285"/>
      <c r="S20" s="1286"/>
      <c r="T20" s="1285"/>
      <c r="U20" s="1286"/>
      <c r="V20" s="1285"/>
      <c r="W20" s="1286"/>
      <c r="X20" s="1279"/>
      <c r="Y20" s="3651"/>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6"/>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6"/>
      <c r="Q22" s="664"/>
      <c r="R22" s="1285"/>
      <c r="S22" s="1286"/>
      <c r="T22" s="1285"/>
      <c r="U22" s="1286"/>
      <c r="V22" s="1285"/>
      <c r="W22" s="1286"/>
      <c r="X22" s="1279"/>
      <c r="Y22" s="3651"/>
      <c r="Z22" s="1269"/>
      <c r="AA22" s="1296">
        <v>1</v>
      </c>
      <c r="AB22" s="1296">
        <v>1</v>
      </c>
      <c r="AC22" s="1640">
        <v>1</v>
      </c>
    </row>
    <row r="23" spans="1:29" ht="42.75">
      <c r="A23" s="1110"/>
      <c r="B23" s="1134" t="s">
        <v>1597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6"/>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6"/>
      <c r="Q24" s="664"/>
      <c r="R24" s="1285"/>
      <c r="S24" s="1286"/>
      <c r="T24" s="1285"/>
      <c r="U24" s="1286"/>
      <c r="V24" s="1285"/>
      <c r="W24" s="1286"/>
      <c r="X24" s="1279"/>
      <c r="Y24" s="3651"/>
      <c r="Z24" s="1269"/>
      <c r="AA24" s="1296">
        <v>1</v>
      </c>
      <c r="AB24" s="1296">
        <v>1</v>
      </c>
      <c r="AC24" s="1640">
        <v>1</v>
      </c>
    </row>
    <row r="25" spans="1:29" ht="27">
      <c r="A25" s="1090"/>
      <c r="B25" s="1134" t="s">
        <v>1598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6"/>
      <c r="Q25" s="664" t="str">
        <f>B25</f>
        <v>毗邻道路的类型与等级</v>
      </c>
      <c r="R25" s="1285" t="s">
        <v>1103</v>
      </c>
      <c r="S25" s="1286">
        <f>F25</f>
        <v>100</v>
      </c>
      <c r="T25" s="1285" t="s">
        <v>1103</v>
      </c>
      <c r="U25" s="1286">
        <f>H25</f>
        <v>100</v>
      </c>
      <c r="V25" s="1285" t="s">
        <v>1103</v>
      </c>
      <c r="W25" s="1286">
        <f>J25</f>
        <v>100</v>
      </c>
      <c r="X25" s="1279"/>
      <c r="Y25" s="365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6"/>
      <c r="Q26" s="664"/>
      <c r="R26" s="1285"/>
      <c r="S26" s="1286"/>
      <c r="T26" s="1285"/>
      <c r="U26" s="1286"/>
      <c r="V26" s="1285"/>
      <c r="W26" s="1286"/>
      <c r="X26" s="1279"/>
      <c r="Y26" s="3651"/>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6"/>
      <c r="Q27" s="664" t="str">
        <f t="shared" ref="Q27:Q47" si="11">B27</f>
        <v>楼层</v>
      </c>
      <c r="R27" s="1285" t="s">
        <v>1103</v>
      </c>
      <c r="S27" s="1286">
        <f>F27</f>
        <v>100</v>
      </c>
      <c r="T27" s="1285" t="s">
        <v>1103</v>
      </c>
      <c r="U27" s="1286">
        <f>H27</f>
        <v>100</v>
      </c>
      <c r="V27" s="1285" t="s">
        <v>1103</v>
      </c>
      <c r="W27" s="1286">
        <f>J27</f>
        <v>100</v>
      </c>
      <c r="X27" s="1279"/>
      <c r="Y27" s="3651"/>
      <c r="Z27" s="1269" t="str">
        <f>Q27</f>
        <v>楼层</v>
      </c>
      <c r="AA27" s="1296">
        <f t="shared" si="3"/>
        <v>1</v>
      </c>
      <c r="AB27" s="1296">
        <f t="shared" si="4"/>
        <v>1</v>
      </c>
      <c r="AC27" s="1640">
        <f t="shared" si="5"/>
        <v>1</v>
      </c>
    </row>
    <row r="28" spans="1:29" s="1069" customFormat="1" ht="15">
      <c r="A28" s="1113"/>
      <c r="B28" s="1134" t="s">
        <v>1569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6"/>
      <c r="Q28" s="1284" t="str">
        <f t="shared" si="11"/>
        <v>朝向</v>
      </c>
      <c r="R28" s="1280" t="s">
        <v>1103</v>
      </c>
      <c r="S28" s="1281">
        <f>F28</f>
        <v>100</v>
      </c>
      <c r="T28" s="1280" t="s">
        <v>1103</v>
      </c>
      <c r="U28" s="1281">
        <f>H28</f>
        <v>100</v>
      </c>
      <c r="V28" s="1280" t="s">
        <v>1103</v>
      </c>
      <c r="W28" s="1281">
        <f>J28</f>
        <v>100</v>
      </c>
      <c r="X28" s="1282"/>
      <c r="Y28" s="365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6"/>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5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6"/>
      <c r="Q30" s="664">
        <f t="shared" si="11"/>
        <v>111</v>
      </c>
      <c r="R30" s="1285" t="s">
        <v>1103</v>
      </c>
      <c r="S30" s="1286">
        <f t="shared" si="12"/>
        <v>100</v>
      </c>
      <c r="T30" s="1285" t="s">
        <v>1103</v>
      </c>
      <c r="U30" s="1286">
        <f t="shared" si="13"/>
        <v>100</v>
      </c>
      <c r="V30" s="1285" t="s">
        <v>1103</v>
      </c>
      <c r="W30" s="1286">
        <f t="shared" si="14"/>
        <v>100</v>
      </c>
      <c r="X30" s="1279"/>
      <c r="Y30" s="365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6"/>
      <c r="Q31" s="664">
        <f t="shared" si="11"/>
        <v>111</v>
      </c>
      <c r="R31" s="1285" t="s">
        <v>1103</v>
      </c>
      <c r="S31" s="1286">
        <f t="shared" si="12"/>
        <v>100</v>
      </c>
      <c r="T31" s="1285" t="s">
        <v>1103</v>
      </c>
      <c r="U31" s="1286">
        <f t="shared" si="13"/>
        <v>100</v>
      </c>
      <c r="V31" s="1285" t="s">
        <v>1103</v>
      </c>
      <c r="W31" s="1286">
        <f t="shared" si="14"/>
        <v>100</v>
      </c>
      <c r="X31" s="1279"/>
      <c r="Y31" s="365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6"/>
      <c r="Q32" s="664">
        <f t="shared" si="11"/>
        <v>111</v>
      </c>
      <c r="R32" s="1285" t="s">
        <v>1103</v>
      </c>
      <c r="S32" s="1286">
        <f t="shared" si="12"/>
        <v>100</v>
      </c>
      <c r="T32" s="1285" t="s">
        <v>1103</v>
      </c>
      <c r="U32" s="1286">
        <f t="shared" si="13"/>
        <v>100</v>
      </c>
      <c r="V32" s="1285" t="s">
        <v>1103</v>
      </c>
      <c r="W32" s="1286">
        <f t="shared" si="14"/>
        <v>100</v>
      </c>
      <c r="X32" s="1279"/>
      <c r="Y32" s="3651"/>
      <c r="Z32" s="1269">
        <f t="shared" si="15"/>
        <v>111</v>
      </c>
      <c r="AA32" s="1296">
        <f t="shared" si="3"/>
        <v>1</v>
      </c>
      <c r="AB32" s="1296">
        <f t="shared" si="4"/>
        <v>1</v>
      </c>
      <c r="AC32" s="1640">
        <f t="shared" si="5"/>
        <v>1</v>
      </c>
    </row>
    <row r="33" spans="1:29" ht="15">
      <c r="A33" s="1124" t="s">
        <v>1131</v>
      </c>
      <c r="B33" s="1103" t="s">
        <v>1570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7" t="s">
        <v>1133</v>
      </c>
      <c r="Q33" s="664" t="str">
        <f t="shared" si="11"/>
        <v>建筑类型</v>
      </c>
      <c r="R33" s="1285" t="s">
        <v>1103</v>
      </c>
      <c r="S33" s="1286">
        <f t="shared" si="12"/>
        <v>100</v>
      </c>
      <c r="T33" s="1285" t="s">
        <v>1103</v>
      </c>
      <c r="U33" s="1286">
        <f t="shared" si="13"/>
        <v>100</v>
      </c>
      <c r="V33" s="1285" t="s">
        <v>1103</v>
      </c>
      <c r="W33" s="1286">
        <f t="shared" si="14"/>
        <v>100</v>
      </c>
      <c r="X33" s="1279"/>
      <c r="Y33" s="3652" t="s">
        <v>1133</v>
      </c>
      <c r="Z33" s="1269" t="str">
        <f t="shared" si="15"/>
        <v>建筑类型</v>
      </c>
      <c r="AA33" s="1296">
        <f t="shared" si="3"/>
        <v>1</v>
      </c>
      <c r="AB33" s="1296">
        <f t="shared" si="4"/>
        <v>1</v>
      </c>
      <c r="AC33" s="1640">
        <f t="shared" si="5"/>
        <v>1</v>
      </c>
    </row>
    <row r="34" spans="1:29" s="1071" customFormat="1" ht="15">
      <c r="A34" s="1166"/>
      <c r="B34" s="1107" t="s">
        <v>1134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8"/>
      <c r="Q34" s="1513" t="str">
        <f t="shared" si="11"/>
        <v>项目建筑规模</v>
      </c>
      <c r="R34" s="1287" t="s">
        <v>1103</v>
      </c>
      <c r="S34" s="1288" t="e">
        <f t="shared" si="12"/>
        <v>#N/A</v>
      </c>
      <c r="T34" s="1287" t="s">
        <v>1103</v>
      </c>
      <c r="U34" s="1288" t="e">
        <f t="shared" si="13"/>
        <v>#N/A</v>
      </c>
      <c r="V34" s="1287" t="s">
        <v>1103</v>
      </c>
      <c r="W34" s="1288" t="e">
        <f t="shared" si="14"/>
        <v>#N/A</v>
      </c>
      <c r="X34" s="1289"/>
      <c r="Y34" s="3652"/>
      <c r="Z34" s="1297" t="str">
        <f t="shared" si="15"/>
        <v>项目建筑规模</v>
      </c>
      <c r="AA34" s="1296" t="e">
        <f t="shared" si="3"/>
        <v>#N/A</v>
      </c>
      <c r="AB34" s="1296" t="e">
        <f t="shared" si="4"/>
        <v>#N/A</v>
      </c>
      <c r="AC34" s="1640" t="e">
        <f t="shared" si="5"/>
        <v>#N/A</v>
      </c>
    </row>
    <row r="35" spans="1:29" ht="15">
      <c r="A35" s="1161"/>
      <c r="B35" s="1107" t="s">
        <v>1135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8"/>
      <c r="Q35" s="664" t="str">
        <f t="shared" si="11"/>
        <v>建筑结构</v>
      </c>
      <c r="R35" s="1285" t="s">
        <v>1103</v>
      </c>
      <c r="S35" s="1286">
        <f t="shared" si="12"/>
        <v>100</v>
      </c>
      <c r="T35" s="1285" t="s">
        <v>1103</v>
      </c>
      <c r="U35" s="1286">
        <f t="shared" si="13"/>
        <v>100</v>
      </c>
      <c r="V35" s="1285" t="s">
        <v>1103</v>
      </c>
      <c r="W35" s="1286">
        <f t="shared" si="14"/>
        <v>100</v>
      </c>
      <c r="X35" s="1279"/>
      <c r="Y35" s="3652"/>
      <c r="Z35" s="1269" t="str">
        <f t="shared" si="15"/>
        <v>建筑结构</v>
      </c>
      <c r="AA35" s="1296">
        <f t="shared" si="3"/>
        <v>1</v>
      </c>
      <c r="AB35" s="1296">
        <f t="shared" si="4"/>
        <v>1</v>
      </c>
      <c r="AC35" s="1640">
        <f t="shared" si="5"/>
        <v>1</v>
      </c>
    </row>
    <row r="36" spans="1:29" ht="15">
      <c r="A36" s="1161"/>
      <c r="B36" s="1107" t="s">
        <v>1137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8"/>
      <c r="Q36" s="664" t="str">
        <f t="shared" si="11"/>
        <v>公共部分装修</v>
      </c>
      <c r="R36" s="1285" t="s">
        <v>1103</v>
      </c>
      <c r="S36" s="1286">
        <f t="shared" si="12"/>
        <v>100</v>
      </c>
      <c r="T36" s="1285" t="s">
        <v>1103</v>
      </c>
      <c r="U36" s="1286">
        <f t="shared" si="13"/>
        <v>100</v>
      </c>
      <c r="V36" s="1285" t="s">
        <v>1103</v>
      </c>
      <c r="W36" s="1286">
        <f t="shared" si="14"/>
        <v>100</v>
      </c>
      <c r="X36" s="1279"/>
      <c r="Y36" s="3652"/>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8"/>
      <c r="Q37" s="664" t="str">
        <f t="shared" si="11"/>
        <v>成新度</v>
      </c>
      <c r="R37" s="1285" t="s">
        <v>1103</v>
      </c>
      <c r="S37" s="1286" t="e">
        <f t="shared" si="12"/>
        <v>#N/A</v>
      </c>
      <c r="T37" s="1285" t="s">
        <v>1103</v>
      </c>
      <c r="U37" s="1286" t="e">
        <f t="shared" si="13"/>
        <v>#N/A</v>
      </c>
      <c r="V37" s="1285" t="s">
        <v>1103</v>
      </c>
      <c r="W37" s="1286" t="e">
        <f t="shared" si="14"/>
        <v>#N/A</v>
      </c>
      <c r="X37" s="1279"/>
      <c r="Y37" s="3652"/>
      <c r="Z37" s="1269" t="str">
        <f t="shared" si="15"/>
        <v>成新度</v>
      </c>
      <c r="AA37" s="1296" t="e">
        <f t="shared" si="3"/>
        <v>#N/A</v>
      </c>
      <c r="AB37" s="1296" t="e">
        <f t="shared" si="4"/>
        <v>#N/A</v>
      </c>
      <c r="AC37" s="1640" t="e">
        <f t="shared" si="5"/>
        <v>#N/A</v>
      </c>
    </row>
    <row r="38" spans="1:29" s="1069" customFormat="1" ht="15">
      <c r="A38" s="1163"/>
      <c r="B38" s="1107" t="s">
        <v>1599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8"/>
      <c r="Q38" s="1284" t="str">
        <f t="shared" si="11"/>
        <v>写字楼等级</v>
      </c>
      <c r="R38" s="1280" t="s">
        <v>1103</v>
      </c>
      <c r="S38" s="1281">
        <f t="shared" si="12"/>
        <v>100</v>
      </c>
      <c r="T38" s="1280" t="s">
        <v>1103</v>
      </c>
      <c r="U38" s="1281">
        <f t="shared" si="13"/>
        <v>100</v>
      </c>
      <c r="V38" s="1280" t="s">
        <v>1103</v>
      </c>
      <c r="W38" s="1281">
        <f t="shared" si="14"/>
        <v>100</v>
      </c>
      <c r="X38" s="1282"/>
      <c r="Y38" s="3652"/>
      <c r="Z38" s="1295" t="str">
        <f t="shared" si="15"/>
        <v>写字楼等级</v>
      </c>
      <c r="AA38" s="1294">
        <f t="shared" si="3"/>
        <v>1</v>
      </c>
      <c r="AB38" s="1294">
        <f t="shared" si="4"/>
        <v>1</v>
      </c>
      <c r="AC38" s="1639">
        <f t="shared" si="5"/>
        <v>1</v>
      </c>
    </row>
    <row r="39" spans="1:29" ht="15">
      <c r="A39" s="1161"/>
      <c r="B39" s="1107" t="s">
        <v>1572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8" t="s">
        <v>1133</v>
      </c>
      <c r="Q39" s="664" t="str">
        <f t="shared" si="11"/>
        <v>物业管理</v>
      </c>
      <c r="R39" s="1285" t="s">
        <v>1103</v>
      </c>
      <c r="S39" s="1286">
        <f t="shared" si="12"/>
        <v>100</v>
      </c>
      <c r="T39" s="1285" t="s">
        <v>1103</v>
      </c>
      <c r="U39" s="1286">
        <f t="shared" si="13"/>
        <v>100</v>
      </c>
      <c r="V39" s="1285" t="s">
        <v>1103</v>
      </c>
      <c r="W39" s="1286">
        <f t="shared" si="14"/>
        <v>100</v>
      </c>
      <c r="X39" s="1279"/>
      <c r="Y39" s="3652" t="s">
        <v>1133</v>
      </c>
      <c r="Z39" s="1269" t="str">
        <f t="shared" si="15"/>
        <v>物业管理</v>
      </c>
      <c r="AA39" s="1296">
        <f t="shared" si="3"/>
        <v>1</v>
      </c>
      <c r="AB39" s="1296">
        <f t="shared" si="4"/>
        <v>1</v>
      </c>
      <c r="AC39" s="1640">
        <f t="shared" si="5"/>
        <v>1</v>
      </c>
    </row>
    <row r="40" spans="1:29" ht="15">
      <c r="A40" s="1161"/>
      <c r="B40" s="1107" t="s">
        <v>1139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8"/>
      <c r="Q40" s="664" t="str">
        <f t="shared" si="11"/>
        <v>市政基础设施</v>
      </c>
      <c r="R40" s="1285" t="s">
        <v>1103</v>
      </c>
      <c r="S40" s="1286">
        <f t="shared" si="12"/>
        <v>100</v>
      </c>
      <c r="T40" s="1285" t="s">
        <v>1103</v>
      </c>
      <c r="U40" s="1286">
        <f t="shared" si="13"/>
        <v>100</v>
      </c>
      <c r="V40" s="1285" t="s">
        <v>1103</v>
      </c>
      <c r="W40" s="1286">
        <f t="shared" si="14"/>
        <v>100</v>
      </c>
      <c r="X40" s="1279"/>
      <c r="Y40" s="3652"/>
      <c r="Z40" s="1269" t="str">
        <f t="shared" si="15"/>
        <v>市政基础设施</v>
      </c>
      <c r="AA40" s="1296">
        <f t="shared" si="3"/>
        <v>1</v>
      </c>
      <c r="AB40" s="1296">
        <f t="shared" si="4"/>
        <v>1</v>
      </c>
      <c r="AC40" s="1640">
        <f t="shared" si="5"/>
        <v>1</v>
      </c>
    </row>
    <row r="41" spans="1:29" ht="15">
      <c r="A41" s="1161"/>
      <c r="B41" s="1107" t="s">
        <v>1142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8"/>
      <c r="Q41" s="664" t="str">
        <f t="shared" si="11"/>
        <v>层高</v>
      </c>
      <c r="R41" s="1285" t="s">
        <v>1103</v>
      </c>
      <c r="S41" s="1286">
        <f t="shared" si="12"/>
        <v>100</v>
      </c>
      <c r="T41" s="1285" t="s">
        <v>1103</v>
      </c>
      <c r="U41" s="1286">
        <f t="shared" si="13"/>
        <v>100</v>
      </c>
      <c r="V41" s="1285" t="s">
        <v>1103</v>
      </c>
      <c r="W41" s="1286">
        <f t="shared" si="14"/>
        <v>100</v>
      </c>
      <c r="X41" s="1279"/>
      <c r="Y41" s="3652"/>
      <c r="Z41" s="1269" t="str">
        <f t="shared" si="15"/>
        <v>层高</v>
      </c>
      <c r="AA41" s="1296">
        <f t="shared" si="3"/>
        <v>1</v>
      </c>
      <c r="AB41" s="1296">
        <f t="shared" si="4"/>
        <v>1</v>
      </c>
      <c r="AC41" s="1640">
        <f t="shared" si="5"/>
        <v>1</v>
      </c>
    </row>
    <row r="42" spans="1:29" s="1071" customFormat="1" ht="15">
      <c r="A42" s="1166"/>
      <c r="B42" s="1264" t="s">
        <v>1600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8"/>
      <c r="Q42" s="1513" t="str">
        <f t="shared" si="11"/>
        <v>单套建筑面积</v>
      </c>
      <c r="R42" s="1287" t="s">
        <v>1103</v>
      </c>
      <c r="S42" s="1288">
        <f t="shared" si="12"/>
        <v>100</v>
      </c>
      <c r="T42" s="1287" t="s">
        <v>1103</v>
      </c>
      <c r="U42" s="1288">
        <f t="shared" si="13"/>
        <v>100</v>
      </c>
      <c r="V42" s="1287" t="s">
        <v>1103</v>
      </c>
      <c r="W42" s="1288">
        <f t="shared" si="14"/>
        <v>100</v>
      </c>
      <c r="X42" s="1289"/>
      <c r="Y42" s="3652"/>
      <c r="Z42" s="1297" t="str">
        <f t="shared" si="15"/>
        <v>单套建筑面积</v>
      </c>
      <c r="AA42" s="1296">
        <f t="shared" si="3"/>
        <v>1</v>
      </c>
      <c r="AB42" s="1296">
        <f t="shared" si="4"/>
        <v>1</v>
      </c>
      <c r="AC42" s="1640">
        <f t="shared" si="5"/>
        <v>1</v>
      </c>
    </row>
    <row r="43" spans="1:29" ht="15">
      <c r="A43" s="1161"/>
      <c r="B43" s="1107" t="s">
        <v>1146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8"/>
      <c r="Q43" s="664" t="str">
        <f t="shared" si="11"/>
        <v>内部装修</v>
      </c>
      <c r="R43" s="1285" t="s">
        <v>1103</v>
      </c>
      <c r="S43" s="1286">
        <f t="shared" si="12"/>
        <v>100</v>
      </c>
      <c r="T43" s="1285" t="s">
        <v>1103</v>
      </c>
      <c r="U43" s="1286">
        <f t="shared" si="13"/>
        <v>100</v>
      </c>
      <c r="V43" s="1285" t="s">
        <v>1103</v>
      </c>
      <c r="W43" s="1286">
        <f t="shared" si="14"/>
        <v>100</v>
      </c>
      <c r="X43" s="1279"/>
      <c r="Y43" s="3652"/>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8"/>
      <c r="Q44" s="664" t="str">
        <f t="shared" si="11"/>
        <v>内部装修维护情况</v>
      </c>
      <c r="R44" s="1285" t="s">
        <v>1103</v>
      </c>
      <c r="S44" s="1286">
        <f t="shared" si="12"/>
        <v>100</v>
      </c>
      <c r="T44" s="1285" t="s">
        <v>1103</v>
      </c>
      <c r="U44" s="1286">
        <f t="shared" si="13"/>
        <v>100</v>
      </c>
      <c r="V44" s="1285" t="s">
        <v>1103</v>
      </c>
      <c r="W44" s="1286">
        <f t="shared" si="14"/>
        <v>100</v>
      </c>
      <c r="X44" s="1279"/>
      <c r="Y44" s="365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8"/>
      <c r="Q45" s="1284">
        <f t="shared" si="11"/>
        <v>111</v>
      </c>
      <c r="R45" s="1280" t="s">
        <v>1103</v>
      </c>
      <c r="S45" s="1281">
        <f t="shared" si="12"/>
        <v>100</v>
      </c>
      <c r="T45" s="1280" t="s">
        <v>1103</v>
      </c>
      <c r="U45" s="1281">
        <f t="shared" si="13"/>
        <v>100</v>
      </c>
      <c r="V45" s="1280" t="s">
        <v>1103</v>
      </c>
      <c r="W45" s="1281">
        <f t="shared" si="14"/>
        <v>100</v>
      </c>
      <c r="X45" s="1282"/>
      <c r="Y45" s="365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8"/>
      <c r="Q46" s="664">
        <f t="shared" si="11"/>
        <v>111</v>
      </c>
      <c r="R46" s="1285" t="s">
        <v>1103</v>
      </c>
      <c r="S46" s="1286">
        <f t="shared" si="12"/>
        <v>100</v>
      </c>
      <c r="T46" s="1285" t="s">
        <v>1103</v>
      </c>
      <c r="U46" s="1286">
        <f t="shared" si="13"/>
        <v>100</v>
      </c>
      <c r="V46" s="1285" t="s">
        <v>1103</v>
      </c>
      <c r="W46" s="1286">
        <f t="shared" si="14"/>
        <v>100</v>
      </c>
      <c r="X46" s="1279"/>
      <c r="Y46" s="365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9"/>
      <c r="Q47" s="664">
        <f t="shared" si="11"/>
        <v>111</v>
      </c>
      <c r="R47" s="1285" t="s">
        <v>1103</v>
      </c>
      <c r="S47" s="1286">
        <f t="shared" si="12"/>
        <v>100</v>
      </c>
      <c r="T47" s="1285" t="s">
        <v>1103</v>
      </c>
      <c r="U47" s="1286">
        <f t="shared" si="13"/>
        <v>100</v>
      </c>
      <c r="V47" s="1285" t="s">
        <v>1103</v>
      </c>
      <c r="W47" s="1286">
        <f t="shared" si="14"/>
        <v>100</v>
      </c>
      <c r="X47" s="1279"/>
      <c r="Y47" s="3653"/>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4" t="str">
        <f>A48</f>
        <v>成交单价（元/平方米）</v>
      </c>
      <c r="Q48" s="3638"/>
      <c r="R48" s="3640">
        <f>E48</f>
        <v>0</v>
      </c>
      <c r="S48" s="3640"/>
      <c r="T48" s="3640">
        <f>G48</f>
        <v>0</v>
      </c>
      <c r="U48" s="3640"/>
      <c r="V48" s="3640">
        <f>I48</f>
        <v>0</v>
      </c>
      <c r="W48" s="3640"/>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4" t="str">
        <f>A49</f>
        <v>比较价值（元/平方米）</v>
      </c>
      <c r="Q49" s="3638"/>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1596</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1119</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1597</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1570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1572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1602</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93.61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590"/>
      <c r="M4" s="1591"/>
      <c r="N4" s="1591"/>
      <c r="O4" s="1591"/>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590"/>
      <c r="M5" s="1591"/>
      <c r="N5" s="1591"/>
      <c r="O5" s="1591"/>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590"/>
      <c r="M6" s="1591"/>
      <c r="N6" s="1591"/>
      <c r="O6" s="1591"/>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1103</v>
      </c>
      <c r="S11" s="1281">
        <f t="shared" si="0"/>
        <v>100</v>
      </c>
      <c r="T11" s="1280" t="s">
        <v>1103</v>
      </c>
      <c r="U11" s="1281">
        <f t="shared" si="1"/>
        <v>100</v>
      </c>
      <c r="V11" s="1280" t="s">
        <v>1103</v>
      </c>
      <c r="W11" s="1281">
        <f t="shared" si="2"/>
        <v>100</v>
      </c>
      <c r="X11" s="1282"/>
      <c r="Y11" s="36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57">
      <c r="A15" s="1124" t="s">
        <v>1115</v>
      </c>
      <c r="B15" s="1417" t="s">
        <v>1603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1"/>
      <c r="Q16" s="664"/>
      <c r="R16" s="1285"/>
      <c r="S16" s="1286"/>
      <c r="T16" s="1285"/>
      <c r="U16" s="1286"/>
      <c r="V16" s="1285"/>
      <c r="W16" s="1286"/>
      <c r="X16" s="1279"/>
      <c r="Y16" s="3651"/>
      <c r="Z16" s="1269"/>
      <c r="AA16" s="1296">
        <v>1</v>
      </c>
      <c r="AB16" s="1296">
        <v>1</v>
      </c>
      <c r="AC16" s="1296">
        <v>1</v>
      </c>
    </row>
    <row r="17" spans="1:29" ht="85.5">
      <c r="A17" s="1110"/>
      <c r="B17" s="1420" t="s">
        <v>1119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1"/>
      <c r="Q18" s="664"/>
      <c r="R18" s="1285"/>
      <c r="S18" s="1286"/>
      <c r="T18" s="1285"/>
      <c r="U18" s="1286"/>
      <c r="V18" s="1285"/>
      <c r="W18" s="1286"/>
      <c r="X18" s="1279"/>
      <c r="Y18" s="3651"/>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1"/>
      <c r="Q19" s="664" t="str">
        <f>B19</f>
        <v>公共配套设施</v>
      </c>
      <c r="R19" s="1285" t="s">
        <v>1103</v>
      </c>
      <c r="S19" s="1286">
        <f>F19</f>
        <v>100</v>
      </c>
      <c r="T19" s="1285" t="s">
        <v>1103</v>
      </c>
      <c r="U19" s="1286">
        <f>H19</f>
        <v>100</v>
      </c>
      <c r="V19" s="1285" t="s">
        <v>1103</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1"/>
      <c r="Q20" s="664"/>
      <c r="R20" s="1285"/>
      <c r="S20" s="1286"/>
      <c r="T20" s="1285"/>
      <c r="U20" s="1286"/>
      <c r="V20" s="1285"/>
      <c r="W20" s="1286"/>
      <c r="X20" s="1279"/>
      <c r="Y20" s="3651"/>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1"/>
      <c r="Q21" s="664" t="str">
        <f>B21</f>
        <v>基础设施水平</v>
      </c>
      <c r="R21" s="1285" t="s">
        <v>1103</v>
      </c>
      <c r="S21" s="1286">
        <f>F21</f>
        <v>100</v>
      </c>
      <c r="T21" s="1285" t="s">
        <v>1103</v>
      </c>
      <c r="U21" s="1286">
        <f>H21</f>
        <v>100</v>
      </c>
      <c r="V21" s="1285" t="s">
        <v>1103</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1"/>
      <c r="Q22" s="664"/>
      <c r="R22" s="1285"/>
      <c r="S22" s="1286"/>
      <c r="T22" s="1285"/>
      <c r="U22" s="1286"/>
      <c r="V22" s="1285"/>
      <c r="W22" s="1286"/>
      <c r="X22" s="1279"/>
      <c r="Y22" s="3651"/>
      <c r="Z22" s="1269"/>
      <c r="AA22" s="1296">
        <v>1</v>
      </c>
      <c r="AB22" s="1296">
        <v>1</v>
      </c>
      <c r="AC22" s="1296">
        <v>1</v>
      </c>
    </row>
    <row r="23" spans="1:29" ht="71.25">
      <c r="A23" s="1110"/>
      <c r="B23" s="1420" t="s">
        <v>1597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1"/>
      <c r="Q23" s="664" t="str">
        <f>B23</f>
        <v>环境质量</v>
      </c>
      <c r="R23" s="1285" t="s">
        <v>1103</v>
      </c>
      <c r="S23" s="1286">
        <f>F23</f>
        <v>100</v>
      </c>
      <c r="T23" s="1285" t="s">
        <v>1103</v>
      </c>
      <c r="U23" s="1286">
        <f>H23</f>
        <v>100</v>
      </c>
      <c r="V23" s="1285" t="s">
        <v>1103</v>
      </c>
      <c r="W23" s="1286">
        <f>J23</f>
        <v>100</v>
      </c>
      <c r="X23" s="1279"/>
      <c r="Y23" s="365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1"/>
      <c r="Q24" s="664"/>
      <c r="R24" s="1285"/>
      <c r="S24" s="1286"/>
      <c r="T24" s="1285"/>
      <c r="U24" s="1286"/>
      <c r="V24" s="1285"/>
      <c r="W24" s="1286"/>
      <c r="X24" s="1279"/>
      <c r="Y24" s="365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1"/>
      <c r="Q25" s="664">
        <f>B25</f>
        <v>111</v>
      </c>
      <c r="R25" s="1285" t="s">
        <v>1103</v>
      </c>
      <c r="S25" s="1286">
        <f>F25</f>
        <v>100</v>
      </c>
      <c r="T25" s="1285" t="s">
        <v>1103</v>
      </c>
      <c r="U25" s="1286">
        <f>H25</f>
        <v>100</v>
      </c>
      <c r="V25" s="1285" t="s">
        <v>1103</v>
      </c>
      <c r="W25" s="1286">
        <f>J25</f>
        <v>100</v>
      </c>
      <c r="X25" s="1279"/>
      <c r="Y25" s="365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1"/>
      <c r="Q26" s="664">
        <f t="shared" ref="Q26:Q40" si="11">B26</f>
        <v>111</v>
      </c>
      <c r="R26" s="1285" t="s">
        <v>1103</v>
      </c>
      <c r="S26" s="1286">
        <f>F26</f>
        <v>100</v>
      </c>
      <c r="T26" s="1285" t="s">
        <v>1103</v>
      </c>
      <c r="U26" s="1286">
        <f>H26</f>
        <v>100</v>
      </c>
      <c r="V26" s="1285" t="s">
        <v>1103</v>
      </c>
      <c r="W26" s="1286">
        <f>J26</f>
        <v>100</v>
      </c>
      <c r="X26" s="1279"/>
      <c r="Y26" s="365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1"/>
      <c r="Q27" s="1284">
        <f t="shared" si="11"/>
        <v>111</v>
      </c>
      <c r="R27" s="1280" t="s">
        <v>1103</v>
      </c>
      <c r="S27" s="1281">
        <f>F27</f>
        <v>100</v>
      </c>
      <c r="T27" s="1280" t="s">
        <v>1103</v>
      </c>
      <c r="U27" s="1281">
        <f>H27</f>
        <v>100</v>
      </c>
      <c r="V27" s="1280" t="s">
        <v>1103</v>
      </c>
      <c r="W27" s="1281">
        <f>J27</f>
        <v>100</v>
      </c>
      <c r="X27" s="1282"/>
      <c r="Y27" s="365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1"/>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51"/>
      <c r="Z28" s="1269">
        <f t="shared" ref="Z28:Z40" si="15">Q28</f>
        <v>111</v>
      </c>
      <c r="AA28" s="1296">
        <f t="shared" si="3"/>
        <v>1</v>
      </c>
      <c r="AB28" s="1296">
        <f t="shared" si="4"/>
        <v>1</v>
      </c>
      <c r="AC28" s="1296">
        <f t="shared" si="5"/>
        <v>1</v>
      </c>
    </row>
    <row r="29" spans="1:29" ht="28.5">
      <c r="A29" s="1478" t="s">
        <v>1131</v>
      </c>
      <c r="B29" s="1103" t="s">
        <v>1570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1133</v>
      </c>
      <c r="Q29" s="664" t="str">
        <f t="shared" si="11"/>
        <v>建筑类型</v>
      </c>
      <c r="R29" s="1285" t="s">
        <v>1103</v>
      </c>
      <c r="S29" s="1286">
        <f t="shared" si="12"/>
        <v>100</v>
      </c>
      <c r="T29" s="1285" t="s">
        <v>1103</v>
      </c>
      <c r="U29" s="1286">
        <f t="shared" si="13"/>
        <v>100</v>
      </c>
      <c r="V29" s="1285" t="s">
        <v>1103</v>
      </c>
      <c r="W29" s="1286">
        <f t="shared" si="14"/>
        <v>100</v>
      </c>
      <c r="X29" s="1279"/>
      <c r="Y29" s="3652" t="s">
        <v>1133</v>
      </c>
      <c r="Z29" s="1269" t="str">
        <f t="shared" si="15"/>
        <v>建筑类型</v>
      </c>
      <c r="AA29" s="1296">
        <f t="shared" si="3"/>
        <v>1</v>
      </c>
      <c r="AB29" s="1296">
        <f t="shared" si="4"/>
        <v>1</v>
      </c>
      <c r="AC29" s="1296">
        <f t="shared" si="5"/>
        <v>1</v>
      </c>
    </row>
    <row r="30" spans="1:29" s="1071" customFormat="1" ht="15">
      <c r="A30" s="1166"/>
      <c r="B30" s="1107" t="s">
        <v>1134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2"/>
      <c r="Q30" s="1513" t="str">
        <f t="shared" si="11"/>
        <v>项目建筑规模</v>
      </c>
      <c r="R30" s="1287" t="s">
        <v>1103</v>
      </c>
      <c r="S30" s="1288" t="e">
        <f t="shared" si="12"/>
        <v>#N/A</v>
      </c>
      <c r="T30" s="1287" t="s">
        <v>1103</v>
      </c>
      <c r="U30" s="1288" t="e">
        <f t="shared" si="13"/>
        <v>#N/A</v>
      </c>
      <c r="V30" s="1287" t="s">
        <v>1103</v>
      </c>
      <c r="W30" s="1288" t="e">
        <f t="shared" si="14"/>
        <v>#N/A</v>
      </c>
      <c r="X30" s="1289"/>
      <c r="Y30" s="3652"/>
      <c r="Z30" s="1297" t="str">
        <f t="shared" si="15"/>
        <v>项目建筑规模</v>
      </c>
      <c r="AA30" s="1296" t="e">
        <f t="shared" si="3"/>
        <v>#N/A</v>
      </c>
      <c r="AB30" s="1296" t="e">
        <f t="shared" si="4"/>
        <v>#N/A</v>
      </c>
      <c r="AC30" s="1296" t="e">
        <f t="shared" si="5"/>
        <v>#N/A</v>
      </c>
    </row>
    <row r="31" spans="1:29" ht="15">
      <c r="A31" s="1161"/>
      <c r="B31" s="1107" t="s">
        <v>1135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2"/>
      <c r="Q31" s="664" t="str">
        <f t="shared" si="11"/>
        <v>建筑结构</v>
      </c>
      <c r="R31" s="1285" t="s">
        <v>1103</v>
      </c>
      <c r="S31" s="1286">
        <f t="shared" si="12"/>
        <v>100</v>
      </c>
      <c r="T31" s="1285" t="s">
        <v>1103</v>
      </c>
      <c r="U31" s="1286">
        <f t="shared" si="13"/>
        <v>100</v>
      </c>
      <c r="V31" s="1285" t="s">
        <v>1103</v>
      </c>
      <c r="W31" s="1286">
        <f t="shared" si="14"/>
        <v>100</v>
      </c>
      <c r="X31" s="1279"/>
      <c r="Y31" s="3652"/>
      <c r="Z31" s="1269" t="str">
        <f t="shared" si="15"/>
        <v>建筑结构</v>
      </c>
      <c r="AA31" s="1296">
        <f t="shared" si="3"/>
        <v>1</v>
      </c>
      <c r="AB31" s="1296">
        <f t="shared" si="4"/>
        <v>1</v>
      </c>
      <c r="AC31" s="1296">
        <f t="shared" si="5"/>
        <v>1</v>
      </c>
    </row>
    <row r="32" spans="1:29" ht="15">
      <c r="A32" s="1161"/>
      <c r="B32" s="1107" t="s">
        <v>1137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2"/>
      <c r="Q32" s="664" t="str">
        <f t="shared" si="11"/>
        <v>公共部分装修</v>
      </c>
      <c r="R32" s="1285" t="s">
        <v>1103</v>
      </c>
      <c r="S32" s="1286">
        <f t="shared" si="12"/>
        <v>100</v>
      </c>
      <c r="T32" s="1285" t="s">
        <v>1103</v>
      </c>
      <c r="U32" s="1286">
        <f t="shared" si="13"/>
        <v>100</v>
      </c>
      <c r="V32" s="1285" t="s">
        <v>1103</v>
      </c>
      <c r="W32" s="1286">
        <f t="shared" si="14"/>
        <v>100</v>
      </c>
      <c r="X32" s="1279"/>
      <c r="Y32" s="3652"/>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2"/>
      <c r="Q33" s="664" t="str">
        <f t="shared" si="11"/>
        <v>成新度</v>
      </c>
      <c r="R33" s="1285" t="s">
        <v>1103</v>
      </c>
      <c r="S33" s="1286" t="e">
        <f t="shared" si="12"/>
        <v>#N/A</v>
      </c>
      <c r="T33" s="1285" t="s">
        <v>1103</v>
      </c>
      <c r="U33" s="1286" t="e">
        <f t="shared" si="13"/>
        <v>#N/A</v>
      </c>
      <c r="V33" s="1285" t="s">
        <v>1103</v>
      </c>
      <c r="W33" s="1286" t="e">
        <f t="shared" si="14"/>
        <v>#N/A</v>
      </c>
      <c r="X33" s="1279"/>
      <c r="Y33" s="3652"/>
      <c r="Z33" s="1269" t="str">
        <f t="shared" si="15"/>
        <v>成新度</v>
      </c>
      <c r="AA33" s="1296" t="e">
        <f t="shared" si="3"/>
        <v>#N/A</v>
      </c>
      <c r="AB33" s="1296" t="e">
        <f t="shared" si="4"/>
        <v>#N/A</v>
      </c>
      <c r="AC33" s="1296" t="e">
        <f t="shared" si="5"/>
        <v>#N/A</v>
      </c>
    </row>
    <row r="34" spans="1:29" s="1069" customFormat="1" ht="15">
      <c r="A34" s="1163"/>
      <c r="B34" s="1107" t="s">
        <v>1572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2"/>
      <c r="Q34" s="1284" t="str">
        <f t="shared" si="11"/>
        <v>物业管理</v>
      </c>
      <c r="R34" s="1280" t="s">
        <v>1103</v>
      </c>
      <c r="S34" s="1281">
        <f t="shared" si="12"/>
        <v>100</v>
      </c>
      <c r="T34" s="1280" t="s">
        <v>1103</v>
      </c>
      <c r="U34" s="1281">
        <f t="shared" si="13"/>
        <v>100</v>
      </c>
      <c r="V34" s="1280" t="s">
        <v>1103</v>
      </c>
      <c r="W34" s="1281">
        <f t="shared" si="14"/>
        <v>100</v>
      </c>
      <c r="X34" s="1282"/>
      <c r="Y34" s="3652"/>
      <c r="Z34" s="1295" t="str">
        <f t="shared" si="15"/>
        <v>物业管理</v>
      </c>
      <c r="AA34" s="1294">
        <f t="shared" si="3"/>
        <v>1</v>
      </c>
      <c r="AB34" s="1294">
        <f t="shared" si="4"/>
        <v>1</v>
      </c>
      <c r="AC34" s="1294">
        <f t="shared" si="5"/>
        <v>1</v>
      </c>
    </row>
    <row r="35" spans="1:29" ht="15">
      <c r="A35" s="1161"/>
      <c r="B35" s="1107" t="s">
        <v>1139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2" t="s">
        <v>1133</v>
      </c>
      <c r="Q35" s="664" t="str">
        <f t="shared" si="11"/>
        <v>市政基础设施</v>
      </c>
      <c r="R35" s="1285" t="s">
        <v>1103</v>
      </c>
      <c r="S35" s="1286">
        <f t="shared" si="12"/>
        <v>100</v>
      </c>
      <c r="T35" s="1285" t="s">
        <v>1103</v>
      </c>
      <c r="U35" s="1286">
        <f t="shared" si="13"/>
        <v>100</v>
      </c>
      <c r="V35" s="1285" t="s">
        <v>1103</v>
      </c>
      <c r="W35" s="1286">
        <f t="shared" si="14"/>
        <v>100</v>
      </c>
      <c r="X35" s="1279"/>
      <c r="Y35" s="3652" t="s">
        <v>1133</v>
      </c>
      <c r="Z35" s="1269" t="str">
        <f t="shared" si="15"/>
        <v>市政基础设施</v>
      </c>
      <c r="AA35" s="1296">
        <f t="shared" si="3"/>
        <v>1</v>
      </c>
      <c r="AB35" s="1296">
        <f t="shared" si="4"/>
        <v>1</v>
      </c>
      <c r="AC35" s="1296">
        <f t="shared" si="5"/>
        <v>1</v>
      </c>
    </row>
    <row r="36" spans="1:29" ht="15">
      <c r="A36" s="1161"/>
      <c r="B36" s="1107" t="s">
        <v>1146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2"/>
      <c r="Q36" s="664" t="str">
        <f t="shared" si="11"/>
        <v>内部装修</v>
      </c>
      <c r="R36" s="1285" t="s">
        <v>1103</v>
      </c>
      <c r="S36" s="1286">
        <f t="shared" si="12"/>
        <v>100</v>
      </c>
      <c r="T36" s="1285" t="s">
        <v>1103</v>
      </c>
      <c r="U36" s="1286">
        <f t="shared" si="13"/>
        <v>100</v>
      </c>
      <c r="V36" s="1285" t="s">
        <v>1103</v>
      </c>
      <c r="W36" s="1286">
        <f t="shared" si="14"/>
        <v>100</v>
      </c>
      <c r="X36" s="1279"/>
      <c r="Y36" s="3652"/>
      <c r="Z36" s="1269" t="str">
        <f t="shared" si="15"/>
        <v>内部装修</v>
      </c>
      <c r="AA36" s="1296">
        <f t="shared" si="3"/>
        <v>1</v>
      </c>
      <c r="AB36" s="1296">
        <f t="shared" si="4"/>
        <v>1</v>
      </c>
      <c r="AC36" s="1296">
        <f t="shared" si="5"/>
        <v>1</v>
      </c>
    </row>
    <row r="37" spans="1:29" ht="15">
      <c r="A37" s="1161"/>
      <c r="B37" s="1107" t="s">
        <v>1604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2"/>
      <c r="Q37" s="664" t="str">
        <f t="shared" si="11"/>
        <v>内部装修状况</v>
      </c>
      <c r="R37" s="1285" t="s">
        <v>1103</v>
      </c>
      <c r="S37" s="1286">
        <f t="shared" si="12"/>
        <v>100</v>
      </c>
      <c r="T37" s="1285" t="s">
        <v>1103</v>
      </c>
      <c r="U37" s="1286">
        <f t="shared" si="13"/>
        <v>100</v>
      </c>
      <c r="V37" s="1285" t="s">
        <v>1103</v>
      </c>
      <c r="W37" s="1286">
        <f t="shared" si="14"/>
        <v>100</v>
      </c>
      <c r="X37" s="1279"/>
      <c r="Y37" s="365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2"/>
      <c r="Q38" s="1513">
        <f t="shared" si="11"/>
        <v>111</v>
      </c>
      <c r="R38" s="1287" t="s">
        <v>1103</v>
      </c>
      <c r="S38" s="1288">
        <f t="shared" si="12"/>
        <v>100</v>
      </c>
      <c r="T38" s="1287" t="s">
        <v>1103</v>
      </c>
      <c r="U38" s="1288">
        <f t="shared" si="13"/>
        <v>100</v>
      </c>
      <c r="V38" s="1287" t="s">
        <v>1103</v>
      </c>
      <c r="W38" s="1288">
        <f t="shared" si="14"/>
        <v>100</v>
      </c>
      <c r="X38" s="1289"/>
      <c r="Y38" s="365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2"/>
      <c r="Q39" s="664">
        <f t="shared" si="11"/>
        <v>111</v>
      </c>
      <c r="R39" s="1285" t="s">
        <v>1103</v>
      </c>
      <c r="S39" s="1286">
        <f t="shared" si="12"/>
        <v>100</v>
      </c>
      <c r="T39" s="1285" t="s">
        <v>1103</v>
      </c>
      <c r="U39" s="1286">
        <f t="shared" si="13"/>
        <v>100</v>
      </c>
      <c r="V39" s="1285" t="s">
        <v>1103</v>
      </c>
      <c r="W39" s="1286">
        <f t="shared" si="14"/>
        <v>100</v>
      </c>
      <c r="X39" s="1279"/>
      <c r="Y39" s="365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3"/>
      <c r="Q40" s="664">
        <f t="shared" si="11"/>
        <v>111</v>
      </c>
      <c r="R40" s="1285" t="s">
        <v>1103</v>
      </c>
      <c r="S40" s="1286">
        <f t="shared" si="12"/>
        <v>100</v>
      </c>
      <c r="T40" s="1285" t="s">
        <v>1103</v>
      </c>
      <c r="U40" s="1286">
        <f t="shared" si="13"/>
        <v>100</v>
      </c>
      <c r="V40" s="1285" t="s">
        <v>1103</v>
      </c>
      <c r="W40" s="1286">
        <f t="shared" si="14"/>
        <v>100</v>
      </c>
      <c r="X40" s="1279"/>
      <c r="Y40" s="3653"/>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38" t="str">
        <f>A41</f>
        <v>成交单价（元/平方米）</v>
      </c>
      <c r="Q41" s="3638"/>
      <c r="R41" s="3640">
        <f>E41</f>
        <v>0</v>
      </c>
      <c r="S41" s="3640"/>
      <c r="T41" s="3640">
        <f>G41</f>
        <v>0</v>
      </c>
      <c r="U41" s="3640"/>
      <c r="V41" s="3640">
        <f>I41</f>
        <v>0</v>
      </c>
      <c r="W41" s="3640"/>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41" t="str">
        <f>A43</f>
        <v>估价对象XX用房的比较价值（楼面单价，元/平方米）</v>
      </c>
      <c r="Q43" s="3642"/>
      <c r="R43" s="3643" t="e">
        <f>IF(F1="售价",ROUND(IF(D42="简单平均",AVERAGE(R42:V42),R42*F42+T42*H42+V42*J42),0),ROUND(IF(D42="简单平均",AVERAGE(R42:V42),R42*F42+T42*H42+V42*J42),1))</f>
        <v>#DIV/0!</v>
      </c>
      <c r="S43" s="3643"/>
      <c r="T43" s="3643"/>
      <c r="U43" s="3643"/>
      <c r="V43" s="3643"/>
      <c r="W43" s="364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1603</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1119</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1597</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1570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1572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1605</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估价对象为北京市房地产，为所有。根据《国有土地使用证》[]，估价对象（分摊）出让国有建设用地使用权面积为0平方米，建筑面积为93.61平方米。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估价对象为北京市房地产,属开发建设的，该项目尚在开发建设中。根据《国有土地使用证》[]，估价对象（分摊）出让国有建设用地使用权面积为0平方米，规划建筑面积为93.61平方米。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1607</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5" t="s">
        <v>1102</v>
      </c>
      <c r="Q7" s="3636"/>
      <c r="R7" s="1280" t="s">
        <v>1103</v>
      </c>
      <c r="S7" s="1281">
        <f t="shared" ref="S7:S14" si="0">F7</f>
        <v>0</v>
      </c>
      <c r="T7" s="1280" t="s">
        <v>1103</v>
      </c>
      <c r="U7" s="1281">
        <f t="shared" ref="U7:U14" si="1">H7</f>
        <v>0</v>
      </c>
      <c r="V7" s="1280" t="s">
        <v>1103</v>
      </c>
      <c r="W7" s="1281">
        <f t="shared" ref="W7:W14"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1111</v>
      </c>
      <c r="Q9" s="1284" t="str">
        <f t="shared" ref="Q9:Q14" si="6">B9</f>
        <v>用途</v>
      </c>
      <c r="R9" s="1280" t="s">
        <v>1103</v>
      </c>
      <c r="S9" s="1281">
        <f t="shared" si="0"/>
        <v>100</v>
      </c>
      <c r="T9" s="1280" t="s">
        <v>1103</v>
      </c>
      <c r="U9" s="1281">
        <f t="shared" si="1"/>
        <v>100</v>
      </c>
      <c r="V9" s="1280" t="s">
        <v>1103</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1103</v>
      </c>
      <c r="S11" s="1281">
        <f t="shared" si="0"/>
        <v>100</v>
      </c>
      <c r="T11" s="1280" t="s">
        <v>1103</v>
      </c>
      <c r="U11" s="1281">
        <f t="shared" si="1"/>
        <v>100</v>
      </c>
      <c r="V11" s="1280" t="s">
        <v>1103</v>
      </c>
      <c r="W11" s="1281">
        <f t="shared" si="2"/>
        <v>100</v>
      </c>
      <c r="X11" s="1282"/>
      <c r="Y11" s="360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85.5">
      <c r="A14" s="1088" t="s">
        <v>1115</v>
      </c>
      <c r="B14" s="1125" t="s">
        <v>1119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1"/>
      <c r="Q15" s="664"/>
      <c r="R15" s="1285"/>
      <c r="S15" s="1286"/>
      <c r="T15" s="1285"/>
      <c r="U15" s="1286"/>
      <c r="V15" s="1285"/>
      <c r="W15" s="1286"/>
      <c r="X15" s="1279"/>
      <c r="Y15" s="3651"/>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1"/>
      <c r="Q17" s="664"/>
      <c r="R17" s="1285"/>
      <c r="S17" s="1286"/>
      <c r="T17" s="1285"/>
      <c r="U17" s="1286"/>
      <c r="V17" s="1285"/>
      <c r="W17" s="1286"/>
      <c r="X17" s="1279"/>
      <c r="Y17" s="3651"/>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1"/>
      <c r="Q19" s="664"/>
      <c r="R19" s="1285"/>
      <c r="S19" s="1286"/>
      <c r="T19" s="1285"/>
      <c r="U19" s="1286"/>
      <c r="V19" s="1285"/>
      <c r="W19" s="1286"/>
      <c r="X19" s="1279"/>
      <c r="Y19" s="3651"/>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1"/>
      <c r="Q21" s="664"/>
      <c r="R21" s="1285"/>
      <c r="S21" s="1286"/>
      <c r="T21" s="1285"/>
      <c r="U21" s="1286"/>
      <c r="V21" s="1285"/>
      <c r="W21" s="1286"/>
      <c r="X21" s="1279"/>
      <c r="Y21" s="3651"/>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1"/>
      <c r="Q24" s="664">
        <f t="shared" ref="Q24:Q36"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546" t="s">
        <v>1131</v>
      </c>
      <c r="B26" s="1547" t="s">
        <v>1609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1133</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2" t="s">
        <v>1133</v>
      </c>
      <c r="Z26" s="1269" t="str">
        <f t="shared" ref="Z26:Z36" si="15">Q26</f>
        <v>配套类型</v>
      </c>
      <c r="AA26" s="1296" t="e">
        <f t="shared" si="3"/>
        <v>#DIV/0!</v>
      </c>
      <c r="AB26" s="1296" t="e">
        <f t="shared" si="4"/>
        <v>#DIV/0!</v>
      </c>
      <c r="AC26" s="1296" t="e">
        <f t="shared" si="5"/>
        <v>#DIV/0!</v>
      </c>
    </row>
    <row r="27" spans="1:29" s="1071" customFormat="1" ht="15">
      <c r="A27" s="1549"/>
      <c r="B27" s="1147" t="s">
        <v>1610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2"/>
      <c r="Q27" s="1513" t="str">
        <f t="shared" si="11"/>
        <v>项目停车位配比</v>
      </c>
      <c r="R27" s="1287" t="s">
        <v>1103</v>
      </c>
      <c r="S27" s="1288">
        <f t="shared" si="12"/>
        <v>100</v>
      </c>
      <c r="T27" s="1287" t="s">
        <v>1103</v>
      </c>
      <c r="U27" s="1288">
        <f t="shared" si="13"/>
        <v>100</v>
      </c>
      <c r="V27" s="1287" t="s">
        <v>1103</v>
      </c>
      <c r="W27" s="1288">
        <f t="shared" si="14"/>
        <v>100</v>
      </c>
      <c r="X27" s="1289"/>
      <c r="Y27" s="3652"/>
      <c r="Z27" s="1297" t="str">
        <f t="shared" si="15"/>
        <v>项目停车位配比</v>
      </c>
      <c r="AA27" s="1296">
        <f t="shared" si="3"/>
        <v>1</v>
      </c>
      <c r="AB27" s="1296">
        <f t="shared" si="4"/>
        <v>1</v>
      </c>
      <c r="AC27" s="1296">
        <f t="shared" si="5"/>
        <v>1</v>
      </c>
    </row>
    <row r="28" spans="1:29" ht="15">
      <c r="A28" s="1551"/>
      <c r="B28" s="1147" t="s">
        <v>1137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2"/>
      <c r="Q28" s="664" t="str">
        <f t="shared" si="11"/>
        <v>公共部分装修</v>
      </c>
      <c r="R28" s="1285" t="s">
        <v>1103</v>
      </c>
      <c r="S28" s="1286">
        <f t="shared" si="12"/>
        <v>100</v>
      </c>
      <c r="T28" s="1285" t="s">
        <v>1103</v>
      </c>
      <c r="U28" s="1286">
        <f t="shared" si="13"/>
        <v>100</v>
      </c>
      <c r="V28" s="1285" t="s">
        <v>1103</v>
      </c>
      <c r="W28" s="1286">
        <f t="shared" si="14"/>
        <v>100</v>
      </c>
      <c r="X28" s="1279"/>
      <c r="Y28" s="3652"/>
      <c r="Z28" s="1269" t="str">
        <f t="shared" si="15"/>
        <v>公共部分装修</v>
      </c>
      <c r="AA28" s="1296">
        <f t="shared" si="3"/>
        <v>1</v>
      </c>
      <c r="AB28" s="1296">
        <f t="shared" si="4"/>
        <v>1</v>
      </c>
      <c r="AC28" s="1296">
        <f t="shared" si="5"/>
        <v>1</v>
      </c>
    </row>
    <row r="29" spans="1:29" ht="15">
      <c r="A29" s="1551"/>
      <c r="B29" s="1147" t="s">
        <v>1611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2"/>
      <c r="Q29" s="664" t="str">
        <f t="shared" si="11"/>
        <v>成新率</v>
      </c>
      <c r="R29" s="1285" t="s">
        <v>1103</v>
      </c>
      <c r="S29" s="1286" t="e">
        <f t="shared" si="12"/>
        <v>#N/A</v>
      </c>
      <c r="T29" s="1285" t="s">
        <v>1103</v>
      </c>
      <c r="U29" s="1286" t="e">
        <f t="shared" si="13"/>
        <v>#N/A</v>
      </c>
      <c r="V29" s="1285" t="s">
        <v>1103</v>
      </c>
      <c r="W29" s="1286" t="e">
        <f t="shared" si="14"/>
        <v>#N/A</v>
      </c>
      <c r="X29" s="1279"/>
      <c r="Y29" s="3652"/>
      <c r="Z29" s="1269" t="str">
        <f t="shared" si="15"/>
        <v>成新率</v>
      </c>
      <c r="AA29" s="1296" t="e">
        <f t="shared" si="3"/>
        <v>#N/A</v>
      </c>
      <c r="AB29" s="1296" t="e">
        <f t="shared" si="4"/>
        <v>#N/A</v>
      </c>
      <c r="AC29" s="1296" t="e">
        <f t="shared" si="5"/>
        <v>#N/A</v>
      </c>
    </row>
    <row r="30" spans="1:29" ht="15">
      <c r="A30" s="1551"/>
      <c r="B30" s="1147" t="s">
        <v>1612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2"/>
      <c r="Q30" s="664" t="str">
        <f t="shared" si="11"/>
        <v>物业等级</v>
      </c>
      <c r="R30" s="1285" t="s">
        <v>1103</v>
      </c>
      <c r="S30" s="1286">
        <f t="shared" si="12"/>
        <v>100</v>
      </c>
      <c r="T30" s="1285" t="s">
        <v>1103</v>
      </c>
      <c r="U30" s="1286">
        <f t="shared" si="13"/>
        <v>100</v>
      </c>
      <c r="V30" s="1285" t="s">
        <v>1103</v>
      </c>
      <c r="W30" s="1286">
        <f t="shared" si="14"/>
        <v>100</v>
      </c>
      <c r="X30" s="1279"/>
      <c r="Y30" s="3652"/>
      <c r="Z30" s="1269" t="str">
        <f t="shared" si="15"/>
        <v>物业等级</v>
      </c>
      <c r="AA30" s="1296">
        <f t="shared" si="3"/>
        <v>1</v>
      </c>
      <c r="AB30" s="1296">
        <f t="shared" si="4"/>
        <v>1</v>
      </c>
      <c r="AC30" s="1296">
        <f t="shared" si="5"/>
        <v>1</v>
      </c>
    </row>
    <row r="31" spans="1:29" s="1069" customFormat="1" ht="15">
      <c r="A31" s="1552"/>
      <c r="B31" s="1147" t="s">
        <v>1613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2"/>
      <c r="Q31" s="1284" t="str">
        <f t="shared" si="11"/>
        <v>停车位面积</v>
      </c>
      <c r="R31" s="1280" t="s">
        <v>1103</v>
      </c>
      <c r="S31" s="1281" t="e">
        <f t="shared" si="12"/>
        <v>#N/A</v>
      </c>
      <c r="T31" s="1280" t="s">
        <v>1103</v>
      </c>
      <c r="U31" s="1281" t="e">
        <f t="shared" si="13"/>
        <v>#N/A</v>
      </c>
      <c r="V31" s="1280" t="s">
        <v>1103</v>
      </c>
      <c r="W31" s="1281" t="e">
        <f t="shared" si="14"/>
        <v>#N/A</v>
      </c>
      <c r="X31" s="1282"/>
      <c r="Y31" s="3652"/>
      <c r="Z31" s="1295" t="str">
        <f t="shared" si="15"/>
        <v>停车位面积</v>
      </c>
      <c r="AA31" s="1294" t="e">
        <f t="shared" si="3"/>
        <v>#N/A</v>
      </c>
      <c r="AB31" s="1294" t="e">
        <f t="shared" si="4"/>
        <v>#N/A</v>
      </c>
      <c r="AC31" s="1294" t="e">
        <f t="shared" si="5"/>
        <v>#N/A</v>
      </c>
    </row>
    <row r="32" spans="1:29" ht="15">
      <c r="A32" s="1551"/>
      <c r="B32" s="1147" t="s">
        <v>1614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2" t="s">
        <v>1133</v>
      </c>
      <c r="Q32" s="664" t="str">
        <f t="shared" si="11"/>
        <v>车位类型</v>
      </c>
      <c r="R32" s="1285" t="s">
        <v>1103</v>
      </c>
      <c r="S32" s="1286">
        <f t="shared" si="12"/>
        <v>100</v>
      </c>
      <c r="T32" s="1285" t="s">
        <v>1103</v>
      </c>
      <c r="U32" s="1286">
        <f t="shared" si="13"/>
        <v>100</v>
      </c>
      <c r="V32" s="1285" t="s">
        <v>1103</v>
      </c>
      <c r="W32" s="1286">
        <f t="shared" si="14"/>
        <v>100</v>
      </c>
      <c r="X32" s="1279"/>
      <c r="Y32" s="3652" t="s">
        <v>1133</v>
      </c>
      <c r="Z32" s="1269" t="str">
        <f t="shared" si="15"/>
        <v>车位类型</v>
      </c>
      <c r="AA32" s="1296">
        <f t="shared" si="3"/>
        <v>1</v>
      </c>
      <c r="AB32" s="1296">
        <f t="shared" si="4"/>
        <v>1</v>
      </c>
      <c r="AC32" s="1296">
        <f t="shared" si="5"/>
        <v>1</v>
      </c>
    </row>
    <row r="33" spans="1:29" ht="15">
      <c r="A33" s="1551"/>
      <c r="B33" s="1147" t="s">
        <v>1615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2"/>
      <c r="Q33" s="664" t="str">
        <f t="shared" si="11"/>
        <v>是否直接入户</v>
      </c>
      <c r="R33" s="1285" t="s">
        <v>1103</v>
      </c>
      <c r="S33" s="1286">
        <f t="shared" si="12"/>
        <v>100</v>
      </c>
      <c r="T33" s="1285" t="s">
        <v>1103</v>
      </c>
      <c r="U33" s="1286">
        <f t="shared" si="13"/>
        <v>100</v>
      </c>
      <c r="V33" s="1285" t="s">
        <v>1103</v>
      </c>
      <c r="W33" s="1286">
        <f t="shared" si="14"/>
        <v>100</v>
      </c>
      <c r="X33" s="1279"/>
      <c r="Y33" s="365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2"/>
      <c r="Q35" s="1513">
        <f t="shared" si="11"/>
        <v>111</v>
      </c>
      <c r="R35" s="1287" t="s">
        <v>1103</v>
      </c>
      <c r="S35" s="1288">
        <f t="shared" si="12"/>
        <v>100</v>
      </c>
      <c r="T35" s="1287" t="s">
        <v>1103</v>
      </c>
      <c r="U35" s="1288">
        <f t="shared" si="13"/>
        <v>100</v>
      </c>
      <c r="V35" s="1287" t="s">
        <v>1103</v>
      </c>
      <c r="W35" s="1288">
        <f t="shared" si="14"/>
        <v>100</v>
      </c>
      <c r="X35" s="1289"/>
      <c r="Y35" s="365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2"/>
      <c r="Q36" s="664">
        <f t="shared" si="11"/>
        <v>111</v>
      </c>
      <c r="R36" s="1285" t="s">
        <v>1103</v>
      </c>
      <c r="S36" s="1286">
        <f t="shared" si="12"/>
        <v>100</v>
      </c>
      <c r="T36" s="1285" t="s">
        <v>1103</v>
      </c>
      <c r="U36" s="1286">
        <f t="shared" si="13"/>
        <v>100</v>
      </c>
      <c r="V36" s="1285" t="s">
        <v>1103</v>
      </c>
      <c r="W36" s="1286">
        <f t="shared" si="14"/>
        <v>100</v>
      </c>
      <c r="X36" s="1279"/>
      <c r="Y36" s="3652"/>
      <c r="Z36" s="1269">
        <f t="shared" si="15"/>
        <v>111</v>
      </c>
      <c r="AA36" s="1296">
        <f t="shared" si="3"/>
        <v>1</v>
      </c>
      <c r="AB36" s="1296">
        <f t="shared" si="4"/>
        <v>1</v>
      </c>
      <c r="AC36" s="1296">
        <f t="shared" si="5"/>
        <v>1</v>
      </c>
    </row>
    <row r="37" spans="1:29" ht="15">
      <c r="A37" s="1168" t="s">
        <v>1616</v>
      </c>
      <c r="B37" s="1554" t="s">
        <v>1617</v>
      </c>
      <c r="C37" s="1489" t="s">
        <v>124</v>
      </c>
      <c r="D37" s="1490"/>
      <c r="E37" s="1491"/>
      <c r="F37" s="1492"/>
      <c r="G37" s="1493"/>
      <c r="H37" s="1494"/>
      <c r="I37" s="1491"/>
      <c r="J37" s="1494"/>
      <c r="K37" s="1563"/>
      <c r="L37" s="1261"/>
      <c r="M37" s="1185"/>
      <c r="N37" s="1237"/>
      <c r="O37" s="1185"/>
      <c r="P37" s="3638" t="str">
        <f>A37</f>
        <v>成交单价</v>
      </c>
      <c r="Q37" s="3638"/>
      <c r="R37" s="3640">
        <f>E37</f>
        <v>0</v>
      </c>
      <c r="S37" s="3640"/>
      <c r="T37" s="3640">
        <f>G37</f>
        <v>0</v>
      </c>
      <c r="U37" s="3640"/>
      <c r="V37" s="3640">
        <f>I37</f>
        <v>0</v>
      </c>
      <c r="W37" s="3640"/>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1618</v>
      </c>
      <c r="B39" s="1183"/>
      <c r="C39" s="1498" t="e">
        <f>R39</f>
        <v>#DIV/0!</v>
      </c>
      <c r="D39" s="1498"/>
      <c r="E39" s="1498"/>
      <c r="F39" s="1498"/>
      <c r="G39" s="1498"/>
      <c r="H39" s="1498"/>
      <c r="I39" s="1498"/>
      <c r="J39" s="1498"/>
      <c r="K39" s="1564"/>
      <c r="L39" s="1261"/>
      <c r="M39" s="1185"/>
      <c r="N39" s="1185"/>
      <c r="O39" s="1185"/>
      <c r="P39" s="3641" t="str">
        <f>A39</f>
        <v>估价对象XX用房的比较价值（楼面单价，元/平方米）</v>
      </c>
      <c r="Q39" s="3642"/>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1119</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1620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5" t="s">
        <v>1102</v>
      </c>
      <c r="Q7" s="3636"/>
      <c r="R7" s="1280" t="s">
        <v>1103</v>
      </c>
      <c r="S7" s="1281">
        <f t="shared" ref="S7:S14" si="0">F7</f>
        <v>0</v>
      </c>
      <c r="T7" s="1280" t="s">
        <v>1103</v>
      </c>
      <c r="U7" s="1281">
        <f t="shared" ref="U7:U14" si="1">H7</f>
        <v>0</v>
      </c>
      <c r="V7" s="1280" t="s">
        <v>1103</v>
      </c>
      <c r="W7" s="1281">
        <f t="shared" ref="W7:W14" si="2">J7</f>
        <v>0</v>
      </c>
      <c r="X7" s="1282"/>
      <c r="Y7" s="3635" t="s">
        <v>1102</v>
      </c>
      <c r="Z7" s="3637"/>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5" t="s">
        <v>1108</v>
      </c>
      <c r="Q8" s="3637"/>
      <c r="R8" s="1280" t="s">
        <v>1103</v>
      </c>
      <c r="S8" s="1281">
        <f t="shared" si="0"/>
        <v>100</v>
      </c>
      <c r="T8" s="1280" t="s">
        <v>1103</v>
      </c>
      <c r="U8" s="1281">
        <f t="shared" si="1"/>
        <v>100</v>
      </c>
      <c r="V8" s="1280" t="s">
        <v>1103</v>
      </c>
      <c r="W8" s="1281">
        <f t="shared" si="2"/>
        <v>100</v>
      </c>
      <c r="X8" s="1282"/>
      <c r="Y8" s="3635" t="s">
        <v>1108</v>
      </c>
      <c r="Z8" s="3637"/>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1111</v>
      </c>
      <c r="Q9" s="1284" t="str">
        <f t="shared" ref="Q9:Q14" si="6">B9</f>
        <v>用途</v>
      </c>
      <c r="R9" s="1280" t="s">
        <v>1103</v>
      </c>
      <c r="S9" s="1281">
        <f t="shared" si="0"/>
        <v>100</v>
      </c>
      <c r="T9" s="1280" t="s">
        <v>1103</v>
      </c>
      <c r="U9" s="1281">
        <f t="shared" si="1"/>
        <v>100</v>
      </c>
      <c r="V9" s="1280" t="s">
        <v>1103</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1103</v>
      </c>
      <c r="S10" s="1281">
        <f t="shared" si="0"/>
        <v>100</v>
      </c>
      <c r="T10" s="1280" t="s">
        <v>1103</v>
      </c>
      <c r="U10" s="1281">
        <f t="shared" si="1"/>
        <v>100</v>
      </c>
      <c r="V10" s="1280" t="s">
        <v>1103</v>
      </c>
      <c r="W10" s="1281">
        <f t="shared" si="2"/>
        <v>100</v>
      </c>
      <c r="X10" s="1282"/>
      <c r="Y10" s="360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1103</v>
      </c>
      <c r="S11" s="1281">
        <f t="shared" si="0"/>
        <v>100</v>
      </c>
      <c r="T11" s="1280" t="s">
        <v>1103</v>
      </c>
      <c r="U11" s="1281">
        <f t="shared" si="1"/>
        <v>100</v>
      </c>
      <c r="V11" s="1280" t="s">
        <v>1103</v>
      </c>
      <c r="W11" s="1281">
        <f t="shared" si="2"/>
        <v>100</v>
      </c>
      <c r="X11" s="1282"/>
      <c r="Y11" s="360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85.5">
      <c r="A14" s="1124" t="s">
        <v>1115</v>
      </c>
      <c r="B14" s="1417" t="s">
        <v>1119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0" t="s">
        <v>1117</v>
      </c>
      <c r="Q14" s="664" t="str">
        <f t="shared" si="6"/>
        <v>交通便捷度</v>
      </c>
      <c r="R14" s="1285" t="s">
        <v>1103</v>
      </c>
      <c r="S14" s="1286">
        <f t="shared" si="0"/>
        <v>100</v>
      </c>
      <c r="T14" s="1285" t="s">
        <v>1103</v>
      </c>
      <c r="U14" s="1286">
        <f t="shared" si="1"/>
        <v>100</v>
      </c>
      <c r="V14" s="1285" t="s">
        <v>1103</v>
      </c>
      <c r="W14" s="1286">
        <f t="shared" si="2"/>
        <v>100</v>
      </c>
      <c r="X14" s="1279"/>
      <c r="Y14" s="3650"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1"/>
      <c r="Q15" s="664"/>
      <c r="R15" s="1285"/>
      <c r="S15" s="1286"/>
      <c r="T15" s="1285"/>
      <c r="U15" s="1286"/>
      <c r="V15" s="1285"/>
      <c r="W15" s="1286"/>
      <c r="X15" s="1279"/>
      <c r="Y15" s="3651"/>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1"/>
      <c r="Q16" s="664" t="str">
        <f>B16</f>
        <v>公共配套设施</v>
      </c>
      <c r="R16" s="1285" t="s">
        <v>1103</v>
      </c>
      <c r="S16" s="1286">
        <f>F16</f>
        <v>100</v>
      </c>
      <c r="T16" s="1285" t="s">
        <v>1103</v>
      </c>
      <c r="U16" s="1286">
        <f>H16</f>
        <v>100</v>
      </c>
      <c r="V16" s="1285" t="s">
        <v>1103</v>
      </c>
      <c r="W16" s="1286">
        <f>J16</f>
        <v>100</v>
      </c>
      <c r="X16" s="1279"/>
      <c r="Y16" s="365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1"/>
      <c r="Q17" s="664"/>
      <c r="R17" s="1285"/>
      <c r="S17" s="1286"/>
      <c r="T17" s="1285"/>
      <c r="U17" s="1286"/>
      <c r="V17" s="1285"/>
      <c r="W17" s="1286"/>
      <c r="X17" s="1279"/>
      <c r="Y17" s="3651"/>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1"/>
      <c r="Q18" s="664" t="str">
        <f>B18</f>
        <v>基础设施水平</v>
      </c>
      <c r="R18" s="1285" t="s">
        <v>1103</v>
      </c>
      <c r="S18" s="1286">
        <f>F18</f>
        <v>100</v>
      </c>
      <c r="T18" s="1285" t="s">
        <v>1103</v>
      </c>
      <c r="U18" s="1286">
        <f>H18</f>
        <v>100</v>
      </c>
      <c r="V18" s="1285" t="s">
        <v>1103</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1"/>
      <c r="Q19" s="664"/>
      <c r="R19" s="1285"/>
      <c r="S19" s="1286"/>
      <c r="T19" s="1285"/>
      <c r="U19" s="1286"/>
      <c r="V19" s="1285"/>
      <c r="W19" s="1286"/>
      <c r="X19" s="1279"/>
      <c r="Y19" s="3651"/>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1"/>
      <c r="Q20" s="664" t="str">
        <f>B20</f>
        <v>自然及人文环境</v>
      </c>
      <c r="R20" s="1285" t="s">
        <v>1103</v>
      </c>
      <c r="S20" s="1286">
        <f>F20</f>
        <v>100</v>
      </c>
      <c r="T20" s="1285" t="s">
        <v>1103</v>
      </c>
      <c r="U20" s="1286">
        <f>H20</f>
        <v>100</v>
      </c>
      <c r="V20" s="1285" t="s">
        <v>1103</v>
      </c>
      <c r="W20" s="1286">
        <f>J20</f>
        <v>100</v>
      </c>
      <c r="X20" s="1279"/>
      <c r="Y20" s="365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1"/>
      <c r="Q21" s="664"/>
      <c r="R21" s="1285"/>
      <c r="S21" s="1286"/>
      <c r="T21" s="1285"/>
      <c r="U21" s="1286"/>
      <c r="V21" s="1285"/>
      <c r="W21" s="1286"/>
      <c r="X21" s="1279"/>
      <c r="Y21" s="3651"/>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1"/>
      <c r="Q22" s="664" t="str">
        <f>B22</f>
        <v>楼层</v>
      </c>
      <c r="R22" s="1285" t="s">
        <v>1103</v>
      </c>
      <c r="S22" s="1286">
        <f>F22</f>
        <v>100</v>
      </c>
      <c r="T22" s="1285" t="s">
        <v>1103</v>
      </c>
      <c r="U22" s="1286">
        <f>H22</f>
        <v>100</v>
      </c>
      <c r="V22" s="1285" t="s">
        <v>1103</v>
      </c>
      <c r="W22" s="1286">
        <f>J22</f>
        <v>100</v>
      </c>
      <c r="X22" s="1279"/>
      <c r="Y22" s="365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1"/>
      <c r="Q23" s="664">
        <f>B23</f>
        <v>111</v>
      </c>
      <c r="R23" s="1285" t="s">
        <v>1103</v>
      </c>
      <c r="S23" s="1286">
        <f>F23</f>
        <v>100</v>
      </c>
      <c r="T23" s="1285" t="s">
        <v>1103</v>
      </c>
      <c r="U23" s="1286">
        <f>H23</f>
        <v>100</v>
      </c>
      <c r="V23" s="1285" t="s">
        <v>1103</v>
      </c>
      <c r="W23" s="1286">
        <f>J23</f>
        <v>100</v>
      </c>
      <c r="X23" s="1279"/>
      <c r="Y23" s="365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1"/>
      <c r="Q24" s="664">
        <f t="shared" ref="Q24:Q34" si="11">B24</f>
        <v>111</v>
      </c>
      <c r="R24" s="1285" t="s">
        <v>1103</v>
      </c>
      <c r="S24" s="1286">
        <f>F24</f>
        <v>100</v>
      </c>
      <c r="T24" s="1285" t="s">
        <v>1103</v>
      </c>
      <c r="U24" s="1286">
        <f>H24</f>
        <v>100</v>
      </c>
      <c r="V24" s="1285" t="s">
        <v>1103</v>
      </c>
      <c r="W24" s="1286">
        <f>J24</f>
        <v>100</v>
      </c>
      <c r="X24" s="1279"/>
      <c r="Y24" s="365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1"/>
      <c r="Q25" s="1284">
        <f t="shared" si="11"/>
        <v>111</v>
      </c>
      <c r="R25" s="1280" t="s">
        <v>1103</v>
      </c>
      <c r="S25" s="1281">
        <f>F25</f>
        <v>100</v>
      </c>
      <c r="T25" s="1280" t="s">
        <v>1103</v>
      </c>
      <c r="U25" s="1281">
        <f>H25</f>
        <v>100</v>
      </c>
      <c r="V25" s="1280" t="s">
        <v>1103</v>
      </c>
      <c r="W25" s="1281">
        <f>J25</f>
        <v>100</v>
      </c>
      <c r="X25" s="1282"/>
      <c r="Y25" s="3651"/>
      <c r="Z25" s="1295">
        <f>Q25</f>
        <v>111</v>
      </c>
      <c r="AA25" s="1296">
        <f t="shared" si="3"/>
        <v>1</v>
      </c>
      <c r="AB25" s="1296">
        <f t="shared" si="4"/>
        <v>1</v>
      </c>
      <c r="AC25" s="1296">
        <f t="shared" si="5"/>
        <v>1</v>
      </c>
    </row>
    <row r="26" spans="1:29" ht="28.5">
      <c r="A26" s="1478" t="s">
        <v>1131</v>
      </c>
      <c r="B26" s="1103" t="s">
        <v>1137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1133</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2" t="s">
        <v>1133</v>
      </c>
      <c r="Z26" s="1269" t="str">
        <f t="shared" ref="Z26:Z34" si="15">Q26</f>
        <v>公共部分装修</v>
      </c>
      <c r="AA26" s="1296">
        <f t="shared" si="3"/>
        <v>1</v>
      </c>
      <c r="AB26" s="1296">
        <f t="shared" si="4"/>
        <v>1</v>
      </c>
      <c r="AC26" s="1296">
        <f t="shared" si="5"/>
        <v>1</v>
      </c>
    </row>
    <row r="27" spans="1:29" s="1071" customFormat="1" ht="15">
      <c r="A27" s="1166"/>
      <c r="B27" s="1107" t="s">
        <v>1611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2"/>
      <c r="Q27" s="1513" t="str">
        <f t="shared" si="11"/>
        <v>成新率</v>
      </c>
      <c r="R27" s="1287" t="s">
        <v>1103</v>
      </c>
      <c r="S27" s="1288" t="e">
        <f t="shared" si="12"/>
        <v>#N/A</v>
      </c>
      <c r="T27" s="1287" t="s">
        <v>1103</v>
      </c>
      <c r="U27" s="1288" t="e">
        <f t="shared" si="13"/>
        <v>#N/A</v>
      </c>
      <c r="V27" s="1287" t="s">
        <v>1103</v>
      </c>
      <c r="W27" s="1288" t="e">
        <f t="shared" si="14"/>
        <v>#N/A</v>
      </c>
      <c r="X27" s="1289"/>
      <c r="Y27" s="3652"/>
      <c r="Z27" s="1297" t="str">
        <f t="shared" si="15"/>
        <v>成新率</v>
      </c>
      <c r="AA27" s="1296" t="e">
        <f t="shared" si="3"/>
        <v>#N/A</v>
      </c>
      <c r="AB27" s="1296" t="e">
        <f t="shared" si="4"/>
        <v>#N/A</v>
      </c>
      <c r="AC27" s="1296" t="e">
        <f t="shared" si="5"/>
        <v>#N/A</v>
      </c>
    </row>
    <row r="28" spans="1:29" ht="15">
      <c r="A28" s="1161"/>
      <c r="B28" s="1107" t="s">
        <v>1612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2"/>
      <c r="Q28" s="664" t="str">
        <f t="shared" si="11"/>
        <v>物业等级</v>
      </c>
      <c r="R28" s="1285" t="s">
        <v>1103</v>
      </c>
      <c r="S28" s="1286">
        <f t="shared" si="12"/>
        <v>100</v>
      </c>
      <c r="T28" s="1285" t="s">
        <v>1103</v>
      </c>
      <c r="U28" s="1286">
        <f t="shared" si="13"/>
        <v>100</v>
      </c>
      <c r="V28" s="1285" t="s">
        <v>1103</v>
      </c>
      <c r="W28" s="1286">
        <f t="shared" si="14"/>
        <v>100</v>
      </c>
      <c r="X28" s="1279"/>
      <c r="Y28" s="3652"/>
      <c r="Z28" s="1269" t="str">
        <f t="shared" si="15"/>
        <v>物业等级</v>
      </c>
      <c r="AA28" s="1296">
        <f t="shared" si="3"/>
        <v>1</v>
      </c>
      <c r="AB28" s="1296">
        <f t="shared" si="4"/>
        <v>1</v>
      </c>
      <c r="AC28" s="1296">
        <f t="shared" si="5"/>
        <v>1</v>
      </c>
    </row>
    <row r="29" spans="1:29" ht="15">
      <c r="A29" s="1161"/>
      <c r="B29" s="1107" t="s">
        <v>1621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2"/>
      <c r="Q29" s="664" t="str">
        <f t="shared" si="11"/>
        <v>有无电梯</v>
      </c>
      <c r="R29" s="1285" t="s">
        <v>1103</v>
      </c>
      <c r="S29" s="1286">
        <f t="shared" si="12"/>
        <v>100</v>
      </c>
      <c r="T29" s="1285" t="s">
        <v>1103</v>
      </c>
      <c r="U29" s="1286">
        <f t="shared" si="13"/>
        <v>100</v>
      </c>
      <c r="V29" s="1285" t="s">
        <v>1103</v>
      </c>
      <c r="W29" s="1286">
        <f t="shared" si="14"/>
        <v>100</v>
      </c>
      <c r="X29" s="1279"/>
      <c r="Y29" s="3652"/>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2"/>
      <c r="Q30" s="664" t="str">
        <f t="shared" si="11"/>
        <v>建筑面积</v>
      </c>
      <c r="R30" s="1285" t="s">
        <v>1103</v>
      </c>
      <c r="S30" s="1286" t="e">
        <f t="shared" si="12"/>
        <v>#N/A</v>
      </c>
      <c r="T30" s="1285" t="s">
        <v>1103</v>
      </c>
      <c r="U30" s="1286" t="e">
        <f t="shared" si="13"/>
        <v>#N/A</v>
      </c>
      <c r="V30" s="1285" t="s">
        <v>1103</v>
      </c>
      <c r="W30" s="1286" t="e">
        <f t="shared" si="14"/>
        <v>#N/A</v>
      </c>
      <c r="X30" s="1279"/>
      <c r="Y30" s="3652"/>
      <c r="Z30" s="1269" t="str">
        <f t="shared" si="15"/>
        <v>建筑面积</v>
      </c>
      <c r="AA30" s="1296" t="e">
        <f t="shared" si="3"/>
        <v>#N/A</v>
      </c>
      <c r="AB30" s="1296" t="e">
        <f t="shared" si="4"/>
        <v>#N/A</v>
      </c>
      <c r="AC30" s="1296" t="e">
        <f t="shared" si="5"/>
        <v>#N/A</v>
      </c>
    </row>
    <row r="31" spans="1:29" s="1069" customFormat="1" ht="15">
      <c r="A31" s="1163"/>
      <c r="B31" s="1107" t="s">
        <v>1622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2"/>
      <c r="Q31" s="1284" t="str">
        <f t="shared" si="11"/>
        <v>是否封闭</v>
      </c>
      <c r="R31" s="1280" t="s">
        <v>1103</v>
      </c>
      <c r="S31" s="1281">
        <f t="shared" si="12"/>
        <v>100</v>
      </c>
      <c r="T31" s="1280" t="s">
        <v>1103</v>
      </c>
      <c r="U31" s="1281">
        <f t="shared" si="13"/>
        <v>100</v>
      </c>
      <c r="V31" s="1280" t="s">
        <v>1103</v>
      </c>
      <c r="W31" s="1281">
        <f t="shared" si="14"/>
        <v>100</v>
      </c>
      <c r="X31" s="1282"/>
      <c r="Y31" s="365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2" t="s">
        <v>1133</v>
      </c>
      <c r="Q32" s="664">
        <f t="shared" si="11"/>
        <v>111</v>
      </c>
      <c r="R32" s="1285" t="s">
        <v>1103</v>
      </c>
      <c r="S32" s="1286">
        <f t="shared" si="12"/>
        <v>100</v>
      </c>
      <c r="T32" s="1285" t="s">
        <v>1103</v>
      </c>
      <c r="U32" s="1286">
        <f t="shared" si="13"/>
        <v>100</v>
      </c>
      <c r="V32" s="1285" t="s">
        <v>1103</v>
      </c>
      <c r="W32" s="1286">
        <f t="shared" si="14"/>
        <v>100</v>
      </c>
      <c r="X32" s="1279"/>
      <c r="Y32" s="3652" t="s">
        <v>1133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2"/>
      <c r="Q33" s="664">
        <f t="shared" si="11"/>
        <v>111</v>
      </c>
      <c r="R33" s="1285" t="s">
        <v>1103</v>
      </c>
      <c r="S33" s="1286">
        <f t="shared" si="12"/>
        <v>100</v>
      </c>
      <c r="T33" s="1285" t="s">
        <v>1103</v>
      </c>
      <c r="U33" s="1286">
        <f t="shared" si="13"/>
        <v>100</v>
      </c>
      <c r="V33" s="1285" t="s">
        <v>1103</v>
      </c>
      <c r="W33" s="1286">
        <f t="shared" si="14"/>
        <v>100</v>
      </c>
      <c r="X33" s="1279"/>
      <c r="Y33" s="365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2"/>
      <c r="Q34" s="664">
        <f t="shared" si="11"/>
        <v>111</v>
      </c>
      <c r="R34" s="1285" t="s">
        <v>1103</v>
      </c>
      <c r="S34" s="1286">
        <f t="shared" si="12"/>
        <v>100</v>
      </c>
      <c r="T34" s="1285" t="s">
        <v>1103</v>
      </c>
      <c r="U34" s="1286">
        <f t="shared" si="13"/>
        <v>100</v>
      </c>
      <c r="V34" s="1285" t="s">
        <v>1103</v>
      </c>
      <c r="W34" s="1286">
        <f t="shared" si="14"/>
        <v>100</v>
      </c>
      <c r="X34" s="1279"/>
      <c r="Y34" s="3652"/>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38" t="str">
        <f>A35</f>
        <v>成交单价（元/平方米）</v>
      </c>
      <c r="Q35" s="3638"/>
      <c r="R35" s="3640">
        <f>E35</f>
        <v>0</v>
      </c>
      <c r="S35" s="3640"/>
      <c r="T35" s="3640">
        <f>G35</f>
        <v>0</v>
      </c>
      <c r="U35" s="3640"/>
      <c r="V35" s="3640">
        <f>I35</f>
        <v>0</v>
      </c>
      <c r="W35" s="3640"/>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41" t="str">
        <f>A37</f>
        <v>估价对象XX用房的比较价值（楼面单价，元/平方米）</v>
      </c>
      <c r="Q37" s="3642"/>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1119</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1623</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1624</v>
      </c>
      <c r="B1" s="1079"/>
      <c r="C1" s="1080" t="s">
        <v>1625</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30"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30" ht="15">
      <c r="A6" s="1092"/>
      <c r="B6" s="1093"/>
      <c r="C6" s="3631" t="s">
        <v>1099</v>
      </c>
      <c r="D6" s="3632"/>
      <c r="E6" s="3633" t="s">
        <v>1099</v>
      </c>
      <c r="F6" s="3634"/>
      <c r="G6" s="3631" t="s">
        <v>1099</v>
      </c>
      <c r="H6" s="3632"/>
      <c r="I6" s="3631" t="s">
        <v>1099</v>
      </c>
      <c r="J6" s="3632"/>
      <c r="K6" s="1235" t="s">
        <v>1100</v>
      </c>
      <c r="L6" s="1236"/>
      <c r="M6" s="1237"/>
      <c r="N6" s="1237"/>
      <c r="O6" s="1237"/>
      <c r="P6" s="3661"/>
      <c r="Q6" s="3662"/>
      <c r="R6" s="3665"/>
      <c r="S6" s="3666"/>
      <c r="T6" s="3667"/>
      <c r="U6" s="3668"/>
      <c r="V6" s="3639"/>
      <c r="W6" s="3639"/>
      <c r="X6" s="1279"/>
      <c r="Y6" s="3667"/>
      <c r="Z6" s="3668"/>
      <c r="AA6" s="3656"/>
      <c r="AB6" s="3656"/>
      <c r="AC6" s="3656"/>
    </row>
    <row r="7" spans="1:30" s="1069" customFormat="1" ht="15">
      <c r="A7" s="1094" t="s">
        <v>1101</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30" s="1069" customFormat="1" ht="15">
      <c r="A8" s="1094" t="s">
        <v>1104</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5" t="s">
        <v>1108</v>
      </c>
      <c r="Q8" s="3637"/>
      <c r="R8" s="1280" t="s">
        <v>1103</v>
      </c>
      <c r="S8" s="1281">
        <f t="shared" si="0"/>
        <v>0</v>
      </c>
      <c r="T8" s="1280" t="s">
        <v>1103</v>
      </c>
      <c r="U8" s="1281">
        <f t="shared" si="1"/>
        <v>0</v>
      </c>
      <c r="V8" s="1280" t="s">
        <v>1103</v>
      </c>
      <c r="W8" s="1281">
        <f t="shared" si="2"/>
        <v>0</v>
      </c>
      <c r="X8" s="1282"/>
      <c r="Y8" s="3635" t="s">
        <v>1108</v>
      </c>
      <c r="Z8" s="3637"/>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600"/>
      <c r="Z10" s="1295" t="str">
        <f t="shared" si="7"/>
        <v>土地使用年限（年）</v>
      </c>
      <c r="AA10" s="1294">
        <f t="shared" si="3"/>
        <v>0.91743119266055051</v>
      </c>
      <c r="AB10" s="1294">
        <f t="shared" si="4"/>
        <v>0.91743119266055051</v>
      </c>
      <c r="AC10" s="1294">
        <f t="shared" si="5"/>
        <v>0.91743119266055051</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30" s="1069" customFormat="1" ht="15">
      <c r="A12" s="1113"/>
      <c r="B12" s="1114" t="s">
        <v>1626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1103</v>
      </c>
      <c r="S12" s="1281">
        <f t="shared" si="0"/>
        <v>100</v>
      </c>
      <c r="T12" s="1280" t="s">
        <v>1103</v>
      </c>
      <c r="U12" s="1281">
        <f t="shared" si="1"/>
        <v>100</v>
      </c>
      <c r="V12" s="1280" t="s">
        <v>1103</v>
      </c>
      <c r="W12" s="1281">
        <f t="shared" si="2"/>
        <v>100</v>
      </c>
      <c r="X12" s="1282"/>
      <c r="Y12" s="360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30" ht="99.75">
      <c r="A15" s="1124" t="s">
        <v>1115</v>
      </c>
      <c r="B15" s="1417" t="s">
        <v>1161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0" t="s">
        <v>1117</v>
      </c>
      <c r="Q15" s="664" t="str">
        <f t="shared" si="6"/>
        <v>居住社区成熟度</v>
      </c>
      <c r="R15" s="1285" t="s">
        <v>1103</v>
      </c>
      <c r="S15" s="1286">
        <f t="shared" si="0"/>
        <v>100</v>
      </c>
      <c r="T15" s="1285" t="s">
        <v>1103</v>
      </c>
      <c r="U15" s="1286">
        <f t="shared" si="1"/>
        <v>100</v>
      </c>
      <c r="V15" s="1285" t="s">
        <v>1103</v>
      </c>
      <c r="W15" s="1286">
        <f t="shared" si="2"/>
        <v>100</v>
      </c>
      <c r="X15" s="1279"/>
      <c r="Y15" s="3650"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71.25">
      <c r="A17" s="1110"/>
      <c r="B17" s="1420" t="s">
        <v>1116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1"/>
      <c r="Q17" s="664" t="str">
        <f>B17</f>
        <v>商业繁华度</v>
      </c>
      <c r="R17" s="1285" t="s">
        <v>1103</v>
      </c>
      <c r="S17" s="1286">
        <f>F17</f>
        <v>100</v>
      </c>
      <c r="T17" s="1285" t="s">
        <v>1103</v>
      </c>
      <c r="U17" s="1286">
        <f>H17</f>
        <v>100</v>
      </c>
      <c r="V17" s="1285" t="s">
        <v>1103</v>
      </c>
      <c r="W17" s="1286">
        <f>J17</f>
        <v>100</v>
      </c>
      <c r="X17" s="1279"/>
      <c r="Y17" s="365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71.25">
      <c r="A19" s="1110"/>
      <c r="B19" s="1420" t="s">
        <v>1596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1"/>
      <c r="Q19" s="664" t="str">
        <f>B19</f>
        <v>办公集聚程度</v>
      </c>
      <c r="R19" s="1285" t="s">
        <v>1103</v>
      </c>
      <c r="S19" s="1286">
        <f>F19</f>
        <v>100</v>
      </c>
      <c r="T19" s="1285" t="s">
        <v>1103</v>
      </c>
      <c r="U19" s="1286">
        <f>H19</f>
        <v>100</v>
      </c>
      <c r="V19" s="1285" t="s">
        <v>1103</v>
      </c>
      <c r="W19" s="1286">
        <f>J19</f>
        <v>100</v>
      </c>
      <c r="X19" s="1279"/>
      <c r="Y19" s="365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1"/>
      <c r="Q20" s="664"/>
      <c r="R20" s="1285"/>
      <c r="S20" s="1286"/>
      <c r="T20" s="1285"/>
      <c r="U20" s="1286"/>
      <c r="V20" s="1285"/>
      <c r="W20" s="1286"/>
      <c r="X20" s="1279"/>
      <c r="Y20" s="3651"/>
      <c r="Z20" s="1269"/>
      <c r="AA20" s="1296">
        <v>1</v>
      </c>
      <c r="AB20" s="1296">
        <v>1</v>
      </c>
      <c r="AC20" s="1296">
        <v>1</v>
      </c>
    </row>
    <row r="21" spans="1:29" ht="85.5">
      <c r="A21" s="1110"/>
      <c r="B21" s="1420" t="s">
        <v>1119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1"/>
      <c r="Q21" s="664" t="str">
        <f>B21</f>
        <v>交通便捷度</v>
      </c>
      <c r="R21" s="1285" t="s">
        <v>1103</v>
      </c>
      <c r="S21" s="1286">
        <f>F21</f>
        <v>100</v>
      </c>
      <c r="T21" s="1285" t="s">
        <v>1103</v>
      </c>
      <c r="U21" s="1286">
        <f>H21</f>
        <v>100</v>
      </c>
      <c r="V21" s="1285" t="s">
        <v>1103</v>
      </c>
      <c r="W21" s="1286">
        <f>J21</f>
        <v>100</v>
      </c>
      <c r="X21" s="1279"/>
      <c r="Y21" s="365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ht="15">
      <c r="A23" s="1090"/>
      <c r="B23" s="1420" t="s">
        <v>1627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1"/>
      <c r="Q23" s="664" t="str">
        <f t="shared" ref="Q23:Q38" si="8">B23</f>
        <v>区域土地利用方向</v>
      </c>
      <c r="R23" s="1285" t="s">
        <v>1103</v>
      </c>
      <c r="S23" s="1286">
        <f>F23</f>
        <v>100</v>
      </c>
      <c r="T23" s="1285" t="s">
        <v>1103</v>
      </c>
      <c r="U23" s="1286">
        <f>H23</f>
        <v>100</v>
      </c>
      <c r="V23" s="1285" t="s">
        <v>1103</v>
      </c>
      <c r="W23" s="1286">
        <f>J23</f>
        <v>100</v>
      </c>
      <c r="X23" s="1279"/>
      <c r="Y23" s="365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1"/>
      <c r="Q24" s="664"/>
      <c r="R24" s="1285"/>
      <c r="S24" s="1286"/>
      <c r="T24" s="1285"/>
      <c r="U24" s="1286"/>
      <c r="V24" s="1285"/>
      <c r="W24" s="1286"/>
      <c r="X24" s="1279"/>
      <c r="Y24" s="3651"/>
      <c r="Z24" s="1269"/>
      <c r="AA24" s="1296"/>
      <c r="AB24" s="1296"/>
      <c r="AC24" s="1296"/>
    </row>
    <row r="25" spans="1:29" ht="57">
      <c r="A25" s="1090"/>
      <c r="B25" s="1424" t="s">
        <v>1628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1"/>
      <c r="Q25" s="664" t="str">
        <f t="shared" si="8"/>
        <v>自然及人文环境状况</v>
      </c>
      <c r="R25" s="1285" t="s">
        <v>1103</v>
      </c>
      <c r="S25" s="1286">
        <f>F25</f>
        <v>100</v>
      </c>
      <c r="T25" s="1285" t="s">
        <v>1103</v>
      </c>
      <c r="U25" s="1286">
        <f>H25</f>
        <v>100</v>
      </c>
      <c r="V25" s="1285" t="s">
        <v>1103</v>
      </c>
      <c r="W25" s="1286">
        <f>J25</f>
        <v>100</v>
      </c>
      <c r="X25" s="1279"/>
      <c r="Y25" s="365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1"/>
      <c r="Q26" s="664"/>
      <c r="R26" s="1285"/>
      <c r="S26" s="1286"/>
      <c r="T26" s="1285"/>
      <c r="U26" s="1286"/>
      <c r="V26" s="1285"/>
      <c r="W26" s="1286"/>
      <c r="X26" s="1279"/>
      <c r="Y26" s="3651"/>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1"/>
      <c r="Q27" s="1284" t="str">
        <f t="shared" si="8"/>
        <v>公共配套设施</v>
      </c>
      <c r="R27" s="1280" t="s">
        <v>1103</v>
      </c>
      <c r="S27" s="1281">
        <f>F27</f>
        <v>100</v>
      </c>
      <c r="T27" s="1280" t="s">
        <v>1103</v>
      </c>
      <c r="U27" s="1281">
        <f>H27</f>
        <v>100</v>
      </c>
      <c r="V27" s="1280" t="s">
        <v>1103</v>
      </c>
      <c r="W27" s="1281">
        <f>J27</f>
        <v>100</v>
      </c>
      <c r="X27" s="1282"/>
      <c r="Y27" s="365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1"/>
      <c r="Q28" s="1284"/>
      <c r="R28" s="1280"/>
      <c r="S28" s="1281"/>
      <c r="T28" s="1280"/>
      <c r="U28" s="1281"/>
      <c r="V28" s="1280"/>
      <c r="W28" s="1281"/>
      <c r="X28" s="1282"/>
      <c r="Y28" s="3651"/>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1"/>
      <c r="Q29" s="1284" t="str">
        <f t="shared" ref="Q29" si="9">B29</f>
        <v>基础设施水平</v>
      </c>
      <c r="R29" s="1280" t="s">
        <v>1103</v>
      </c>
      <c r="S29" s="1281">
        <f>F29</f>
        <v>100</v>
      </c>
      <c r="T29" s="1280" t="s">
        <v>1103</v>
      </c>
      <c r="U29" s="1281">
        <f>H29</f>
        <v>100</v>
      </c>
      <c r="V29" s="1280" t="s">
        <v>1103</v>
      </c>
      <c r="W29" s="1281">
        <f>J29</f>
        <v>100</v>
      </c>
      <c r="X29" s="1282"/>
      <c r="Y29" s="365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1"/>
      <c r="Q30" s="1284"/>
      <c r="R30" s="1280"/>
      <c r="S30" s="1281"/>
      <c r="T30" s="1280"/>
      <c r="U30" s="1281"/>
      <c r="V30" s="1280"/>
      <c r="W30" s="1281"/>
      <c r="X30" s="1282"/>
      <c r="Y30" s="3651"/>
      <c r="Z30" s="1295"/>
      <c r="AA30" s="1296">
        <v>1</v>
      </c>
      <c r="AB30" s="1296">
        <v>1</v>
      </c>
      <c r="AC30" s="1296">
        <v>1</v>
      </c>
    </row>
    <row r="31" spans="1:29" ht="15">
      <c r="A31" s="1110"/>
      <c r="B31" s="1158" t="s">
        <v>1124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1"/>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51"/>
      <c r="Z31" s="1269" t="str">
        <f t="shared" ref="Z31:Z45" si="13">Q31</f>
        <v>临街状况</v>
      </c>
      <c r="AA31" s="1296">
        <f t="shared" si="3"/>
        <v>1</v>
      </c>
      <c r="AB31" s="1296">
        <f t="shared" si="4"/>
        <v>1</v>
      </c>
      <c r="AC31" s="1296">
        <f t="shared" si="5"/>
        <v>1</v>
      </c>
    </row>
    <row r="32" spans="1:29" ht="27">
      <c r="A32" s="1110"/>
      <c r="B32" s="1424"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1"/>
      <c r="Q32" s="664" t="str">
        <f t="shared" si="8"/>
        <v>毗邻道路的类型与等级</v>
      </c>
      <c r="R32" s="1285" t="s">
        <v>1103</v>
      </c>
      <c r="S32" s="1286">
        <f t="shared" si="10"/>
        <v>100</v>
      </c>
      <c r="T32" s="1285" t="s">
        <v>1103</v>
      </c>
      <c r="U32" s="1286">
        <f t="shared" si="11"/>
        <v>100</v>
      </c>
      <c r="V32" s="1285" t="s">
        <v>1103</v>
      </c>
      <c r="W32" s="1286">
        <f t="shared" si="12"/>
        <v>100</v>
      </c>
      <c r="X32" s="1279"/>
      <c r="Y32" s="365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1"/>
      <c r="Q33" s="664"/>
      <c r="R33" s="1285"/>
      <c r="S33" s="1286"/>
      <c r="T33" s="1285"/>
      <c r="U33" s="1286"/>
      <c r="V33" s="1285"/>
      <c r="W33" s="1286"/>
      <c r="X33" s="1279"/>
      <c r="Y33" s="3651"/>
      <c r="Z33" s="1269"/>
      <c r="AA33" s="1296">
        <v>1</v>
      </c>
      <c r="AB33" s="1296">
        <v>1</v>
      </c>
      <c r="AC33" s="1296">
        <v>1</v>
      </c>
    </row>
    <row r="34" spans="1:29" ht="15">
      <c r="A34" s="1110"/>
      <c r="B34" s="1107" t="s">
        <v>1629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1"/>
      <c r="Q34" s="664" t="str">
        <f t="shared" si="8"/>
        <v>土地级别</v>
      </c>
      <c r="R34" s="1285" t="s">
        <v>1103</v>
      </c>
      <c r="S34" s="1286">
        <f t="shared" si="10"/>
        <v>100</v>
      </c>
      <c r="T34" s="1285" t="s">
        <v>1103</v>
      </c>
      <c r="U34" s="1286">
        <f t="shared" si="11"/>
        <v>100</v>
      </c>
      <c r="V34" s="1285" t="s">
        <v>1103</v>
      </c>
      <c r="W34" s="1286">
        <f t="shared" si="12"/>
        <v>100</v>
      </c>
      <c r="X34" s="1279"/>
      <c r="Y34" s="365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1"/>
      <c r="Q35" s="664">
        <f t="shared" si="8"/>
        <v>111</v>
      </c>
      <c r="R35" s="1285" t="s">
        <v>1103</v>
      </c>
      <c r="S35" s="1286">
        <f t="shared" si="10"/>
        <v>100</v>
      </c>
      <c r="T35" s="1285" t="s">
        <v>1103</v>
      </c>
      <c r="U35" s="1286">
        <f t="shared" si="11"/>
        <v>100</v>
      </c>
      <c r="V35" s="1285" t="s">
        <v>1103</v>
      </c>
      <c r="W35" s="1286">
        <f t="shared" si="12"/>
        <v>100</v>
      </c>
      <c r="X35" s="1279"/>
      <c r="Y35" s="365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1133</v>
      </c>
      <c r="Q36" s="664">
        <f t="shared" si="8"/>
        <v>111</v>
      </c>
      <c r="R36" s="1285" t="s">
        <v>1103</v>
      </c>
      <c r="S36" s="1286">
        <f t="shared" si="10"/>
        <v>100</v>
      </c>
      <c r="T36" s="1285" t="s">
        <v>1103</v>
      </c>
      <c r="U36" s="1286">
        <f t="shared" si="11"/>
        <v>100</v>
      </c>
      <c r="V36" s="1285" t="s">
        <v>1103</v>
      </c>
      <c r="W36" s="1286">
        <f t="shared" si="12"/>
        <v>100</v>
      </c>
      <c r="X36" s="1279"/>
      <c r="Y36" s="3652" t="s">
        <v>1133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2"/>
      <c r="Q37" s="664">
        <f t="shared" si="8"/>
        <v>111</v>
      </c>
      <c r="R37" s="1287" t="s">
        <v>1103</v>
      </c>
      <c r="S37" s="1288">
        <f t="shared" si="10"/>
        <v>100</v>
      </c>
      <c r="T37" s="1287" t="s">
        <v>1103</v>
      </c>
      <c r="U37" s="1288">
        <f t="shared" si="11"/>
        <v>100</v>
      </c>
      <c r="V37" s="1287" t="s">
        <v>1103</v>
      </c>
      <c r="W37" s="1288">
        <f t="shared" si="12"/>
        <v>100</v>
      </c>
      <c r="X37" s="1289"/>
      <c r="Y37" s="3652"/>
      <c r="Z37" s="1297">
        <f t="shared" si="13"/>
        <v>111</v>
      </c>
      <c r="AA37" s="1296">
        <f t="shared" si="3"/>
        <v>1</v>
      </c>
      <c r="AB37" s="1296">
        <f t="shared" si="4"/>
        <v>1</v>
      </c>
      <c r="AC37" s="1296">
        <f t="shared" si="5"/>
        <v>1</v>
      </c>
    </row>
    <row r="38" spans="1:29" ht="15">
      <c r="A38" s="1161" t="s">
        <v>1131</v>
      </c>
      <c r="B38" s="1158" t="s">
        <v>1630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2"/>
      <c r="Q38" s="664" t="str">
        <f t="shared" si="8"/>
        <v>宗地面积</v>
      </c>
      <c r="R38" s="1285" t="s">
        <v>1103</v>
      </c>
      <c r="S38" s="1286" t="e">
        <f t="shared" si="10"/>
        <v>#N/A</v>
      </c>
      <c r="T38" s="1285" t="s">
        <v>1103</v>
      </c>
      <c r="U38" s="1286" t="e">
        <f t="shared" si="11"/>
        <v>#N/A</v>
      </c>
      <c r="V38" s="1285" t="s">
        <v>1103</v>
      </c>
      <c r="W38" s="1286" t="e">
        <f t="shared" si="12"/>
        <v>#N/A</v>
      </c>
      <c r="X38" s="1279"/>
      <c r="Y38" s="3652"/>
      <c r="Z38" s="1269" t="str">
        <f t="shared" si="13"/>
        <v>宗地面积</v>
      </c>
      <c r="AA38" s="1296" t="e">
        <f t="shared" si="3"/>
        <v>#N/A</v>
      </c>
      <c r="AB38" s="1296" t="e">
        <f t="shared" si="4"/>
        <v>#N/A</v>
      </c>
      <c r="AC38" s="1296" t="e">
        <f t="shared" si="5"/>
        <v>#N/A</v>
      </c>
    </row>
    <row r="39" spans="1:29" ht="15">
      <c r="A39" s="1161"/>
      <c r="B39" s="1107" t="s">
        <v>1631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2"/>
      <c r="Q39" s="664" t="str">
        <f t="shared" ref="Q39:Q45" si="14">B39</f>
        <v>宗地形状</v>
      </c>
      <c r="R39" s="1285" t="s">
        <v>1103</v>
      </c>
      <c r="S39" s="1286">
        <f t="shared" si="10"/>
        <v>100</v>
      </c>
      <c r="T39" s="1285" t="s">
        <v>1103</v>
      </c>
      <c r="U39" s="1286">
        <f t="shared" si="11"/>
        <v>100</v>
      </c>
      <c r="V39" s="1285" t="s">
        <v>1103</v>
      </c>
      <c r="W39" s="1286">
        <f t="shared" si="12"/>
        <v>100</v>
      </c>
      <c r="X39" s="1279"/>
      <c r="Y39" s="3652"/>
      <c r="Z39" s="1269" t="str">
        <f t="shared" si="13"/>
        <v>宗地形状</v>
      </c>
      <c r="AA39" s="1296">
        <f t="shared" si="3"/>
        <v>1</v>
      </c>
      <c r="AB39" s="1296">
        <f t="shared" si="4"/>
        <v>1</v>
      </c>
      <c r="AC39" s="1296">
        <f t="shared" si="5"/>
        <v>1</v>
      </c>
    </row>
    <row r="40" spans="1:29" ht="15">
      <c r="A40" s="1161"/>
      <c r="B40" s="1107" t="s">
        <v>1632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2"/>
      <c r="Q40" s="664" t="str">
        <f t="shared" si="14"/>
        <v>临街宽度及深度</v>
      </c>
      <c r="R40" s="1285" t="s">
        <v>1103</v>
      </c>
      <c r="S40" s="1286">
        <f t="shared" si="10"/>
        <v>100</v>
      </c>
      <c r="T40" s="1285" t="s">
        <v>1103</v>
      </c>
      <c r="U40" s="1286">
        <f t="shared" si="11"/>
        <v>100</v>
      </c>
      <c r="V40" s="1285" t="s">
        <v>1103</v>
      </c>
      <c r="W40" s="1286">
        <f t="shared" si="12"/>
        <v>100</v>
      </c>
      <c r="X40" s="1279"/>
      <c r="Y40" s="3652"/>
      <c r="Z40" s="1269" t="str">
        <f t="shared" si="13"/>
        <v>临街宽度及深度</v>
      </c>
      <c r="AA40" s="1296">
        <f t="shared" si="3"/>
        <v>1</v>
      </c>
      <c r="AB40" s="1296">
        <f t="shared" si="4"/>
        <v>1</v>
      </c>
      <c r="AC40" s="1296">
        <f t="shared" si="5"/>
        <v>1</v>
      </c>
    </row>
    <row r="41" spans="1:29" s="1069" customFormat="1" ht="15">
      <c r="A41" s="1163"/>
      <c r="B41" s="1107" t="s">
        <v>1633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2"/>
      <c r="Q41" s="664" t="str">
        <f t="shared" si="14"/>
        <v>宗地开发程度</v>
      </c>
      <c r="R41" s="1280" t="s">
        <v>1103</v>
      </c>
      <c r="S41" s="1281">
        <f t="shared" si="10"/>
        <v>100</v>
      </c>
      <c r="T41" s="1280" t="s">
        <v>1103</v>
      </c>
      <c r="U41" s="1281">
        <f t="shared" si="11"/>
        <v>100</v>
      </c>
      <c r="V41" s="1280" t="s">
        <v>1103</v>
      </c>
      <c r="W41" s="1281">
        <f t="shared" si="12"/>
        <v>100</v>
      </c>
      <c r="X41" s="1282"/>
      <c r="Y41" s="3652"/>
      <c r="Z41" s="1295" t="str">
        <f t="shared" si="13"/>
        <v>宗地开发程度</v>
      </c>
      <c r="AA41" s="1294">
        <f t="shared" si="3"/>
        <v>1</v>
      </c>
      <c r="AB41" s="1294">
        <f t="shared" si="4"/>
        <v>1</v>
      </c>
      <c r="AC41" s="1294">
        <f t="shared" si="5"/>
        <v>1</v>
      </c>
    </row>
    <row r="42" spans="1:29" ht="15">
      <c r="A42" s="1161"/>
      <c r="B42" s="1107" t="s">
        <v>1634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2" t="s">
        <v>1133</v>
      </c>
      <c r="Q42" s="664" t="str">
        <f t="shared" si="14"/>
        <v>工程地质条件</v>
      </c>
      <c r="R42" s="1285" t="s">
        <v>1103</v>
      </c>
      <c r="S42" s="1286">
        <f t="shared" si="10"/>
        <v>100</v>
      </c>
      <c r="T42" s="1285" t="s">
        <v>1103</v>
      </c>
      <c r="U42" s="1286">
        <f t="shared" si="11"/>
        <v>100</v>
      </c>
      <c r="V42" s="1285" t="s">
        <v>1103</v>
      </c>
      <c r="W42" s="1286">
        <f t="shared" si="12"/>
        <v>100</v>
      </c>
      <c r="X42" s="1279"/>
      <c r="Y42" s="3652"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2"/>
      <c r="Q43" s="664">
        <f t="shared" si="14"/>
        <v>111</v>
      </c>
      <c r="R43" s="1285" t="s">
        <v>1103</v>
      </c>
      <c r="S43" s="1286">
        <f t="shared" si="10"/>
        <v>100</v>
      </c>
      <c r="T43" s="1285" t="s">
        <v>1103</v>
      </c>
      <c r="U43" s="1286">
        <f t="shared" si="11"/>
        <v>100</v>
      </c>
      <c r="V43" s="1285" t="s">
        <v>1103</v>
      </c>
      <c r="W43" s="1286">
        <f t="shared" si="12"/>
        <v>100</v>
      </c>
      <c r="X43" s="1279"/>
      <c r="Y43" s="365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2"/>
      <c r="Q44" s="664">
        <f t="shared" si="14"/>
        <v>111</v>
      </c>
      <c r="R44" s="1285" t="s">
        <v>1103</v>
      </c>
      <c r="S44" s="1286">
        <f t="shared" si="10"/>
        <v>100</v>
      </c>
      <c r="T44" s="1285" t="s">
        <v>1103</v>
      </c>
      <c r="U44" s="1286">
        <f t="shared" si="11"/>
        <v>100</v>
      </c>
      <c r="V44" s="1285" t="s">
        <v>1103</v>
      </c>
      <c r="W44" s="1286">
        <f t="shared" si="12"/>
        <v>100</v>
      </c>
      <c r="X44" s="1279"/>
      <c r="Y44" s="365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2"/>
      <c r="Q45" s="664">
        <f t="shared" si="14"/>
        <v>111</v>
      </c>
      <c r="R45" s="1287" t="s">
        <v>1103</v>
      </c>
      <c r="S45" s="1288">
        <f t="shared" si="10"/>
        <v>100</v>
      </c>
      <c r="T45" s="1287" t="s">
        <v>1103</v>
      </c>
      <c r="U45" s="1288">
        <f t="shared" si="11"/>
        <v>100</v>
      </c>
      <c r="V45" s="1287" t="s">
        <v>1103</v>
      </c>
      <c r="W45" s="1288">
        <f t="shared" si="12"/>
        <v>100</v>
      </c>
      <c r="X45" s="1289"/>
      <c r="Y45" s="3652"/>
      <c r="Z45" s="1297">
        <f t="shared" si="13"/>
        <v>111</v>
      </c>
      <c r="AA45" s="1296">
        <f t="shared" si="3"/>
        <v>1</v>
      </c>
      <c r="AB45" s="1296">
        <f t="shared" si="4"/>
        <v>1</v>
      </c>
      <c r="AC45" s="1296">
        <f t="shared" si="5"/>
        <v>1</v>
      </c>
    </row>
    <row r="46" spans="1:29" ht="15">
      <c r="A46" s="1168" t="s">
        <v>1616</v>
      </c>
      <c r="B46" s="1169" t="s">
        <v>1635</v>
      </c>
      <c r="C46" s="1170" t="s">
        <v>124</v>
      </c>
      <c r="D46" s="1171"/>
      <c r="E46" s="1172"/>
      <c r="F46" s="1173"/>
      <c r="G46" s="1174"/>
      <c r="H46" s="1175"/>
      <c r="I46" s="1172"/>
      <c r="J46" s="1175"/>
      <c r="K46" s="1260"/>
      <c r="L46" s="1261"/>
      <c r="M46" s="1185"/>
      <c r="N46" s="1237"/>
      <c r="O46" s="1185"/>
      <c r="P46" s="3638" t="str">
        <f>A46</f>
        <v>成交单价</v>
      </c>
      <c r="Q46" s="3638"/>
      <c r="R46" s="3639">
        <f>E46</f>
        <v>0</v>
      </c>
      <c r="S46" s="3639"/>
      <c r="T46" s="3639">
        <f>G46</f>
        <v>0</v>
      </c>
      <c r="U46" s="3639"/>
      <c r="V46" s="3639">
        <f>I46</f>
        <v>0</v>
      </c>
      <c r="W46" s="3639"/>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1636</v>
      </c>
      <c r="B48" s="1183"/>
      <c r="C48" s="1184" t="e">
        <f>R48</f>
        <v>#DIV/0!</v>
      </c>
      <c r="D48" s="1184"/>
      <c r="E48" s="1184"/>
      <c r="F48" s="1184"/>
      <c r="G48" s="1184"/>
      <c r="H48" s="1184"/>
      <c r="I48" s="1184"/>
      <c r="J48" s="1184"/>
      <c r="K48" s="1263"/>
      <c r="L48" s="1261"/>
      <c r="M48" s="1185"/>
      <c r="N48" s="1185"/>
      <c r="O48" s="1185"/>
      <c r="P48" s="3641" t="str">
        <f>A48</f>
        <v>估价对象XX用房的比较价值（楼面单价，元/平方米）</v>
      </c>
      <c r="Q48" s="3642"/>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1637</v>
      </c>
      <c r="B55" s="1195" t="s">
        <v>1638</v>
      </c>
      <c r="C55" s="1196" t="s">
        <v>1639</v>
      </c>
      <c r="D55" s="1197" t="s">
        <v>1640</v>
      </c>
      <c r="E55" s="1198" t="s">
        <v>1641</v>
      </c>
      <c r="F55" s="1428" t="s">
        <v>1642</v>
      </c>
      <c r="G55" s="3622" t="s">
        <v>1643</v>
      </c>
      <c r="H55" s="3715"/>
      <c r="I55" s="1432" t="s">
        <v>1644</v>
      </c>
      <c r="J55" s="1433">
        <f>项目基本情况!F35</f>
        <v>0</v>
      </c>
      <c r="K55" s="1270" t="s">
        <v>1645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1646</v>
      </c>
      <c r="B56" s="1201" t="e">
        <f>C48</f>
        <v>#DIV/0!</v>
      </c>
      <c r="C56" s="1202">
        <v>1</v>
      </c>
      <c r="D56" s="1203">
        <v>1</v>
      </c>
      <c r="E56" s="1202">
        <f>'数据-汇总表'!E8+'数据-汇总表'!E9</f>
        <v>93.61</v>
      </c>
      <c r="F56" s="1429" t="e">
        <f t="shared" ref="F56:F64" si="15">ROUND(B56*E56/10000,0)</f>
        <v>#DIV/0!</v>
      </c>
      <c r="G56" s="3644"/>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1647</v>
      </c>
      <c r="B57" s="395" t="e">
        <f>ROUND($C$48*C57*D57,0)</f>
        <v>#DIV/0!</v>
      </c>
      <c r="C57" s="582">
        <f t="shared" ref="C57:C64" si="16">IF($C$55="北京市系数",I57,J57)</f>
        <v>0.6</v>
      </c>
      <c r="D57" s="1206">
        <v>0.25</v>
      </c>
      <c r="E57" s="1207"/>
      <c r="F57" s="1429" t="e">
        <f t="shared" si="15"/>
        <v>#DIV/0!</v>
      </c>
      <c r="G57" s="1208" t="s">
        <v>1648</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1649</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1650</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1651</v>
      </c>
      <c r="B60" s="395" t="e">
        <f t="shared" si="17"/>
        <v>#DIV/0!</v>
      </c>
      <c r="C60" s="582">
        <f t="shared" si="16"/>
        <v>0</v>
      </c>
      <c r="D60" s="1206">
        <v>0.25</v>
      </c>
      <c r="E60" s="394">
        <f>'数据-汇总表'!E11</f>
        <v>0</v>
      </c>
      <c r="F60" s="1429" t="e">
        <f t="shared" si="15"/>
        <v>#DIV/0!</v>
      </c>
      <c r="G60" s="1212" t="s">
        <v>1652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1653</v>
      </c>
      <c r="B61" s="395" t="e">
        <f t="shared" si="17"/>
        <v>#DIV/0!</v>
      </c>
      <c r="C61" s="582">
        <f t="shared" si="16"/>
        <v>0</v>
      </c>
      <c r="D61" s="1206">
        <v>0.25</v>
      </c>
      <c r="E61" s="394">
        <f>'数据-汇总表'!E12</f>
        <v>0</v>
      </c>
      <c r="F61" s="1429" t="e">
        <f t="shared" si="15"/>
        <v>#DIV/0!</v>
      </c>
      <c r="G61" s="1213" t="s">
        <v>1654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1655</v>
      </c>
      <c r="B62" s="395" t="e">
        <f t="shared" si="17"/>
        <v>#DIV/0!</v>
      </c>
      <c r="C62" s="582">
        <f t="shared" si="16"/>
        <v>0</v>
      </c>
      <c r="D62" s="1206">
        <v>0.25</v>
      </c>
      <c r="E62" s="394">
        <f>'数据-汇总表'!E13</f>
        <v>0</v>
      </c>
      <c r="F62" s="1429" t="e">
        <f t="shared" si="15"/>
        <v>#DIV/0!</v>
      </c>
      <c r="G62" s="1213" t="s">
        <v>1656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1657</v>
      </c>
      <c r="B63" s="395" t="e">
        <f t="shared" si="17"/>
        <v>#DIV/0!</v>
      </c>
      <c r="C63" s="582">
        <f t="shared" si="16"/>
        <v>0.15</v>
      </c>
      <c r="D63" s="1206">
        <v>0.25</v>
      </c>
      <c r="E63" s="394">
        <f>'数据-汇总表'!E14</f>
        <v>0</v>
      </c>
      <c r="F63" s="1429" t="e">
        <f t="shared" si="15"/>
        <v>#DIV/0!</v>
      </c>
      <c r="G63" s="1212" t="s">
        <v>1648</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1658</v>
      </c>
      <c r="B64" s="395" t="e">
        <f t="shared" si="17"/>
        <v>#DIV/0!</v>
      </c>
      <c r="C64" s="582">
        <f t="shared" si="16"/>
        <v>0</v>
      </c>
      <c r="D64" s="1206">
        <v>0.25</v>
      </c>
      <c r="E64" s="394">
        <f>'数据-汇总表'!E15</f>
        <v>0</v>
      </c>
      <c r="F64" s="1429" t="e">
        <f t="shared" si="15"/>
        <v>#DIV/0!</v>
      </c>
      <c r="G64" s="1214" t="s">
        <v>1652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1659</v>
      </c>
      <c r="B65" s="1217" t="s">
        <v>1660</v>
      </c>
      <c r="C65" s="1217" t="s">
        <v>1660</v>
      </c>
      <c r="D65" s="1217" t="s">
        <v>1660</v>
      </c>
      <c r="E65" s="1217">
        <f>IF(B46="楼面地价",SUM(E56:E64),'数据-汇总表'!D3)</f>
        <v>93.61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1161</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1116</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1119</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1627</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1628</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1663</v>
      </c>
      <c r="D103" s="1321" t="s">
        <v>1664</v>
      </c>
      <c r="E103" s="1321" t="s">
        <v>1665</v>
      </c>
      <c r="F103" s="1321" t="s">
        <v>1666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1630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1624</v>
      </c>
      <c r="B1" s="1079"/>
      <c r="C1" s="1080" t="s">
        <v>1602</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22" t="s">
        <v>1089</v>
      </c>
      <c r="D4" s="3623"/>
      <c r="E4" s="3624" t="s">
        <v>1090</v>
      </c>
      <c r="F4" s="3625"/>
      <c r="G4" s="3622" t="s">
        <v>1091</v>
      </c>
      <c r="H4" s="3623"/>
      <c r="I4" s="3622" t="s">
        <v>1092</v>
      </c>
      <c r="J4" s="3623"/>
      <c r="K4" s="1235" t="s">
        <v>1093</v>
      </c>
      <c r="L4" s="1236"/>
      <c r="M4" s="1237"/>
      <c r="N4" s="1237"/>
      <c r="O4" s="1237"/>
      <c r="P4" s="3657" t="s">
        <v>1094</v>
      </c>
      <c r="Q4" s="3658"/>
      <c r="R4" s="3663" t="s">
        <v>1090</v>
      </c>
      <c r="S4" s="3664"/>
      <c r="T4" s="3663" t="s">
        <v>1091</v>
      </c>
      <c r="U4" s="3664"/>
      <c r="V4" s="3639" t="s">
        <v>1092</v>
      </c>
      <c r="W4" s="3639"/>
      <c r="X4" s="1279"/>
      <c r="Y4" s="3663" t="s">
        <v>1094</v>
      </c>
      <c r="Z4" s="3664"/>
      <c r="AA4" s="3654" t="s">
        <v>1090</v>
      </c>
      <c r="AB4" s="3655" t="s">
        <v>1091</v>
      </c>
      <c r="AC4" s="3654" t="s">
        <v>1092</v>
      </c>
    </row>
    <row r="5" spans="1:29" ht="15">
      <c r="A5" s="1090"/>
      <c r="B5" s="1091"/>
      <c r="C5" s="3626" t="s">
        <v>1095</v>
      </c>
      <c r="D5" s="3627"/>
      <c r="E5" s="3695" t="s">
        <v>1565</v>
      </c>
      <c r="F5" s="3629"/>
      <c r="G5" s="3626" t="s">
        <v>1566</v>
      </c>
      <c r="H5" s="3627"/>
      <c r="I5" s="3626" t="s">
        <v>1567</v>
      </c>
      <c r="J5" s="3627"/>
      <c r="K5" s="1235"/>
      <c r="L5" s="1236"/>
      <c r="M5" s="1237"/>
      <c r="N5" s="1237"/>
      <c r="O5" s="1237"/>
      <c r="P5" s="3659"/>
      <c r="Q5" s="3660"/>
      <c r="R5" s="3665"/>
      <c r="S5" s="3666"/>
      <c r="T5" s="3665"/>
      <c r="U5" s="3666"/>
      <c r="V5" s="3639"/>
      <c r="W5" s="3639"/>
      <c r="X5" s="1279"/>
      <c r="Y5" s="3665"/>
      <c r="Z5" s="3666"/>
      <c r="AA5" s="3655"/>
      <c r="AB5" s="3655"/>
      <c r="AC5" s="3655"/>
    </row>
    <row r="6" spans="1:29" ht="15">
      <c r="A6" s="1092"/>
      <c r="B6" s="1093"/>
      <c r="C6" s="3716" t="s">
        <v>1667</v>
      </c>
      <c r="D6" s="3717"/>
      <c r="E6" s="3718" t="s">
        <v>1667</v>
      </c>
      <c r="F6" s="3719"/>
      <c r="G6" s="3716" t="s">
        <v>1667</v>
      </c>
      <c r="H6" s="3717"/>
      <c r="I6" s="3716" t="s">
        <v>1667</v>
      </c>
      <c r="J6" s="3717"/>
      <c r="K6" s="1235" t="s">
        <v>1100</v>
      </c>
      <c r="L6" s="1236"/>
      <c r="M6" s="1237"/>
      <c r="N6" s="1237"/>
      <c r="O6" s="1237"/>
      <c r="P6" s="3661"/>
      <c r="Q6" s="3662"/>
      <c r="R6" s="3665"/>
      <c r="S6" s="3666"/>
      <c r="T6" s="3667"/>
      <c r="U6" s="3668"/>
      <c r="V6" s="3639"/>
      <c r="W6" s="3639"/>
      <c r="X6" s="1279"/>
      <c r="Y6" s="3667"/>
      <c r="Z6" s="3668"/>
      <c r="AA6" s="3656"/>
      <c r="AB6" s="3656"/>
      <c r="AC6" s="3656"/>
    </row>
    <row r="7" spans="1:29" s="1069" customFormat="1" ht="15">
      <c r="A7" s="1094" t="s">
        <v>1101</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5" t="s">
        <v>1102</v>
      </c>
      <c r="Q7" s="3636"/>
      <c r="R7" s="1280" t="s">
        <v>1103</v>
      </c>
      <c r="S7" s="1281">
        <f t="shared" ref="S7:S15" si="0">F7</f>
        <v>0</v>
      </c>
      <c r="T7" s="1280" t="s">
        <v>1103</v>
      </c>
      <c r="U7" s="1281">
        <f t="shared" ref="U7:U15" si="1">H7</f>
        <v>0</v>
      </c>
      <c r="V7" s="1280" t="s">
        <v>1103</v>
      </c>
      <c r="W7" s="1281">
        <f t="shared" ref="W7:W15" si="2">J7</f>
        <v>0</v>
      </c>
      <c r="X7" s="1282"/>
      <c r="Y7" s="3635" t="s">
        <v>1102</v>
      </c>
      <c r="Z7" s="3637"/>
      <c r="AA7" s="1294" t="e">
        <f>D7/F7</f>
        <v>#DIV/0!</v>
      </c>
      <c r="AB7" s="1294" t="e">
        <f>D7/H7</f>
        <v>#DIV/0!</v>
      </c>
      <c r="AC7" s="1294" t="e">
        <f>D7/J7</f>
        <v>#DIV/0!</v>
      </c>
    </row>
    <row r="8" spans="1:29" s="1069" customFormat="1" ht="15">
      <c r="A8" s="1094" t="s">
        <v>1104</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5" t="s">
        <v>1108</v>
      </c>
      <c r="Q8" s="3637"/>
      <c r="R8" s="1280" t="s">
        <v>1103</v>
      </c>
      <c r="S8" s="1281">
        <f t="shared" si="0"/>
        <v>0</v>
      </c>
      <c r="T8" s="1280" t="s">
        <v>1103</v>
      </c>
      <c r="U8" s="1281">
        <f t="shared" si="1"/>
        <v>0</v>
      </c>
      <c r="V8" s="1280" t="s">
        <v>1103</v>
      </c>
      <c r="W8" s="1281">
        <f t="shared" si="2"/>
        <v>0</v>
      </c>
      <c r="X8" s="1282"/>
      <c r="Y8" s="3635" t="s">
        <v>1108</v>
      </c>
      <c r="Z8" s="3637"/>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600"/>
      <c r="Z10" s="1295" t="str">
        <f t="shared" si="7"/>
        <v>土地使用年限（年）</v>
      </c>
      <c r="AA10" s="1294">
        <f t="shared" si="3"/>
        <v>0.91743119266055051</v>
      </c>
      <c r="AB10" s="1294">
        <f t="shared" si="4"/>
        <v>0.91743119266055051</v>
      </c>
      <c r="AC10" s="1294">
        <f t="shared" si="5"/>
        <v>0.91743119266055051</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600"/>
      <c r="Z14" s="1295">
        <f t="shared" si="7"/>
        <v>111</v>
      </c>
      <c r="AA14" s="1294">
        <f t="shared" si="3"/>
        <v>1</v>
      </c>
      <c r="AB14" s="1294">
        <f t="shared" si="4"/>
        <v>1</v>
      </c>
      <c r="AC14" s="1294">
        <f t="shared" si="5"/>
        <v>1</v>
      </c>
    </row>
    <row r="15" spans="1:29" ht="57">
      <c r="A15" s="1124" t="s">
        <v>1115</v>
      </c>
      <c r="B15" s="1125" t="s">
        <v>1603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0" t="s">
        <v>1117</v>
      </c>
      <c r="Q15" s="664" t="str">
        <f t="shared" si="6"/>
        <v>产业集聚程度</v>
      </c>
      <c r="R15" s="1285" t="s">
        <v>1103</v>
      </c>
      <c r="S15" s="1286">
        <f t="shared" si="0"/>
        <v>100</v>
      </c>
      <c r="T15" s="1285" t="s">
        <v>1103</v>
      </c>
      <c r="U15" s="1286">
        <f t="shared" si="1"/>
        <v>100</v>
      </c>
      <c r="V15" s="1285" t="s">
        <v>1103</v>
      </c>
      <c r="W15" s="1286">
        <f t="shared" si="2"/>
        <v>100</v>
      </c>
      <c r="X15" s="1279"/>
      <c r="Y15" s="3650"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85.5">
      <c r="A17" s="1110"/>
      <c r="B17" s="1134" t="s">
        <v>1119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1"/>
      <c r="Q17" s="664" t="str">
        <f>B17</f>
        <v>交通便捷度</v>
      </c>
      <c r="R17" s="1285" t="s">
        <v>1103</v>
      </c>
      <c r="S17" s="1286">
        <f>F17</f>
        <v>100</v>
      </c>
      <c r="T17" s="1285" t="s">
        <v>1103</v>
      </c>
      <c r="U17" s="1286">
        <f>H17</f>
        <v>100</v>
      </c>
      <c r="V17" s="1285" t="s">
        <v>1103</v>
      </c>
      <c r="W17" s="1286">
        <f>J17</f>
        <v>100</v>
      </c>
      <c r="X17" s="1279"/>
      <c r="Y17" s="365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15">
      <c r="A19" s="1110"/>
      <c r="B19" s="1134" t="s">
        <v>1627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1"/>
      <c r="Q19" s="664" t="str">
        <f t="shared" ref="Q19:Q34" si="8">B19</f>
        <v>区域土地利用方向</v>
      </c>
      <c r="R19" s="1285" t="s">
        <v>1103</v>
      </c>
      <c r="S19" s="1286">
        <f>F19</f>
        <v>100</v>
      </c>
      <c r="T19" s="1285" t="s">
        <v>1103</v>
      </c>
      <c r="U19" s="1286">
        <f>H19</f>
        <v>100</v>
      </c>
      <c r="V19" s="1285" t="s">
        <v>1103</v>
      </c>
      <c r="W19" s="1286">
        <f>J19</f>
        <v>100</v>
      </c>
      <c r="X19" s="1279"/>
      <c r="Y19" s="365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1"/>
      <c r="Q20" s="664"/>
      <c r="R20" s="1285"/>
      <c r="S20" s="1286"/>
      <c r="T20" s="1285"/>
      <c r="U20" s="1286"/>
      <c r="V20" s="1285"/>
      <c r="W20" s="1286"/>
      <c r="X20" s="1279"/>
      <c r="Y20" s="3651"/>
      <c r="Z20" s="1269"/>
      <c r="AA20" s="1296"/>
      <c r="AB20" s="1296"/>
      <c r="AC20" s="1296"/>
    </row>
    <row r="21" spans="1:29" ht="71.25">
      <c r="A21" s="1090"/>
      <c r="B21" s="1134" t="s">
        <v>1668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1"/>
      <c r="Q21" s="664" t="str">
        <f t="shared" si="8"/>
        <v>环境状况</v>
      </c>
      <c r="R21" s="1285" t="s">
        <v>1103</v>
      </c>
      <c r="S21" s="1286">
        <f>F21</f>
        <v>100</v>
      </c>
      <c r="T21" s="1285" t="s">
        <v>1103</v>
      </c>
      <c r="U21" s="1286">
        <f>H21</f>
        <v>100</v>
      </c>
      <c r="V21" s="1285" t="s">
        <v>1103</v>
      </c>
      <c r="W21" s="1286">
        <f>J21</f>
        <v>100</v>
      </c>
      <c r="X21" s="1279"/>
      <c r="Y21" s="365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1"/>
      <c r="Q23" s="1284" t="str">
        <f t="shared" si="8"/>
        <v>公共配套设施</v>
      </c>
      <c r="R23" s="1280" t="s">
        <v>1103</v>
      </c>
      <c r="S23" s="1281">
        <f>F23</f>
        <v>100</v>
      </c>
      <c r="T23" s="1280" t="s">
        <v>1103</v>
      </c>
      <c r="U23" s="1281">
        <f>H23</f>
        <v>100</v>
      </c>
      <c r="V23" s="1280" t="s">
        <v>1103</v>
      </c>
      <c r="W23" s="1281">
        <f>J23</f>
        <v>100</v>
      </c>
      <c r="X23" s="1282"/>
      <c r="Y23" s="365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1"/>
      <c r="Q24" s="1284"/>
      <c r="R24" s="1280"/>
      <c r="S24" s="1281"/>
      <c r="T24" s="1280"/>
      <c r="U24" s="1281"/>
      <c r="V24" s="1280"/>
      <c r="W24" s="1281"/>
      <c r="X24" s="1282"/>
      <c r="Y24" s="3651"/>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1"/>
      <c r="Q25" s="1284" t="str">
        <f t="shared" ref="Q25" si="9">B25</f>
        <v>基础设施水平</v>
      </c>
      <c r="R25" s="1280" t="s">
        <v>1103</v>
      </c>
      <c r="S25" s="1281">
        <f>F25</f>
        <v>100</v>
      </c>
      <c r="T25" s="1280" t="s">
        <v>1103</v>
      </c>
      <c r="U25" s="1281">
        <f>H25</f>
        <v>100</v>
      </c>
      <c r="V25" s="1280" t="s">
        <v>1103</v>
      </c>
      <c r="W25" s="1281">
        <f>J25</f>
        <v>100</v>
      </c>
      <c r="X25" s="1282"/>
      <c r="Y25" s="365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1"/>
      <c r="Q26" s="1284"/>
      <c r="R26" s="1280"/>
      <c r="S26" s="1281"/>
      <c r="T26" s="1280"/>
      <c r="U26" s="1281"/>
      <c r="V26" s="1280"/>
      <c r="W26" s="1281"/>
      <c r="X26" s="1282"/>
      <c r="Y26" s="3651"/>
      <c r="Z26" s="1295"/>
      <c r="AA26" s="1294">
        <v>1</v>
      </c>
      <c r="AB26" s="1294">
        <v>1</v>
      </c>
      <c r="AC26" s="1294">
        <v>1</v>
      </c>
    </row>
    <row r="27" spans="1:29" ht="15">
      <c r="A27" s="1110"/>
      <c r="B27" s="1138" t="s">
        <v>1124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1"/>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51"/>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1"/>
      <c r="Q28" s="664" t="str">
        <f t="shared" si="8"/>
        <v>毗邻道路的类型与等级</v>
      </c>
      <c r="R28" s="1285" t="s">
        <v>1103</v>
      </c>
      <c r="S28" s="1286">
        <f t="shared" si="10"/>
        <v>100</v>
      </c>
      <c r="T28" s="1285" t="s">
        <v>1103</v>
      </c>
      <c r="U28" s="1286">
        <f t="shared" si="11"/>
        <v>100</v>
      </c>
      <c r="V28" s="1285" t="s">
        <v>1103</v>
      </c>
      <c r="W28" s="1286">
        <f t="shared" si="12"/>
        <v>100</v>
      </c>
      <c r="X28" s="1279"/>
      <c r="Y28" s="365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1"/>
      <c r="Q29" s="664"/>
      <c r="R29" s="1285"/>
      <c r="S29" s="1286"/>
      <c r="T29" s="1285"/>
      <c r="U29" s="1286"/>
      <c r="V29" s="1285"/>
      <c r="W29" s="1286"/>
      <c r="X29" s="1279"/>
      <c r="Y29" s="3651"/>
      <c r="Z29" s="1269"/>
      <c r="AA29" s="1296">
        <v>1</v>
      </c>
      <c r="AB29" s="1296">
        <v>1</v>
      </c>
      <c r="AC29" s="1296">
        <v>1</v>
      </c>
    </row>
    <row r="30" spans="1:29" ht="15">
      <c r="A30" s="1110"/>
      <c r="B30" s="1147" t="s">
        <v>1629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1"/>
      <c r="Q30" s="664" t="str">
        <f t="shared" si="8"/>
        <v>土地级别</v>
      </c>
      <c r="R30" s="1285" t="s">
        <v>1103</v>
      </c>
      <c r="S30" s="1286">
        <f t="shared" si="10"/>
        <v>100</v>
      </c>
      <c r="T30" s="1285" t="s">
        <v>1103</v>
      </c>
      <c r="U30" s="1286">
        <f t="shared" si="11"/>
        <v>100</v>
      </c>
      <c r="V30" s="1285" t="s">
        <v>1103</v>
      </c>
      <c r="W30" s="1286">
        <f t="shared" si="12"/>
        <v>100</v>
      </c>
      <c r="X30" s="1279"/>
      <c r="Y30" s="365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1"/>
      <c r="Q31" s="664">
        <f t="shared" si="8"/>
        <v>111</v>
      </c>
      <c r="R31" s="1285" t="s">
        <v>1103</v>
      </c>
      <c r="S31" s="1286">
        <f t="shared" si="10"/>
        <v>100</v>
      </c>
      <c r="T31" s="1285" t="s">
        <v>1103</v>
      </c>
      <c r="U31" s="1286">
        <f t="shared" si="11"/>
        <v>100</v>
      </c>
      <c r="V31" s="1285" t="s">
        <v>1103</v>
      </c>
      <c r="W31" s="1286">
        <f t="shared" si="12"/>
        <v>100</v>
      </c>
      <c r="X31" s="1279"/>
      <c r="Y31" s="365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1133</v>
      </c>
      <c r="Q32" s="664">
        <f t="shared" si="8"/>
        <v>111</v>
      </c>
      <c r="R32" s="1285" t="s">
        <v>1103</v>
      </c>
      <c r="S32" s="1286">
        <f t="shared" si="10"/>
        <v>100</v>
      </c>
      <c r="T32" s="1285" t="s">
        <v>1103</v>
      </c>
      <c r="U32" s="1286">
        <f t="shared" si="11"/>
        <v>100</v>
      </c>
      <c r="V32" s="1285" t="s">
        <v>1103</v>
      </c>
      <c r="W32" s="1286">
        <f t="shared" si="12"/>
        <v>100</v>
      </c>
      <c r="X32" s="1279"/>
      <c r="Y32" s="3652"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2"/>
      <c r="Q33" s="664">
        <f t="shared" si="8"/>
        <v>111</v>
      </c>
      <c r="R33" s="1287" t="s">
        <v>1103</v>
      </c>
      <c r="S33" s="1288">
        <f t="shared" si="10"/>
        <v>100</v>
      </c>
      <c r="T33" s="1287" t="s">
        <v>1103</v>
      </c>
      <c r="U33" s="1288">
        <f t="shared" si="11"/>
        <v>100</v>
      </c>
      <c r="V33" s="1287" t="s">
        <v>1103</v>
      </c>
      <c r="W33" s="1288">
        <f t="shared" si="12"/>
        <v>100</v>
      </c>
      <c r="X33" s="1289"/>
      <c r="Y33" s="3652"/>
      <c r="Z33" s="1297">
        <f t="shared" si="13"/>
        <v>111</v>
      </c>
      <c r="AA33" s="1296">
        <f t="shared" si="3"/>
        <v>1</v>
      </c>
      <c r="AB33" s="1296">
        <f t="shared" si="4"/>
        <v>1</v>
      </c>
      <c r="AC33" s="1296">
        <f t="shared" si="5"/>
        <v>1</v>
      </c>
    </row>
    <row r="34" spans="1:31" ht="15">
      <c r="A34" s="1124" t="s">
        <v>1131</v>
      </c>
      <c r="B34" s="1158" t="s">
        <v>1630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2"/>
      <c r="Q34" s="664" t="str">
        <f t="shared" si="8"/>
        <v>宗地面积</v>
      </c>
      <c r="R34" s="1285" t="s">
        <v>1103</v>
      </c>
      <c r="S34" s="1286" t="e">
        <f t="shared" si="10"/>
        <v>#N/A</v>
      </c>
      <c r="T34" s="1285" t="s">
        <v>1103</v>
      </c>
      <c r="U34" s="1286" t="e">
        <f t="shared" si="11"/>
        <v>#N/A</v>
      </c>
      <c r="V34" s="1285" t="s">
        <v>1103</v>
      </c>
      <c r="W34" s="1286" t="e">
        <f t="shared" si="12"/>
        <v>#N/A</v>
      </c>
      <c r="X34" s="1279"/>
      <c r="Y34" s="3652"/>
      <c r="Z34" s="1269" t="str">
        <f t="shared" si="13"/>
        <v>宗地面积</v>
      </c>
      <c r="AA34" s="1296" t="e">
        <f t="shared" si="3"/>
        <v>#N/A</v>
      </c>
      <c r="AB34" s="1296" t="e">
        <f t="shared" si="4"/>
        <v>#N/A</v>
      </c>
      <c r="AC34" s="1296" t="e">
        <f t="shared" si="5"/>
        <v>#N/A</v>
      </c>
    </row>
    <row r="35" spans="1:31" ht="15">
      <c r="A35" s="1161"/>
      <c r="B35" s="1107" t="s">
        <v>1631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2"/>
      <c r="Q35" s="664" t="str">
        <f t="shared" ref="Q35:Q40" si="14">B35</f>
        <v>宗地形状</v>
      </c>
      <c r="R35" s="1285" t="s">
        <v>1103</v>
      </c>
      <c r="S35" s="1286">
        <f t="shared" si="10"/>
        <v>100</v>
      </c>
      <c r="T35" s="1285" t="s">
        <v>1103</v>
      </c>
      <c r="U35" s="1286">
        <f t="shared" si="11"/>
        <v>100</v>
      </c>
      <c r="V35" s="1285" t="s">
        <v>1103</v>
      </c>
      <c r="W35" s="1286">
        <f t="shared" si="12"/>
        <v>100</v>
      </c>
      <c r="X35" s="1279"/>
      <c r="Y35" s="3652"/>
      <c r="Z35" s="1269" t="str">
        <f t="shared" si="13"/>
        <v>宗地形状</v>
      </c>
      <c r="AA35" s="1296">
        <f t="shared" si="3"/>
        <v>1</v>
      </c>
      <c r="AB35" s="1296">
        <f t="shared" si="4"/>
        <v>1</v>
      </c>
      <c r="AC35" s="1296">
        <f t="shared" si="5"/>
        <v>1</v>
      </c>
    </row>
    <row r="36" spans="1:31" s="1069" customFormat="1" ht="15">
      <c r="A36" s="1163"/>
      <c r="B36" s="1107" t="s">
        <v>1633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2"/>
      <c r="Q36" s="664" t="str">
        <f t="shared" si="14"/>
        <v>宗地开发程度</v>
      </c>
      <c r="R36" s="1280" t="s">
        <v>1103</v>
      </c>
      <c r="S36" s="1281">
        <f t="shared" si="10"/>
        <v>100</v>
      </c>
      <c r="T36" s="1280" t="s">
        <v>1103</v>
      </c>
      <c r="U36" s="1281">
        <f t="shared" si="11"/>
        <v>100</v>
      </c>
      <c r="V36" s="1280" t="s">
        <v>1103</v>
      </c>
      <c r="W36" s="1281">
        <f t="shared" si="12"/>
        <v>100</v>
      </c>
      <c r="X36" s="1282"/>
      <c r="Y36" s="3652"/>
      <c r="Z36" s="1295" t="str">
        <f t="shared" si="13"/>
        <v>宗地开发程度</v>
      </c>
      <c r="AA36" s="1294">
        <f t="shared" si="3"/>
        <v>1</v>
      </c>
      <c r="AB36" s="1294">
        <f t="shared" si="4"/>
        <v>1</v>
      </c>
      <c r="AC36" s="1294">
        <f t="shared" si="5"/>
        <v>1</v>
      </c>
    </row>
    <row r="37" spans="1:31" ht="15">
      <c r="A37" s="1161"/>
      <c r="B37" s="1107" t="s">
        <v>1634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2" t="s">
        <v>1133</v>
      </c>
      <c r="Q37" s="664" t="str">
        <f t="shared" si="14"/>
        <v>工程地质条件</v>
      </c>
      <c r="R37" s="1285" t="s">
        <v>1103</v>
      </c>
      <c r="S37" s="1286">
        <f t="shared" si="10"/>
        <v>100</v>
      </c>
      <c r="T37" s="1285" t="s">
        <v>1103</v>
      </c>
      <c r="U37" s="1286">
        <f t="shared" si="11"/>
        <v>100</v>
      </c>
      <c r="V37" s="1285" t="s">
        <v>1103</v>
      </c>
      <c r="W37" s="1286">
        <f t="shared" si="12"/>
        <v>100</v>
      </c>
      <c r="X37" s="1279"/>
      <c r="Y37" s="3652"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2"/>
      <c r="Q38" s="664">
        <f t="shared" si="14"/>
        <v>111</v>
      </c>
      <c r="R38" s="1285" t="s">
        <v>1103</v>
      </c>
      <c r="S38" s="1286">
        <f t="shared" si="10"/>
        <v>100</v>
      </c>
      <c r="T38" s="1285" t="s">
        <v>1103</v>
      </c>
      <c r="U38" s="1286">
        <f t="shared" si="11"/>
        <v>100</v>
      </c>
      <c r="V38" s="1285" t="s">
        <v>1103</v>
      </c>
      <c r="W38" s="1286">
        <f t="shared" si="12"/>
        <v>100</v>
      </c>
      <c r="X38" s="1279"/>
      <c r="Y38" s="365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2"/>
      <c r="Q39" s="664">
        <f t="shared" si="14"/>
        <v>111</v>
      </c>
      <c r="R39" s="1285" t="s">
        <v>1103</v>
      </c>
      <c r="S39" s="1286">
        <f t="shared" si="10"/>
        <v>100</v>
      </c>
      <c r="T39" s="1285" t="s">
        <v>1103</v>
      </c>
      <c r="U39" s="1286">
        <f t="shared" si="11"/>
        <v>100</v>
      </c>
      <c r="V39" s="1285" t="s">
        <v>1103</v>
      </c>
      <c r="W39" s="1286">
        <f t="shared" si="12"/>
        <v>100</v>
      </c>
      <c r="X39" s="1279"/>
      <c r="Y39" s="365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2"/>
      <c r="Q40" s="664">
        <f t="shared" si="14"/>
        <v>111</v>
      </c>
      <c r="R40" s="1287" t="s">
        <v>1103</v>
      </c>
      <c r="S40" s="1288">
        <f t="shared" si="10"/>
        <v>100</v>
      </c>
      <c r="T40" s="1287" t="s">
        <v>1103</v>
      </c>
      <c r="U40" s="1288">
        <f t="shared" si="11"/>
        <v>100</v>
      </c>
      <c r="V40" s="1287" t="s">
        <v>1103</v>
      </c>
      <c r="W40" s="1288">
        <f t="shared" si="12"/>
        <v>100</v>
      </c>
      <c r="X40" s="1289"/>
      <c r="Y40" s="3652"/>
      <c r="Z40" s="1297">
        <f t="shared" si="13"/>
        <v>111</v>
      </c>
      <c r="AA40" s="1296">
        <f t="shared" si="3"/>
        <v>1</v>
      </c>
      <c r="AB40" s="1296">
        <f t="shared" si="4"/>
        <v>1</v>
      </c>
      <c r="AC40" s="1296">
        <f t="shared" si="5"/>
        <v>1</v>
      </c>
    </row>
    <row r="41" spans="1:31" ht="15">
      <c r="A41" s="1168" t="s">
        <v>1616</v>
      </c>
      <c r="B41" s="1169" t="s">
        <v>1669</v>
      </c>
      <c r="C41" s="1170" t="s">
        <v>124</v>
      </c>
      <c r="D41" s="1171"/>
      <c r="E41" s="1172"/>
      <c r="F41" s="1173"/>
      <c r="G41" s="1174"/>
      <c r="H41" s="1175"/>
      <c r="I41" s="1172"/>
      <c r="J41" s="1175"/>
      <c r="K41" s="1260"/>
      <c r="L41" s="1261"/>
      <c r="M41" s="1237"/>
      <c r="N41" s="1237"/>
      <c r="O41" s="1185"/>
      <c r="P41" s="3638" t="str">
        <f>A41</f>
        <v>成交单价</v>
      </c>
      <c r="Q41" s="3638"/>
      <c r="R41" s="3639">
        <f>E41</f>
        <v>0</v>
      </c>
      <c r="S41" s="3639"/>
      <c r="T41" s="3639">
        <f>G41</f>
        <v>0</v>
      </c>
      <c r="U41" s="3639"/>
      <c r="V41" s="3639">
        <f>I41</f>
        <v>0</v>
      </c>
      <c r="W41" s="3639"/>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41" t="str">
        <f>A43</f>
        <v>估价对象XX用房的比较价值（楼面单价，元/平方米）</v>
      </c>
      <c r="Q43" s="3642"/>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1637</v>
      </c>
      <c r="B50" s="1195" t="s">
        <v>1638</v>
      </c>
      <c r="C50" s="1196" t="s">
        <v>1639</v>
      </c>
      <c r="D50" s="1197" t="s">
        <v>1640</v>
      </c>
      <c r="E50" s="1198" t="s">
        <v>1641</v>
      </c>
      <c r="F50" s="1199" t="s">
        <v>1642</v>
      </c>
      <c r="G50" s="3622" t="s">
        <v>1643</v>
      </c>
      <c r="H50" s="3715"/>
      <c r="I50" s="1269" t="s">
        <v>1670</v>
      </c>
      <c r="J50" s="1269">
        <f>项目基本情况!F35</f>
        <v>0</v>
      </c>
      <c r="K50" s="1270" t="s">
        <v>1645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1646</v>
      </c>
      <c r="B51" s="1201" t="e">
        <f>C43</f>
        <v>#DIV/0!</v>
      </c>
      <c r="C51" s="1202">
        <v>1</v>
      </c>
      <c r="D51" s="1203">
        <v>1</v>
      </c>
      <c r="E51" s="1202">
        <f>'数据-汇总表'!E8+'数据-汇总表'!E9</f>
        <v>93.61</v>
      </c>
      <c r="F51" s="1204" t="e">
        <f t="shared" ref="F51:F60" si="15">ROUND(B51*E51/10000,0)</f>
        <v>#DIV/0!</v>
      </c>
      <c r="G51" s="3644"/>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1647</v>
      </c>
      <c r="B52" s="395" t="e">
        <f>ROUND($C$43*C52*D52,0)</f>
        <v>#DIV/0!</v>
      </c>
      <c r="C52" s="582">
        <f t="shared" ref="C52:C60" si="16">IF($C$50="北京市系数",I52,J52)</f>
        <v>0.6</v>
      </c>
      <c r="D52" s="1206">
        <v>0.25</v>
      </c>
      <c r="E52" s="1207"/>
      <c r="F52" s="1204" t="e">
        <f t="shared" si="15"/>
        <v>#DIV/0!</v>
      </c>
      <c r="G52" s="1208" t="s">
        <v>1648</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1649</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1650</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1651</v>
      </c>
      <c r="B56" s="395" t="e">
        <f t="shared" si="17"/>
        <v>#DIV/0!</v>
      </c>
      <c r="C56" s="582">
        <f t="shared" si="16"/>
        <v>0</v>
      </c>
      <c r="D56" s="1206">
        <v>0.25</v>
      </c>
      <c r="E56" s="394">
        <f>'数据-汇总表'!E11</f>
        <v>0</v>
      </c>
      <c r="F56" s="1204" t="e">
        <f t="shared" si="15"/>
        <v>#DIV/0!</v>
      </c>
      <c r="G56" s="1212" t="s">
        <v>1652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1653</v>
      </c>
      <c r="B57" s="395" t="e">
        <f t="shared" si="17"/>
        <v>#DIV/0!</v>
      </c>
      <c r="C57" s="582">
        <f t="shared" si="16"/>
        <v>0</v>
      </c>
      <c r="D57" s="1206">
        <v>0.25</v>
      </c>
      <c r="E57" s="394">
        <f>'数据-汇总表'!E12</f>
        <v>0</v>
      </c>
      <c r="F57" s="1204" t="e">
        <f t="shared" si="15"/>
        <v>#DIV/0!</v>
      </c>
      <c r="G57" s="1213" t="s">
        <v>1654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1655</v>
      </c>
      <c r="B58" s="395" t="e">
        <f t="shared" si="17"/>
        <v>#DIV/0!</v>
      </c>
      <c r="C58" s="582">
        <f t="shared" si="16"/>
        <v>0</v>
      </c>
      <c r="D58" s="1206">
        <v>0.25</v>
      </c>
      <c r="E58" s="394">
        <f>'数据-汇总表'!E13</f>
        <v>0</v>
      </c>
      <c r="F58" s="1204" t="e">
        <f t="shared" si="15"/>
        <v>#DIV/0!</v>
      </c>
      <c r="G58" s="1213" t="s">
        <v>1656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1657</v>
      </c>
      <c r="B59" s="395" t="e">
        <f t="shared" si="17"/>
        <v>#DIV/0!</v>
      </c>
      <c r="C59" s="582">
        <f t="shared" si="16"/>
        <v>0.15</v>
      </c>
      <c r="D59" s="1206">
        <v>0.25</v>
      </c>
      <c r="E59" s="394">
        <f>'数据-汇总表'!E14</f>
        <v>0</v>
      </c>
      <c r="F59" s="1204" t="e">
        <f t="shared" si="15"/>
        <v>#DIV/0!</v>
      </c>
      <c r="G59" s="1212" t="s">
        <v>1648</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1658</v>
      </c>
      <c r="B60" s="395" t="e">
        <f t="shared" si="17"/>
        <v>#DIV/0!</v>
      </c>
      <c r="C60" s="582">
        <f t="shared" si="16"/>
        <v>0</v>
      </c>
      <c r="D60" s="1206">
        <v>0.25</v>
      </c>
      <c r="E60" s="394">
        <f>'数据-汇总表'!E15</f>
        <v>0</v>
      </c>
      <c r="F60" s="1204" t="e">
        <f t="shared" si="15"/>
        <v>#DIV/0!</v>
      </c>
      <c r="G60" s="1214" t="s">
        <v>1652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1659</v>
      </c>
      <c r="B61" s="1217" t="s">
        <v>1660</v>
      </c>
      <c r="C61" s="1217" t="s">
        <v>1660</v>
      </c>
      <c r="D61" s="1217" t="s">
        <v>1660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1603</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1119</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1627</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1628</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1663</v>
      </c>
      <c r="D95" s="1321" t="s">
        <v>1664</v>
      </c>
      <c r="E95" s="1321" t="s">
        <v>1665</v>
      </c>
      <c r="F95" s="1321" t="s">
        <v>1666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1630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1672</v>
      </c>
      <c r="C1" s="3720" t="s">
        <v>1673</v>
      </c>
      <c r="D1" s="3721"/>
      <c r="E1" s="3721"/>
      <c r="F1" s="3721"/>
      <c r="G1" s="3721"/>
      <c r="H1" s="3721"/>
      <c r="I1" s="3721"/>
      <c r="J1" s="3721"/>
      <c r="K1" s="3721"/>
      <c r="L1" s="3721"/>
      <c r="M1" s="3721"/>
      <c r="N1" s="3721"/>
      <c r="O1" s="3721"/>
      <c r="P1" s="3721"/>
      <c r="Q1" s="3721"/>
      <c r="R1" s="3721"/>
      <c r="S1" s="3722"/>
      <c r="T1" s="952" t="s">
        <v>1674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1681</v>
      </c>
      <c r="B17" s="985" t="s">
        <v>1682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1683</v>
      </c>
      <c r="E19" s="995"/>
      <c r="F19" s="995"/>
      <c r="G19" s="995"/>
      <c r="H19" s="996"/>
      <c r="I19" s="993"/>
      <c r="J19" s="993"/>
      <c r="K19" s="993"/>
      <c r="L19" s="993"/>
      <c r="M19" s="993"/>
      <c r="N19" s="993"/>
      <c r="O19" s="993"/>
      <c r="P19" s="993"/>
      <c r="Q19" s="993"/>
      <c r="R19" s="1060"/>
      <c r="S19" s="992"/>
    </row>
    <row r="20" spans="1:45" ht="15.75">
      <c r="A20" s="997" t="s">
        <v>1684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1686</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1687</v>
      </c>
      <c r="B23" s="1006" t="s">
        <v>456</v>
      </c>
      <c r="C23" s="1006" t="s">
        <v>1674</v>
      </c>
      <c r="D23" s="1006" t="str">
        <f>B5</f>
        <v>修正项2</v>
      </c>
      <c r="E23" s="1006" t="s">
        <v>1674</v>
      </c>
      <c r="F23" s="1006" t="str">
        <f>B7</f>
        <v>修正项3</v>
      </c>
      <c r="G23" s="1006" t="s">
        <v>1674</v>
      </c>
      <c r="H23" s="1006" t="str">
        <f>B9</f>
        <v>修正项4</v>
      </c>
      <c r="I23" s="1006" t="s">
        <v>1674</v>
      </c>
      <c r="J23" s="1006" t="str">
        <f>B11</f>
        <v>修正项5</v>
      </c>
      <c r="K23" s="1006" t="s">
        <v>1674</v>
      </c>
      <c r="L23" s="1006" t="str">
        <f>B13</f>
        <v>修正项6</v>
      </c>
      <c r="M23" s="1006" t="s">
        <v>1674</v>
      </c>
      <c r="N23" s="1006" t="str">
        <f>B15</f>
        <v>修正项7</v>
      </c>
      <c r="O23" s="1006" t="s">
        <v>1674</v>
      </c>
      <c r="P23" s="1006" t="str">
        <f>B17</f>
        <v>楼层</v>
      </c>
      <c r="Q23" s="1006" t="s">
        <v>1674</v>
      </c>
      <c r="R23" s="1063" t="s">
        <v>1688</v>
      </c>
      <c r="S23" s="1006" t="s">
        <v>1689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1691</v>
      </c>
      <c r="B1" s="931"/>
      <c r="C1" s="931"/>
      <c r="D1" s="931"/>
      <c r="E1" s="931"/>
      <c r="F1" s="932"/>
      <c r="G1" s="932"/>
      <c r="H1" s="932"/>
      <c r="I1" s="932"/>
      <c r="J1" s="932"/>
      <c r="K1" s="932"/>
      <c r="L1" s="932"/>
      <c r="M1" s="932"/>
      <c r="N1" s="932"/>
      <c r="O1" s="932"/>
      <c r="P1" s="932"/>
    </row>
    <row r="2" spans="1:16" ht="15.75">
      <c r="A2" s="933" t="s">
        <v>97</v>
      </c>
      <c r="B2" s="934">
        <f ca="1">SUMIF(B6:B13,"&lt;&gt;#ref!",B6:B13)</f>
        <v>96</v>
      </c>
      <c r="C2" s="933" t="s">
        <v>1692</v>
      </c>
      <c r="D2" s="933" t="s">
        <v>1693</v>
      </c>
      <c r="E2" s="935">
        <f ca="1">SUMIF(E6:E13,"&lt;&gt;#ref!",E6:E13)</f>
        <v>0</v>
      </c>
      <c r="F2" s="932"/>
      <c r="G2" s="932"/>
      <c r="H2" s="932"/>
      <c r="I2" s="932"/>
      <c r="J2" s="932"/>
      <c r="K2" s="932"/>
      <c r="L2" s="932"/>
      <c r="M2" s="932"/>
      <c r="N2" s="932"/>
      <c r="O2" s="932"/>
      <c r="P2" s="932"/>
    </row>
    <row r="3" spans="1:16" ht="15.75">
      <c r="A3" s="933" t="s">
        <v>1694</v>
      </c>
      <c r="B3" s="934" t="e">
        <f ca="1">ROUND(B2*10000/E2,0)</f>
        <v>#DIV/0!</v>
      </c>
      <c r="C3" s="933" t="s">
        <v>1695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1696</v>
      </c>
      <c r="B5" s="938" t="s">
        <v>1697</v>
      </c>
      <c r="C5" s="939"/>
      <c r="D5" s="932"/>
      <c r="E5" s="940" t="s">
        <v>1698</v>
      </c>
      <c r="F5" s="932"/>
      <c r="G5" s="932"/>
      <c r="H5" s="932"/>
      <c r="I5" s="932"/>
      <c r="J5" s="932"/>
      <c r="K5" s="932"/>
      <c r="L5" s="932"/>
      <c r="M5" s="932"/>
      <c r="N5" s="932"/>
      <c r="O5" s="932"/>
      <c r="P5" s="932"/>
    </row>
    <row r="6" spans="1:16" ht="15.75">
      <c r="A6" s="941" t="s">
        <v>1699</v>
      </c>
      <c r="B6" s="934">
        <f ca="1">SUMIF(INDIRECT("'"&amp;A6&amp;"'"&amp;"!A:A"),"总价",INDIRECT("'"&amp;A6&amp;"'"&amp;"!B:B"))</f>
        <v>96</v>
      </c>
      <c r="C6" s="933" t="s">
        <v>1692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1692</v>
      </c>
      <c r="D8" s="932"/>
      <c r="E8" s="935" t="e">
        <f t="shared" ca="1" si="0"/>
        <v>#REF!</v>
      </c>
      <c r="F8" s="932"/>
      <c r="G8" s="932"/>
      <c r="H8" s="932"/>
      <c r="I8" s="932"/>
      <c r="J8" s="932"/>
      <c r="K8" s="932"/>
      <c r="L8" s="932"/>
      <c r="M8" s="932"/>
      <c r="N8" s="932"/>
      <c r="O8" s="932"/>
      <c r="P8" s="932"/>
    </row>
    <row r="9" spans="1:16" ht="15.75">
      <c r="A9" s="941"/>
      <c r="B9" s="934" t="e">
        <f t="shared" ca="1" si="1"/>
        <v>#REF!</v>
      </c>
      <c r="C9" s="933" t="s">
        <v>1692</v>
      </c>
      <c r="D9" s="932"/>
      <c r="E9" s="935" t="e">
        <f t="shared" ca="1" si="0"/>
        <v>#REF!</v>
      </c>
      <c r="F9" s="932"/>
      <c r="G9" s="932"/>
      <c r="H9" s="932"/>
      <c r="I9" s="932"/>
      <c r="J9" s="932"/>
      <c r="K9" s="932"/>
      <c r="L9" s="932"/>
      <c r="M9" s="932"/>
      <c r="N9" s="932"/>
      <c r="O9" s="932"/>
      <c r="P9" s="932"/>
    </row>
    <row r="10" spans="1:16" ht="15.75">
      <c r="A10" s="941"/>
      <c r="B10" s="934" t="e">
        <f t="shared" ca="1" si="1"/>
        <v>#REF!</v>
      </c>
      <c r="C10" s="933" t="s">
        <v>1692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O17" sqref="O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1700</v>
      </c>
      <c r="B1" s="375"/>
      <c r="C1" s="378" t="s">
        <v>1087</v>
      </c>
      <c r="D1" s="546">
        <f>SUM(D33:D34,D37:D42)</f>
        <v>0</v>
      </c>
      <c r="E1" s="547"/>
      <c r="F1" s="547"/>
      <c r="G1" s="547"/>
      <c r="H1" s="547"/>
      <c r="I1" s="547"/>
      <c r="J1" s="547"/>
      <c r="K1" s="539"/>
      <c r="L1" s="751" t="s">
        <v>1701</v>
      </c>
      <c r="M1" s="752">
        <f>SUMPRODUCT((区片价!B5:B9=I2)*(区片价!C3:G3=E2)*(区片价!C5:G9))</f>
        <v>0</v>
      </c>
      <c r="N1" s="753">
        <f>SUMPRODUCT((因素修正幅度!B5:B9=I2)*(因素修正幅度!C3:G3=E2)*(因素修正幅度!C5:G9))</f>
        <v>0</v>
      </c>
      <c r="O1" s="540"/>
      <c r="P1" s="540"/>
      <c r="Q1" s="539"/>
      <c r="R1" s="845" t="s">
        <v>1702</v>
      </c>
      <c r="S1" s="845" t="s">
        <v>1703</v>
      </c>
      <c r="T1" s="845" t="s">
        <v>1704</v>
      </c>
      <c r="U1" s="845" t="s">
        <v>1705</v>
      </c>
      <c r="V1" s="845" t="s">
        <v>1706</v>
      </c>
      <c r="W1" s="846"/>
      <c r="X1" s="846"/>
      <c r="Y1" s="846"/>
      <c r="Z1" s="846"/>
      <c r="AA1" s="846"/>
      <c r="AB1" s="846"/>
      <c r="AC1" s="857"/>
      <c r="AD1" s="858"/>
      <c r="AE1" s="858"/>
      <c r="AF1" s="858"/>
      <c r="AG1" s="858"/>
      <c r="AH1" s="858"/>
      <c r="AI1" s="858"/>
      <c r="AJ1" s="867"/>
    </row>
    <row r="2" spans="1:36" ht="15.75">
      <c r="A2" s="378" t="s">
        <v>985</v>
      </c>
      <c r="B2" s="382">
        <f>C30</f>
        <v>96</v>
      </c>
      <c r="C2" s="548" t="s">
        <v>986</v>
      </c>
      <c r="D2" s="549" t="s">
        <v>1707</v>
      </c>
      <c r="E2" s="550" t="s">
        <v>547</v>
      </c>
      <c r="F2" s="549" t="s">
        <v>1708</v>
      </c>
      <c r="G2" s="551" t="str">
        <f>IF(E2="商业",项目基本情况!B37,IF(E2="办公",项目基本情况!C37,IF(E2="住宅",项目基本情况!D37,IF(E2="工业",项目基本情况!E37,项目基本情况!F37))))</f>
        <v>七级</v>
      </c>
      <c r="H2" s="549" t="s">
        <v>1709</v>
      </c>
      <c r="I2" s="551" t="str">
        <f>IF(E2="商业",项目基本情况!B38,IF(E2="办公",项目基本情况!C38,IF(E2="住宅",项目基本情况!D38,IF(E2="工业",项目基本情况!E38,项目基本情况!F38))))</f>
        <v>Ⅶ-顺2</v>
      </c>
      <c r="J2" s="754"/>
      <c r="K2" s="539"/>
      <c r="L2" s="755" t="s">
        <v>1710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13055</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1711</v>
      </c>
      <c r="E3" s="552" t="s">
        <v>1712</v>
      </c>
      <c r="F3" s="553" t="s">
        <v>1713</v>
      </c>
      <c r="G3" s="554">
        <f>IF(F3="宗地容积率",'数据-汇总表'!I4,IF(F3="估价对象容积率",'数据-汇总表'!I6,'数据-汇总表'!I7))</f>
        <v>2.5</v>
      </c>
      <c r="H3" s="555" t="s">
        <v>1714</v>
      </c>
      <c r="I3" s="757"/>
      <c r="J3" s="754" t="s">
        <v>1715</v>
      </c>
      <c r="K3" s="539"/>
      <c r="L3" s="755" t="s">
        <v>1716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10290</v>
      </c>
      <c r="U3" s="848">
        <f>'数据-基础表'!I13</f>
        <v>93.61</v>
      </c>
      <c r="V3" s="847">
        <f t="shared" ref="V3:V16" si="1">ROUND(T3*U3/10000,0)</f>
        <v>96</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1717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8697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1718</v>
      </c>
      <c r="C5" s="558">
        <f>ROUND(IF(E2="商业",C6*C7*C17+C20,(IF(E2="住宅",C6*C13*C17+C20,IF(E2="办公",C6*C12*C17+C20,C6+C20)))),0)</f>
        <v>8740</v>
      </c>
      <c r="D5" s="559">
        <f>ROUND(C6*C17+C20,0)</f>
        <v>8740</v>
      </c>
      <c r="E5" s="559"/>
      <c r="F5" s="560"/>
      <c r="G5" s="561"/>
      <c r="H5" s="561"/>
      <c r="I5" s="561"/>
      <c r="J5" s="758"/>
      <c r="K5" s="759"/>
      <c r="L5" s="755" t="s">
        <v>1719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7670</v>
      </c>
      <c r="U5" s="848"/>
      <c r="V5" s="847">
        <f t="shared" si="1"/>
        <v>0</v>
      </c>
      <c r="W5" s="846"/>
      <c r="X5" s="846"/>
      <c r="Y5" s="846"/>
      <c r="Z5" s="846"/>
      <c r="AA5" s="846"/>
      <c r="AB5" s="846"/>
      <c r="AC5" s="859"/>
      <c r="AD5" s="860"/>
      <c r="AE5" s="860"/>
      <c r="AF5" s="860"/>
      <c r="AG5" s="860"/>
      <c r="AH5" s="860"/>
      <c r="AI5" s="860"/>
      <c r="AJ5" s="868"/>
    </row>
    <row r="6" spans="1:36" ht="15">
      <c r="A6" s="562" t="s">
        <v>990</v>
      </c>
      <c r="B6" s="563" t="s">
        <v>1720</v>
      </c>
      <c r="C6" s="564">
        <f>SUMIF(L1:L12,G2,M1:M12)</f>
        <v>8740</v>
      </c>
      <c r="D6" s="565"/>
      <c r="E6" s="566"/>
      <c r="F6" s="566"/>
      <c r="G6" s="567"/>
      <c r="H6" s="567"/>
      <c r="I6" s="567"/>
      <c r="J6" s="760"/>
      <c r="K6" s="761"/>
      <c r="L6" s="755" t="s">
        <v>1721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7371</v>
      </c>
      <c r="U6" s="848"/>
      <c r="V6" s="847">
        <f t="shared" si="1"/>
        <v>0</v>
      </c>
      <c r="W6" s="846"/>
      <c r="X6" s="846"/>
      <c r="Y6" s="846"/>
      <c r="Z6" s="846"/>
      <c r="AA6" s="846"/>
      <c r="AB6" s="846"/>
      <c r="AC6" s="859"/>
      <c r="AD6" s="860"/>
      <c r="AE6" s="860"/>
      <c r="AF6" s="860"/>
      <c r="AG6" s="860"/>
      <c r="AH6" s="860"/>
      <c r="AI6" s="860"/>
      <c r="AJ6" s="868"/>
    </row>
    <row r="7" spans="1:36" ht="24">
      <c r="A7" s="568" t="s">
        <v>1722</v>
      </c>
      <c r="B7" s="569" t="s">
        <v>1723</v>
      </c>
      <c r="C7" s="570">
        <f>IF(C8="不临65条商业街",1,ROUND(1+(1.6*E8+1.2*E9+0.8*E10+0.4*E11)*C9,4))</f>
        <v>1</v>
      </c>
      <c r="D7" s="571" t="s">
        <v>1724</v>
      </c>
      <c r="E7" s="572"/>
      <c r="F7" s="573"/>
      <c r="G7" s="574"/>
      <c r="H7" s="574"/>
      <c r="I7" s="574"/>
      <c r="J7" s="762"/>
      <c r="K7" s="761"/>
      <c r="L7" s="755" t="s">
        <v>1725</v>
      </c>
      <c r="M7" s="756">
        <f>SUMPRODUCT((区片价!B190:B233=I2)*(区片价!C3:G3=E2)*(区片价!C190:G233))</f>
        <v>8740</v>
      </c>
      <c r="N7" s="753">
        <f>SUMPRODUCT((因素修正幅度!B190:B233=I2)*(因素修正幅度!C3:G3=E2)*(因素修正幅度!C190:G233))</f>
        <v>0.13</v>
      </c>
      <c r="O7" s="539"/>
      <c r="P7" s="539"/>
      <c r="Q7" s="539"/>
      <c r="R7" s="845">
        <v>6</v>
      </c>
      <c r="S7" s="849"/>
      <c r="T7" s="847">
        <f t="shared" si="0"/>
        <v>0</v>
      </c>
      <c r="U7" s="848"/>
      <c r="V7" s="847">
        <f t="shared" si="1"/>
        <v>0</v>
      </c>
      <c r="W7" s="850" t="s">
        <v>1726</v>
      </c>
      <c r="X7" s="851" t="str">
        <f>G2</f>
        <v>七级</v>
      </c>
      <c r="Y7" s="851" t="s">
        <v>1727</v>
      </c>
      <c r="Z7" s="861">
        <f>G3</f>
        <v>2.5</v>
      </c>
      <c r="AA7" s="846"/>
      <c r="AB7" s="846"/>
      <c r="AC7" s="857"/>
      <c r="AD7" s="858"/>
      <c r="AE7" s="858"/>
      <c r="AF7" s="858"/>
      <c r="AG7" s="858"/>
      <c r="AH7" s="858"/>
      <c r="AI7" s="858"/>
      <c r="AJ7" s="867"/>
    </row>
    <row r="8" spans="1:36" ht="25.5">
      <c r="A8" s="575"/>
      <c r="B8" s="555" t="s">
        <v>1728</v>
      </c>
      <c r="C8" s="576" t="s">
        <v>1729</v>
      </c>
      <c r="D8" s="577" t="s">
        <v>1730</v>
      </c>
      <c r="E8" s="578" t="e">
        <f>ROUND(C11/E7,4)</f>
        <v>#DIV/0!</v>
      </c>
      <c r="F8" s="579" t="s">
        <v>1731</v>
      </c>
      <c r="G8" s="580"/>
      <c r="H8" s="580"/>
      <c r="I8" s="580"/>
      <c r="J8" s="763"/>
      <c r="K8" s="539"/>
      <c r="L8" s="755" t="s">
        <v>1732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1733</v>
      </c>
      <c r="X8" s="3731"/>
      <c r="Y8" s="862" t="s">
        <v>1734</v>
      </c>
      <c r="Z8" s="862" t="s">
        <v>1735</v>
      </c>
      <c r="AA8" s="862" t="s">
        <v>1736</v>
      </c>
      <c r="AB8" s="862" t="s">
        <v>1737</v>
      </c>
      <c r="AC8" s="862" t="s">
        <v>1738</v>
      </c>
      <c r="AD8" s="862" t="s">
        <v>1739</v>
      </c>
      <c r="AE8" s="862" t="s">
        <v>1740</v>
      </c>
      <c r="AF8" s="862" t="s">
        <v>1741</v>
      </c>
      <c r="AG8" s="862" t="s">
        <v>1742</v>
      </c>
      <c r="AH8" s="862" t="s">
        <v>1743</v>
      </c>
      <c r="AI8" s="862" t="s">
        <v>1744</v>
      </c>
      <c r="AJ8" s="862" t="s">
        <v>1745</v>
      </c>
    </row>
    <row r="9" spans="1:36" ht="15">
      <c r="A9" s="575"/>
      <c r="B9" s="555" t="s">
        <v>1746</v>
      </c>
      <c r="C9" s="581">
        <f>SUMIF(修正!C71:C138,C8,修正!E71:E138)</f>
        <v>0</v>
      </c>
      <c r="D9" s="582" t="s">
        <v>1747</v>
      </c>
      <c r="E9" s="582" t="e">
        <f>ROUND(C11/E7,4)</f>
        <v>#DIV/0!</v>
      </c>
      <c r="F9" s="579" t="s">
        <v>1748</v>
      </c>
      <c r="G9" s="580"/>
      <c r="H9" s="580"/>
      <c r="I9" s="580"/>
      <c r="J9" s="763"/>
      <c r="K9" s="539"/>
      <c r="L9" s="755" t="s">
        <v>1749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1750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1751</v>
      </c>
      <c r="C10" s="582">
        <f>SUMIF(修正!C71:C138,C8,修正!F71:F138)</f>
        <v>0</v>
      </c>
      <c r="D10" s="582" t="s">
        <v>1752</v>
      </c>
      <c r="E10" s="582" t="e">
        <f>ROUND(C11/E7,4)</f>
        <v>#DIV/0!</v>
      </c>
      <c r="F10" s="579" t="s">
        <v>1753</v>
      </c>
      <c r="G10" s="580"/>
      <c r="H10" s="580"/>
      <c r="I10" s="580"/>
      <c r="J10" s="763"/>
      <c r="K10" s="539"/>
      <c r="L10" s="755" t="s">
        <v>1754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1755</v>
      </c>
      <c r="C11" s="585">
        <f>C10/4</f>
        <v>0</v>
      </c>
      <c r="D11" s="585" t="s">
        <v>1756</v>
      </c>
      <c r="E11" s="585" t="e">
        <f>ROUND(C11/E7,4)</f>
        <v>#DIV/0!</v>
      </c>
      <c r="F11" s="586" t="s">
        <v>1757</v>
      </c>
      <c r="G11" s="587"/>
      <c r="H11" s="587"/>
      <c r="I11" s="587"/>
      <c r="J11" s="764"/>
      <c r="K11" s="539"/>
      <c r="L11" s="755" t="s">
        <v>1758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1759</v>
      </c>
      <c r="B12" s="588" t="s">
        <v>1760</v>
      </c>
      <c r="C12" s="589"/>
      <c r="D12" s="590" t="s">
        <v>1761</v>
      </c>
      <c r="E12" s="591" t="s">
        <v>1762</v>
      </c>
      <c r="F12" s="592"/>
      <c r="G12" s="593"/>
      <c r="H12" s="593"/>
      <c r="I12" s="593"/>
      <c r="J12" s="765"/>
      <c r="K12" s="539"/>
      <c r="L12" s="766" t="s">
        <v>1763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1764</v>
      </c>
      <c r="B13" s="594" t="s">
        <v>1765</v>
      </c>
      <c r="C13" s="570">
        <f>ROUND(C16*D16*E16*F16*G16*H16*I16*J16,4)</f>
        <v>0</v>
      </c>
      <c r="D13" s="595" t="s">
        <v>1766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1767</v>
      </c>
      <c r="C14" s="600" t="s">
        <v>1768</v>
      </c>
      <c r="D14" s="601" t="s">
        <v>1769</v>
      </c>
      <c r="E14" s="602" t="s">
        <v>1770</v>
      </c>
      <c r="F14" s="603" t="s">
        <v>1771</v>
      </c>
      <c r="G14" s="603" t="s">
        <v>1771</v>
      </c>
      <c r="H14" s="603" t="s">
        <v>1771</v>
      </c>
      <c r="I14" s="603" t="s">
        <v>1771</v>
      </c>
      <c r="J14" s="603" t="s">
        <v>1771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1773</v>
      </c>
      <c r="B17" s="614" t="s">
        <v>1774</v>
      </c>
      <c r="C17" s="615">
        <f>ROUND(IF(OR(E2="工业",E2="公共服务"),1,IF(AND(E18=0,E19=0),1,IF(AND(E18=J24,E19=G19),0.8,IF(E19=0,1+E17*(-0.2),1+E17*G17*(-0.2))))),4)</f>
        <v>1</v>
      </c>
      <c r="D17" s="616" t="s">
        <v>1775</v>
      </c>
      <c r="E17" s="615">
        <f>ROUND(G18/I18,2)</f>
        <v>0</v>
      </c>
      <c r="F17" s="616" t="s">
        <v>1776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1777</v>
      </c>
      <c r="E18" s="621"/>
      <c r="F18" s="622" t="s">
        <v>1778</v>
      </c>
      <c r="G18" s="619">
        <f>ROUND(1-(1/(POWER(1+G24,E18))),4)</f>
        <v>0</v>
      </c>
      <c r="H18" s="622" t="s">
        <v>1779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1780</v>
      </c>
      <c r="E19" s="626"/>
      <c r="F19" s="627" t="s">
        <v>1781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1782</v>
      </c>
      <c r="B20" s="628" t="s">
        <v>1783</v>
      </c>
      <c r="C20" s="629">
        <f>ROUND(IF(F21="与级别开发程度一致",0,(G21-E21)/C21),0)</f>
        <v>0</v>
      </c>
      <c r="D20" s="630" t="s">
        <v>1784</v>
      </c>
      <c r="E20" s="631"/>
      <c r="F20" s="3732" t="s">
        <v>1785</v>
      </c>
      <c r="G20" s="3733"/>
      <c r="H20" s="632" t="s">
        <v>342</v>
      </c>
      <c r="I20" s="632" t="s">
        <v>343</v>
      </c>
      <c r="J20" s="778" t="s">
        <v>344</v>
      </c>
      <c r="K20" s="779" t="s">
        <v>345</v>
      </c>
      <c r="L20" s="779" t="s">
        <v>346</v>
      </c>
      <c r="M20" s="779" t="s">
        <v>1786</v>
      </c>
      <c r="N20" s="779" t="s">
        <v>347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7"/>
      <c r="B21" s="633" t="s">
        <v>1787</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1788</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50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1790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647" t="s">
        <v>1791</v>
      </c>
      <c r="E23" s="648">
        <v>44197</v>
      </c>
      <c r="F23" s="647" t="s">
        <v>1792</v>
      </c>
      <c r="G23" s="649">
        <f>'数据-取费表'!B2</f>
        <v>45176</v>
      </c>
      <c r="H23" s="650" t="s">
        <v>1793</v>
      </c>
      <c r="I23" s="787" t="str">
        <f>IF(H23="季度增幅（自定义）",SUMIF(N25:N28,E2,O25:O28),"")</f>
        <v/>
      </c>
      <c r="J23" s="788" t="s">
        <v>1794</v>
      </c>
      <c r="K23" s="784"/>
      <c r="L23" s="789" t="s">
        <v>1795</v>
      </c>
      <c r="M23" s="790">
        <f>ROUND(SUMIF(地价!B2:G2,E2,地价!B16:G16),0)</f>
        <v>350</v>
      </c>
      <c r="N23" s="791" t="s">
        <v>1796</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1797</v>
      </c>
      <c r="C24" s="653">
        <f>ROUND(POWER(1+G24,J24-I24)*(POWER(1+G24,I24)-1)/(POWER(1+G24,J24)-1),4)</f>
        <v>0.92369999999999997</v>
      </c>
      <c r="D24" s="654" t="s">
        <v>1798</v>
      </c>
      <c r="E24" s="655">
        <f>存贷款利率!E24/100</f>
        <v>4.3499999999999997E-2</v>
      </c>
      <c r="F24" s="654" t="s">
        <v>1799</v>
      </c>
      <c r="G24" s="656">
        <f>SUMIF(M30:Q30,E2,M33:Q33)</f>
        <v>5.5E-2</v>
      </c>
      <c r="H24" s="654" t="s">
        <v>1800</v>
      </c>
      <c r="I24" s="794">
        <f>SUMIF('数据-取费表'!C6:C15,E2,'数据-取费表'!F6:F15)/COUNTIF('数据-取费表'!C6:C15,E2)</f>
        <v>31.54</v>
      </c>
      <c r="J24" s="795">
        <f>IF(E2="住宅",70,IF(E2="商业",40,50))</f>
        <v>40</v>
      </c>
      <c r="K24" s="784"/>
      <c r="L24" s="796" t="s">
        <v>1801</v>
      </c>
      <c r="M24" s="797">
        <f>ROUND(SUMPRODUCT((地价!A4:A16=YEAR(G23)&amp;"-"&amp;ROUNDUP(MONTH(G23)/3,0))*(地价!B2:G2=E2)*(地价!B4:G16)),0)</f>
        <v>0</v>
      </c>
      <c r="N24" s="798" t="s">
        <v>1802</v>
      </c>
      <c r="O24" s="799" t="s">
        <v>1803</v>
      </c>
      <c r="P24" s="800" t="s">
        <v>1804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1805</v>
      </c>
      <c r="C25" s="659">
        <f>IF(B25="容积率修正",IF(G3&lt;10,D26,J26),C27)</f>
        <v>0</v>
      </c>
      <c r="D25" s="660"/>
      <c r="E25" s="660"/>
      <c r="F25" s="660"/>
      <c r="G25" s="660"/>
      <c r="H25" s="660"/>
      <c r="I25" s="660"/>
      <c r="J25" s="801"/>
      <c r="K25" s="784"/>
      <c r="L25" s="785"/>
      <c r="M25" s="785"/>
      <c r="N25" s="802" t="s">
        <v>1806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1807</v>
      </c>
      <c r="B26" s="662" t="s">
        <v>1808</v>
      </c>
      <c r="C26" s="663" t="s">
        <v>1809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1810</v>
      </c>
      <c r="J26" s="805" t="str">
        <f>IF(G3&gt;=10,D115,"——")</f>
        <v>——</v>
      </c>
      <c r="K26" s="784"/>
      <c r="L26" s="785"/>
      <c r="M26" s="785"/>
      <c r="N26" s="802" t="s">
        <v>1811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1812</v>
      </c>
      <c r="B27" s="665" t="s">
        <v>1813</v>
      </c>
      <c r="C27" s="666">
        <f>ROUND(IF(I3&lt;6,SUMPRODUCT((B106:B110=I3)*(C105:N105=G2)*(C106:N110)),SUMIF(C105:N105,G2,C112:N112)),4)</f>
        <v>0</v>
      </c>
      <c r="D27" s="667"/>
      <c r="E27" s="667"/>
      <c r="F27" s="668"/>
      <c r="G27" s="669"/>
      <c r="H27" s="670"/>
      <c r="I27" s="806"/>
      <c r="J27" s="807"/>
      <c r="K27" s="539"/>
      <c r="L27" s="540"/>
      <c r="M27" s="540"/>
      <c r="N27" s="802" t="s">
        <v>1814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1815</v>
      </c>
      <c r="B28" s="645" t="s">
        <v>1816</v>
      </c>
      <c r="C28" s="646">
        <f>SUMIF(A47:A101,E2,B47:B101)</f>
        <v>1.0357000000000001</v>
      </c>
      <c r="D28" s="671"/>
      <c r="E28" s="672"/>
      <c r="F28" s="672"/>
      <c r="G28" s="672"/>
      <c r="H28" s="672"/>
      <c r="I28" s="672"/>
      <c r="J28" s="808"/>
      <c r="K28" s="784"/>
      <c r="L28" s="785"/>
      <c r="M28" s="785"/>
      <c r="N28" s="809" t="s">
        <v>1817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1818</v>
      </c>
      <c r="B29" s="673" t="s">
        <v>1819</v>
      </c>
      <c r="C29" s="674"/>
      <c r="D29" s="574"/>
      <c r="E29" s="574"/>
      <c r="F29" s="675"/>
      <c r="G29" s="574"/>
      <c r="H29" s="574"/>
      <c r="I29" s="574"/>
      <c r="J29" s="762"/>
      <c r="K29" s="539"/>
      <c r="L29" s="540"/>
      <c r="M29" s="540"/>
      <c r="N29" s="812" t="s">
        <v>1820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1821</v>
      </c>
      <c r="C30" s="677">
        <f>IF(B25="容积率修正",E33+SUM(E37:E42),SUM(V2:V16)+SUM(E37:E42))</f>
        <v>96</v>
      </c>
      <c r="D30" s="678"/>
      <c r="E30" s="667"/>
      <c r="F30" s="679"/>
      <c r="G30" s="667"/>
      <c r="H30" s="667"/>
      <c r="I30" s="667"/>
      <c r="J30" s="815"/>
      <c r="K30" s="539"/>
      <c r="L30" s="816" t="s">
        <v>1707</v>
      </c>
      <c r="M30" s="817" t="s">
        <v>1822</v>
      </c>
      <c r="N30" s="817" t="s">
        <v>1823</v>
      </c>
      <c r="O30" s="817" t="s">
        <v>1824</v>
      </c>
      <c r="P30" s="817" t="s">
        <v>1825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1826</v>
      </c>
      <c r="C31" s="681">
        <f>E34+SUM(I37:I42)</f>
        <v>0</v>
      </c>
      <c r="D31" s="682"/>
      <c r="E31" s="683"/>
      <c r="F31" s="684"/>
      <c r="G31" s="683"/>
      <c r="H31" s="683"/>
      <c r="I31" s="683"/>
      <c r="J31" s="818"/>
      <c r="K31" s="539"/>
      <c r="L31" s="819" t="s">
        <v>1827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1828</v>
      </c>
      <c r="C32" s="687" t="s">
        <v>1829</v>
      </c>
      <c r="D32" s="687" t="s">
        <v>560</v>
      </c>
      <c r="E32" s="688" t="s">
        <v>1830</v>
      </c>
      <c r="F32" s="689"/>
      <c r="G32" s="597"/>
      <c r="H32" s="597"/>
      <c r="I32" s="597"/>
      <c r="J32" s="768"/>
      <c r="K32" s="539"/>
      <c r="L32" s="820" t="s">
        <v>1799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1831</v>
      </c>
      <c r="C33" s="692">
        <f>ROUND(C5*C22*C23*C24*C25*C28,0)</f>
        <v>0</v>
      </c>
      <c r="D33" s="693"/>
      <c r="E33" s="694">
        <f>ROUND(C33*D33/10000,0)</f>
        <v>0</v>
      </c>
      <c r="F33" s="695" t="s">
        <v>1832</v>
      </c>
      <c r="G33" s="696"/>
      <c r="H33" s="696"/>
      <c r="I33" s="696"/>
      <c r="J33" s="822"/>
      <c r="K33" s="539"/>
      <c r="L33" s="823" t="s">
        <v>1833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1834</v>
      </c>
      <c r="C34" s="635" t="e">
        <f>ROUND(IF(E2="工业",C33*M42,IF(B25="楼层修正",SUM(V2:V16)*M41*10000/D34,C33*M41)),0)</f>
        <v>#DIV/0!</v>
      </c>
      <c r="D34" s="699"/>
      <c r="E34" s="694">
        <f>ROUND(IF(B25="楼层修正",SUM(V2:V16)*M40,C34*D34/10000),0)</f>
        <v>0</v>
      </c>
      <c r="F34" s="700" t="s">
        <v>1835</v>
      </c>
      <c r="G34" s="701"/>
      <c r="H34" s="701"/>
      <c r="I34" s="701"/>
      <c r="J34" s="825"/>
      <c r="K34" s="539"/>
      <c r="L34" s="823" t="s">
        <v>1836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1837</v>
      </c>
      <c r="C35" s="704" t="s">
        <v>1838</v>
      </c>
      <c r="D35" s="597"/>
      <c r="E35" s="705"/>
      <c r="F35" s="705"/>
      <c r="G35" s="595" t="s">
        <v>1835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1829</v>
      </c>
      <c r="D36" s="708" t="s">
        <v>560</v>
      </c>
      <c r="E36" s="708" t="s">
        <v>1830</v>
      </c>
      <c r="F36" s="546" t="s">
        <v>1839</v>
      </c>
      <c r="G36" s="709" t="s">
        <v>1829</v>
      </c>
      <c r="H36" s="709" t="s">
        <v>560</v>
      </c>
      <c r="I36" s="709" t="s">
        <v>1830</v>
      </c>
      <c r="J36" s="429"/>
      <c r="K36" s="827" t="s">
        <v>1840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1841</v>
      </c>
      <c r="C37" s="692">
        <f>ROUND(D5*C22*C23*C24*C28*F37,0)</f>
        <v>5215</v>
      </c>
      <c r="D37" s="693"/>
      <c r="E37" s="582">
        <f>ROUND(C37*D37/10000,0)</f>
        <v>0</v>
      </c>
      <c r="F37" s="582">
        <f>SUMIF(修正!A57:A68,G2,修正!B57:B68)</f>
        <v>0.6</v>
      </c>
      <c r="G37" s="582">
        <f>ROUND(IF(E2="工业",C37*$M$42,C37*$M$41),0)</f>
        <v>1304</v>
      </c>
      <c r="H37" s="582">
        <f>D37</f>
        <v>0</v>
      </c>
      <c r="I37" s="582">
        <f>ROUND(G37*H37/10000,0)</f>
        <v>0</v>
      </c>
      <c r="J37" s="830"/>
      <c r="K37" s="831" t="s">
        <v>1842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1843</v>
      </c>
      <c r="C38" s="692">
        <f>ROUND(D5*C22*C23*C24*C28*F38,0)</f>
        <v>2608</v>
      </c>
      <c r="D38" s="693"/>
      <c r="E38" s="582">
        <f t="shared" ref="E38:E42" si="4">ROUND(C38*D38/10000,0)</f>
        <v>0</v>
      </c>
      <c r="F38" s="582">
        <f>SUMIF(修正!A57:A68,G2,修正!C57:C68)</f>
        <v>0.3</v>
      </c>
      <c r="G38" s="582">
        <f>ROUND(IF(E2="工业",C38*$M$42,C38*$M$41),0)</f>
        <v>652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1844</v>
      </c>
      <c r="C39" s="692">
        <f>ROUND(D5*C22*C23*C24*C28*F39,0)</f>
        <v>2173</v>
      </c>
      <c r="D39" s="693"/>
      <c r="E39" s="582">
        <f t="shared" si="4"/>
        <v>0</v>
      </c>
      <c r="F39" s="582">
        <f>SUMIF(修正!A57:A68,G2,修正!D57:D68)</f>
        <v>0.25</v>
      </c>
      <c r="G39" s="582">
        <f>ROUND(IF(E2="工业",C39*$M$42,C39*$M$41),0)</f>
        <v>543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1845</v>
      </c>
      <c r="C40" s="582">
        <f>ROUND(D5*C22*C23*C24*C28*F40,0)</f>
        <v>2173</v>
      </c>
      <c r="D40" s="693"/>
      <c r="E40" s="582">
        <f t="shared" si="4"/>
        <v>0</v>
      </c>
      <c r="F40" s="692">
        <f>SUMIF(修正!A57:A68,G2,修正!E57:E68)</f>
        <v>0.25</v>
      </c>
      <c r="G40" s="582">
        <f>ROUND(IF(E2="工业",C40*$M$42,C40*$M$41),0)</f>
        <v>543</v>
      </c>
      <c r="H40" s="582">
        <f t="shared" si="5"/>
        <v>0</v>
      </c>
      <c r="I40" s="582">
        <f t="shared" si="6"/>
        <v>0</v>
      </c>
      <c r="J40" s="832"/>
      <c r="L40" s="833" t="s">
        <v>1846</v>
      </c>
      <c r="M40" s="834"/>
      <c r="Z40" s="715"/>
      <c r="AA40" s="715"/>
      <c r="AB40" s="715"/>
      <c r="AC40" s="715"/>
      <c r="AD40" s="715"/>
      <c r="AE40" s="715"/>
      <c r="AF40" s="715"/>
      <c r="AG40" s="715"/>
      <c r="AH40" s="715"/>
      <c r="AI40" s="715"/>
      <c r="AJ40" s="715"/>
    </row>
    <row r="41" spans="1:37" s="539" customFormat="1">
      <c r="A41" s="712"/>
      <c r="B41" s="600" t="s">
        <v>1847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1848</v>
      </c>
      <c r="M41" s="836">
        <v>0.25</v>
      </c>
      <c r="Z41" s="715"/>
      <c r="AA41" s="715"/>
      <c r="AB41" s="715"/>
      <c r="AC41" s="715"/>
      <c r="AD41" s="715"/>
      <c r="AE41" s="715"/>
      <c r="AF41" s="715"/>
      <c r="AG41" s="715"/>
      <c r="AH41" s="715"/>
      <c r="AI41" s="715"/>
      <c r="AJ41" s="715"/>
    </row>
    <row r="42" spans="1:37" s="539" customFormat="1">
      <c r="A42" s="697"/>
      <c r="B42" s="713" t="s">
        <v>1849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1825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1850</v>
      </c>
      <c r="C44" s="546">
        <f>ROUND(POWER(1+E44,H44-G44)*(POWER(1+E44,G44)-1)/(POWER(1+E44,H44)-1),4)</f>
        <v>0</v>
      </c>
      <c r="D44" s="582" t="s">
        <v>1799</v>
      </c>
      <c r="E44" s="717">
        <f>G24</f>
        <v>5.5E-2</v>
      </c>
      <c r="F44" s="582" t="s">
        <v>1800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1852</v>
      </c>
      <c r="B48" s="725">
        <f>1+E50</f>
        <v>1.0357000000000001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1853</v>
      </c>
      <c r="B49" s="731" t="s">
        <v>1854</v>
      </c>
      <c r="C49" s="731" t="s">
        <v>1855</v>
      </c>
      <c r="D49" s="731" t="s">
        <v>1856</v>
      </c>
      <c r="E49" s="732" t="s">
        <v>1857</v>
      </c>
      <c r="F49" s="733" t="s">
        <v>1858</v>
      </c>
      <c r="G49" s="731" t="s">
        <v>1674</v>
      </c>
      <c r="H49" s="734" t="s">
        <v>1859</v>
      </c>
      <c r="I49" s="731" t="s">
        <v>1860</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1861</v>
      </c>
      <c r="B50" s="735" t="str">
        <f>估价对象房地状况!C4</f>
        <v>估价对象位于XX商圈，周边商业氛围成熟，人流量大，商业繁华度好</v>
      </c>
      <c r="C50" s="606" t="s">
        <v>1118</v>
      </c>
      <c r="D50" s="736">
        <f t="shared" ref="D50:D58" si="7">SUMIF($J$49:$N$49,C50,J50:N50)</f>
        <v>0</v>
      </c>
      <c r="E50" s="737">
        <f>ROUND(SUM(D50:D58),4)</f>
        <v>3.5700000000000003E-2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1862</v>
      </c>
      <c r="B51" s="741" t="str">
        <f>估价对象房地状况!C18</f>
        <v>估价对象周边道路状况、公共交通通达情况、停车便捷程度，综合评价交通便捷度较好</v>
      </c>
      <c r="C51" s="606" t="s">
        <v>1120</v>
      </c>
      <c r="D51" s="736">
        <f t="shared" si="7"/>
        <v>1.43E-2</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1863</v>
      </c>
      <c r="B52" s="741">
        <f>估价对象房地状况!C19</f>
        <v>0</v>
      </c>
      <c r="C52" s="606" t="s">
        <v>1120</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1864</v>
      </c>
      <c r="B53" s="744" t="s">
        <v>1865</v>
      </c>
      <c r="C53" s="606" t="s">
        <v>1118</v>
      </c>
      <c r="D53" s="736">
        <f t="shared" si="7"/>
        <v>0</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1866</v>
      </c>
      <c r="B54" s="741">
        <f>估价对象房地状况!C24</f>
        <v>0</v>
      </c>
      <c r="C54" s="606" t="s">
        <v>1118</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1867</v>
      </c>
      <c r="B55" s="745" t="s">
        <v>1868</v>
      </c>
      <c r="C55" s="606" t="s">
        <v>1120</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1118</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1871</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1872</v>
      </c>
      <c r="B58" s="749" t="str">
        <f>估价对象房地状况!C20</f>
        <v>区域自然环境：；人文环境；综合评价环境状况一般</v>
      </c>
      <c r="C58" s="606" t="s">
        <v>1118</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1873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1853</v>
      </c>
      <c r="B60" s="731"/>
      <c r="C60" s="731" t="s">
        <v>1855</v>
      </c>
      <c r="D60" s="731" t="s">
        <v>1856</v>
      </c>
      <c r="E60" s="732" t="s">
        <v>1857</v>
      </c>
      <c r="F60" s="733" t="s">
        <v>1874</v>
      </c>
      <c r="G60" s="731" t="s">
        <v>1674</v>
      </c>
      <c r="H60" s="734" t="s">
        <v>1859</v>
      </c>
      <c r="I60" s="731" t="s">
        <v>1860</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1862</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1863</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1864</v>
      </c>
      <c r="B64" s="744" t="s">
        <v>1865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1866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1867</v>
      </c>
      <c r="B66" s="745" t="s">
        <v>1868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1876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1853</v>
      </c>
      <c r="B71" s="731"/>
      <c r="C71" s="731" t="s">
        <v>1855</v>
      </c>
      <c r="D71" s="731" t="s">
        <v>1856</v>
      </c>
      <c r="E71" s="732" t="s">
        <v>1857</v>
      </c>
      <c r="F71" s="733" t="s">
        <v>1874</v>
      </c>
      <c r="G71" s="731" t="s">
        <v>1674</v>
      </c>
      <c r="H71" s="734" t="s">
        <v>1859</v>
      </c>
      <c r="I71" s="731" t="s">
        <v>1860</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1867</v>
      </c>
      <c r="B78" s="745" t="s">
        <v>1868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1880</v>
      </c>
      <c r="B81" s="725">
        <f>1+E83</f>
        <v>1</v>
      </c>
      <c r="C81" s="727"/>
      <c r="D81" s="727"/>
      <c r="E81" s="728"/>
      <c r="F81" s="729"/>
      <c r="G81" s="723"/>
      <c r="H81" s="723"/>
      <c r="I81" s="723"/>
      <c r="J81" s="722"/>
      <c r="K81" s="722"/>
      <c r="L81" s="722"/>
      <c r="M81" s="722"/>
      <c r="N81" s="722"/>
      <c r="Z81" s="543"/>
      <c r="AA81" s="541"/>
      <c r="AG81" s="545"/>
      <c r="AK81" s="541"/>
    </row>
    <row r="82" spans="1:37" ht="24.75">
      <c r="A82" s="730" t="s">
        <v>1853</v>
      </c>
      <c r="B82" s="731"/>
      <c r="C82" s="731" t="s">
        <v>1855</v>
      </c>
      <c r="D82" s="731" t="s">
        <v>1856</v>
      </c>
      <c r="E82" s="732" t="s">
        <v>1857</v>
      </c>
      <c r="F82" s="733" t="s">
        <v>1874</v>
      </c>
      <c r="G82" s="731" t="s">
        <v>1674</v>
      </c>
      <c r="H82" s="734" t="s">
        <v>1859</v>
      </c>
      <c r="I82" s="731" t="s">
        <v>1860</v>
      </c>
      <c r="J82" s="841" t="s">
        <v>1162</v>
      </c>
      <c r="K82" s="841" t="s">
        <v>1163</v>
      </c>
      <c r="L82" s="841" t="s">
        <v>1164</v>
      </c>
      <c r="M82" s="841" t="s">
        <v>1165</v>
      </c>
      <c r="N82" s="841" t="s">
        <v>1166</v>
      </c>
      <c r="Z82" s="543"/>
      <c r="AA82" s="541"/>
      <c r="AG82" s="545"/>
      <c r="AK82" s="541"/>
    </row>
    <row r="83" spans="1:37" ht="38.25">
      <c r="A83" s="730" t="s">
        <v>1881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1867</v>
      </c>
      <c r="B89" s="745" t="s">
        <v>1882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1853</v>
      </c>
      <c r="B92" s="886"/>
      <c r="C92" s="886" t="s">
        <v>1855</v>
      </c>
      <c r="D92" s="886" t="s">
        <v>1856</v>
      </c>
      <c r="E92" s="855" t="s">
        <v>1857</v>
      </c>
      <c r="F92" s="887" t="s">
        <v>1874</v>
      </c>
      <c r="G92" s="886" t="s">
        <v>1674</v>
      </c>
      <c r="H92" s="888" t="s">
        <v>1859</v>
      </c>
      <c r="I92" s="886" t="s">
        <v>1860</v>
      </c>
      <c r="J92" s="921" t="s">
        <v>1162</v>
      </c>
      <c r="K92" s="921" t="s">
        <v>1163</v>
      </c>
      <c r="L92" s="921" t="s">
        <v>1164</v>
      </c>
      <c r="M92" s="921" t="s">
        <v>1165</v>
      </c>
      <c r="N92" s="921" t="s">
        <v>1166</v>
      </c>
    </row>
    <row r="93" spans="1:37" ht="24">
      <c r="A93" s="743" t="s">
        <v>1884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1864</v>
      </c>
      <c r="B96" s="894" t="s">
        <v>1865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1867</v>
      </c>
      <c r="B98" s="895" t="s">
        <v>1868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1885</v>
      </c>
      <c r="B103" s="3734"/>
      <c r="C103" s="3734"/>
      <c r="D103" s="3734"/>
      <c r="E103" s="3734"/>
      <c r="F103" s="3734"/>
      <c r="G103" s="3734"/>
      <c r="H103" s="3734"/>
      <c r="I103" s="3734"/>
      <c r="J103" s="3734"/>
      <c r="K103" s="899"/>
      <c r="L103" s="899"/>
      <c r="M103" s="899"/>
      <c r="N103" s="899"/>
    </row>
    <row r="104" spans="1:14">
      <c r="A104" s="3740" t="s">
        <v>1886</v>
      </c>
      <c r="B104" s="3740" t="s">
        <v>1887</v>
      </c>
      <c r="C104" s="901" t="s">
        <v>1888</v>
      </c>
      <c r="D104" s="902"/>
      <c r="E104" s="902"/>
      <c r="F104" s="902"/>
      <c r="G104" s="902"/>
      <c r="H104" s="902"/>
      <c r="I104" s="902"/>
      <c r="J104" s="922"/>
      <c r="K104" s="923"/>
      <c r="L104" s="923"/>
      <c r="M104" s="923"/>
      <c r="N104" s="923"/>
    </row>
    <row r="105" spans="1:14">
      <c r="A105" s="3740"/>
      <c r="B105" s="3740"/>
      <c r="C105" s="900" t="s">
        <v>1734</v>
      </c>
      <c r="D105" s="900" t="s">
        <v>1735</v>
      </c>
      <c r="E105" s="900" t="s">
        <v>1736</v>
      </c>
      <c r="F105" s="900" t="s">
        <v>1737</v>
      </c>
      <c r="G105" s="900" t="s">
        <v>1738</v>
      </c>
      <c r="H105" s="900" t="s">
        <v>1739</v>
      </c>
      <c r="I105" s="900" t="s">
        <v>1740</v>
      </c>
      <c r="J105" s="900" t="s">
        <v>1741</v>
      </c>
      <c r="K105" s="900" t="s">
        <v>1742</v>
      </c>
      <c r="L105" s="900" t="s">
        <v>1743</v>
      </c>
      <c r="M105" s="900" t="s">
        <v>1744</v>
      </c>
      <c r="N105" s="900" t="s">
        <v>1745</v>
      </c>
    </row>
    <row r="106" spans="1:14">
      <c r="A106" s="3741" t="s">
        <v>1889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1750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1890</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1891</v>
      </c>
      <c r="B116" s="907">
        <f>G3</f>
        <v>2.5</v>
      </c>
      <c r="C116" s="908" t="s">
        <v>1892</v>
      </c>
      <c r="D116" s="909">
        <f>SUMPRODUCT((A118:A122=F116)*(B117:M117=H116)*B118:M122)</f>
        <v>0.91400000000000003</v>
      </c>
      <c r="E116" s="549" t="s">
        <v>1707</v>
      </c>
      <c r="F116" s="910" t="str">
        <f>E2</f>
        <v>商业</v>
      </c>
      <c r="G116" s="549" t="s">
        <v>1708</v>
      </c>
      <c r="H116" s="910" t="str">
        <f>G2</f>
        <v>七级</v>
      </c>
      <c r="I116" s="549"/>
      <c r="J116" s="924"/>
      <c r="K116" s="924"/>
      <c r="L116" s="924"/>
      <c r="M116" s="924"/>
      <c r="N116" s="905"/>
    </row>
    <row r="117" spans="1:14">
      <c r="A117" s="911"/>
      <c r="B117" s="912" t="s">
        <v>1893</v>
      </c>
      <c r="C117" s="912" t="s">
        <v>1894</v>
      </c>
      <c r="D117" s="912" t="s">
        <v>1895</v>
      </c>
      <c r="E117" s="913" t="s">
        <v>1896</v>
      </c>
      <c r="F117" s="913" t="s">
        <v>1897</v>
      </c>
      <c r="G117" s="913" t="s">
        <v>1898</v>
      </c>
      <c r="H117" s="914" t="s">
        <v>1899</v>
      </c>
      <c r="I117" s="914" t="s">
        <v>1900</v>
      </c>
      <c r="J117" s="925" t="s">
        <v>1901</v>
      </c>
      <c r="K117" s="925" t="s">
        <v>1902</v>
      </c>
      <c r="L117" s="925" t="s">
        <v>1903</v>
      </c>
      <c r="M117" s="926" t="s">
        <v>1904</v>
      </c>
      <c r="N117" s="905"/>
    </row>
    <row r="118" spans="1:14">
      <c r="A118" s="915" t="s">
        <v>1822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1823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1824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1825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activeCell="B142" sqref="B142"/>
    </sheetView>
  </sheetViews>
  <sheetFormatPr defaultColWidth="8.875" defaultRowHeight="13.5"/>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5" t="s">
        <v>547</v>
      </c>
      <c r="B20" s="3751" t="s">
        <v>1913</v>
      </c>
      <c r="C20" s="504" t="s">
        <v>1712</v>
      </c>
      <c r="D20" s="505"/>
      <c r="E20" s="506">
        <v>1</v>
      </c>
      <c r="F20" s="507" t="s">
        <v>1914</v>
      </c>
      <c r="G20" s="507"/>
    </row>
    <row r="21" spans="1:13" ht="19.5" customHeight="1">
      <c r="A21" s="3746"/>
      <c r="B21" s="3752"/>
      <c r="C21" s="508" t="s">
        <v>1915</v>
      </c>
      <c r="D21" s="509"/>
      <c r="E21" s="510">
        <v>1</v>
      </c>
      <c r="F21" s="507" t="s">
        <v>1916</v>
      </c>
      <c r="G21" s="507"/>
    </row>
    <row r="22" spans="1:13" ht="19.5" customHeight="1">
      <c r="A22" s="3746"/>
      <c r="B22" s="3752"/>
      <c r="C22" s="508" t="s">
        <v>1917</v>
      </c>
      <c r="D22" s="509"/>
      <c r="E22" s="510">
        <v>0.9</v>
      </c>
      <c r="F22" s="507" t="s">
        <v>1918</v>
      </c>
      <c r="G22" s="507"/>
    </row>
    <row r="23" spans="1:13" ht="19.5" customHeight="1">
      <c r="A23" s="3746"/>
      <c r="B23" s="3752"/>
      <c r="C23" s="508" t="s">
        <v>1919</v>
      </c>
      <c r="D23" s="509"/>
      <c r="E23" s="510">
        <v>0.9</v>
      </c>
      <c r="F23" s="507" t="s">
        <v>1920</v>
      </c>
      <c r="G23" s="507"/>
    </row>
    <row r="24" spans="1:13" ht="19.5" customHeight="1">
      <c r="A24" s="3746"/>
      <c r="B24" s="3752"/>
      <c r="C24" s="508" t="s">
        <v>1921</v>
      </c>
      <c r="D24" s="509"/>
      <c r="E24" s="510">
        <v>0.8</v>
      </c>
      <c r="F24" s="507" t="s">
        <v>1922</v>
      </c>
      <c r="G24" s="507"/>
    </row>
    <row r="25" spans="1:13" ht="19.5" customHeight="1">
      <c r="A25" s="3747"/>
      <c r="B25" s="3753"/>
      <c r="C25" s="511" t="s">
        <v>1923</v>
      </c>
      <c r="D25" s="512"/>
      <c r="E25" s="513">
        <v>0.8</v>
      </c>
      <c r="F25" s="507" t="s">
        <v>1924</v>
      </c>
      <c r="G25" s="507"/>
    </row>
    <row r="26" spans="1:13" ht="19.5" customHeight="1">
      <c r="A26" s="514" t="s">
        <v>1905</v>
      </c>
      <c r="B26" s="515" t="s">
        <v>1913</v>
      </c>
      <c r="C26" s="516" t="s">
        <v>1925</v>
      </c>
      <c r="D26" s="517"/>
      <c r="E26" s="518">
        <v>1</v>
      </c>
      <c r="F26" s="507" t="s">
        <v>1926</v>
      </c>
      <c r="G26" s="507"/>
    </row>
    <row r="27" spans="1:13" ht="19.5" customHeight="1">
      <c r="A27" s="3748" t="s">
        <v>280</v>
      </c>
      <c r="B27" s="3751" t="s">
        <v>280</v>
      </c>
      <c r="C27" s="504" t="s">
        <v>1927</v>
      </c>
      <c r="D27" s="505"/>
      <c r="E27" s="506">
        <v>1</v>
      </c>
      <c r="F27" s="507" t="s">
        <v>1928</v>
      </c>
      <c r="G27" s="507"/>
    </row>
    <row r="28" spans="1:13" ht="19.5" customHeight="1">
      <c r="A28" s="3749"/>
      <c r="B28" s="3752"/>
      <c r="C28" s="508" t="s">
        <v>1929</v>
      </c>
      <c r="D28" s="509"/>
      <c r="E28" s="510">
        <v>1</v>
      </c>
      <c r="F28" s="507" t="s">
        <v>1930</v>
      </c>
      <c r="G28" s="507"/>
    </row>
    <row r="29" spans="1:13" ht="19.5" customHeight="1">
      <c r="A29" s="3749"/>
      <c r="B29" s="3752"/>
      <c r="C29" s="508" t="s">
        <v>1931</v>
      </c>
      <c r="D29" s="509"/>
      <c r="E29" s="510">
        <v>0.8</v>
      </c>
      <c r="F29" s="507" t="s">
        <v>1932</v>
      </c>
      <c r="G29" s="507"/>
    </row>
    <row r="30" spans="1:13" ht="19.5" customHeight="1">
      <c r="A30" s="3749"/>
      <c r="B30" s="3752"/>
      <c r="C30" s="508" t="s">
        <v>1933</v>
      </c>
      <c r="D30" s="509"/>
      <c r="E30" s="510">
        <v>0.8</v>
      </c>
      <c r="F30" s="507" t="s">
        <v>1934</v>
      </c>
      <c r="G30" s="507"/>
    </row>
    <row r="31" spans="1:13" ht="19.5" customHeight="1">
      <c r="A31" s="3749"/>
      <c r="B31" s="3752"/>
      <c r="C31" s="508" t="s">
        <v>1935</v>
      </c>
      <c r="D31" s="509"/>
      <c r="E31" s="510">
        <v>0.8</v>
      </c>
      <c r="F31" s="507" t="s">
        <v>1936</v>
      </c>
      <c r="G31" s="507"/>
    </row>
    <row r="32" spans="1:13" ht="19.5" customHeight="1">
      <c r="A32" s="3749"/>
      <c r="B32" s="3752"/>
      <c r="C32" s="508" t="s">
        <v>1937</v>
      </c>
      <c r="D32" s="509"/>
      <c r="E32" s="510">
        <v>0.7</v>
      </c>
      <c r="F32" s="507" t="s">
        <v>1938</v>
      </c>
      <c r="G32" s="507"/>
    </row>
    <row r="33" spans="1:7" ht="19.5" customHeight="1">
      <c r="A33" s="3749"/>
      <c r="B33" s="3752"/>
      <c r="C33" s="508" t="s">
        <v>1939</v>
      </c>
      <c r="D33" s="509"/>
      <c r="E33" s="510">
        <v>0.8</v>
      </c>
      <c r="F33" s="507" t="s">
        <v>1940</v>
      </c>
      <c r="G33" s="507"/>
    </row>
    <row r="34" spans="1:7" ht="19.5" customHeight="1">
      <c r="A34" s="3749"/>
      <c r="B34" s="3752"/>
      <c r="C34" s="508" t="s">
        <v>1941</v>
      </c>
      <c r="D34" s="509"/>
      <c r="E34" s="510">
        <v>0.6</v>
      </c>
      <c r="F34" s="507" t="s">
        <v>1942</v>
      </c>
      <c r="G34" s="507"/>
    </row>
    <row r="35" spans="1:7" ht="19.5" customHeight="1">
      <c r="A35" s="3749"/>
      <c r="B35" s="3752"/>
      <c r="C35" s="508" t="s">
        <v>1943</v>
      </c>
      <c r="D35" s="509"/>
      <c r="E35" s="510">
        <v>0.2</v>
      </c>
      <c r="F35" s="507" t="s">
        <v>1944</v>
      </c>
      <c r="G35" s="507"/>
    </row>
    <row r="36" spans="1:7" ht="19.5" customHeight="1">
      <c r="A36" s="3749"/>
      <c r="B36" s="3752"/>
      <c r="C36" s="508" t="s">
        <v>1945</v>
      </c>
      <c r="D36" s="509"/>
      <c r="E36" s="510">
        <v>0.2</v>
      </c>
      <c r="F36" s="507" t="s">
        <v>1946</v>
      </c>
      <c r="G36" s="507"/>
    </row>
    <row r="37" spans="1:7" ht="19.5" customHeight="1">
      <c r="A37" s="3749"/>
      <c r="B37" s="3754" t="s">
        <v>1947</v>
      </c>
      <c r="C37" s="508" t="s">
        <v>1948</v>
      </c>
      <c r="D37" s="509"/>
      <c r="E37" s="510">
        <v>0.6</v>
      </c>
      <c r="F37" s="507" t="s">
        <v>1949</v>
      </c>
      <c r="G37" s="507"/>
    </row>
    <row r="38" spans="1:7" ht="19.5" customHeight="1">
      <c r="A38" s="3749"/>
      <c r="B38" s="3752"/>
      <c r="C38" s="508" t="s">
        <v>1950</v>
      </c>
      <c r="D38" s="509"/>
      <c r="E38" s="510">
        <v>0.6</v>
      </c>
      <c r="F38" s="507" t="s">
        <v>1951</v>
      </c>
      <c r="G38" s="507"/>
    </row>
    <row r="39" spans="1:7" ht="19.5" customHeight="1">
      <c r="A39" s="3750"/>
      <c r="B39" s="3753"/>
      <c r="C39" s="511" t="s">
        <v>1952</v>
      </c>
      <c r="D39" s="512"/>
      <c r="E39" s="513">
        <v>0.6</v>
      </c>
      <c r="F39" s="507" t="s">
        <v>1953</v>
      </c>
      <c r="G39" s="507"/>
    </row>
    <row r="40" spans="1:7" ht="19.5" customHeight="1">
      <c r="A40" s="514" t="s">
        <v>412</v>
      </c>
      <c r="B40" s="515" t="s">
        <v>412</v>
      </c>
      <c r="C40" s="516" t="s">
        <v>1954</v>
      </c>
      <c r="D40" s="517"/>
      <c r="E40" s="518">
        <v>1</v>
      </c>
      <c r="F40" s="507" t="s">
        <v>1955</v>
      </c>
      <c r="G40" s="507"/>
    </row>
    <row r="41" spans="1:7" ht="19.5" customHeight="1">
      <c r="A41" s="3745" t="s">
        <v>408</v>
      </c>
      <c r="B41" s="3751" t="s">
        <v>1956</v>
      </c>
      <c r="C41" s="504" t="s">
        <v>1957</v>
      </c>
      <c r="D41" s="505"/>
      <c r="E41" s="506">
        <v>1</v>
      </c>
      <c r="F41" s="507" t="s">
        <v>1958</v>
      </c>
      <c r="G41" s="507"/>
    </row>
    <row r="42" spans="1:7" ht="19.5" customHeight="1">
      <c r="A42" s="3746"/>
      <c r="B42" s="3752"/>
      <c r="C42" s="508" t="s">
        <v>1959</v>
      </c>
      <c r="D42" s="509"/>
      <c r="E42" s="510">
        <v>1</v>
      </c>
      <c r="F42" s="507" t="s">
        <v>1960</v>
      </c>
      <c r="G42" s="507"/>
    </row>
    <row r="43" spans="1:7" ht="19.5" customHeight="1">
      <c r="A43" s="3746"/>
      <c r="B43" s="3755"/>
      <c r="C43" s="508" t="s">
        <v>1961</v>
      </c>
      <c r="D43" s="509"/>
      <c r="E43" s="510">
        <v>1.5</v>
      </c>
      <c r="F43" s="507" t="s">
        <v>1962</v>
      </c>
      <c r="G43" s="507"/>
    </row>
    <row r="44" spans="1:7" ht="19.5" customHeight="1">
      <c r="A44" s="3746"/>
      <c r="B44" s="520" t="s">
        <v>280</v>
      </c>
      <c r="C44" s="508" t="s">
        <v>1906</v>
      </c>
      <c r="D44" s="509"/>
      <c r="E44" s="510">
        <v>2</v>
      </c>
      <c r="F44" s="507" t="s">
        <v>1963</v>
      </c>
      <c r="G44" s="507"/>
    </row>
    <row r="45" spans="1:7" ht="19.5" customHeight="1">
      <c r="A45" s="3746"/>
      <c r="B45" s="3754" t="s">
        <v>1964</v>
      </c>
      <c r="C45" s="508" t="s">
        <v>1965</v>
      </c>
      <c r="D45" s="509"/>
      <c r="E45" s="510">
        <v>1</v>
      </c>
      <c r="F45" s="507" t="s">
        <v>1966</v>
      </c>
      <c r="G45" s="507"/>
    </row>
    <row r="46" spans="1:7" ht="19.5" customHeight="1">
      <c r="A46" s="3746"/>
      <c r="B46" s="3752"/>
      <c r="C46" s="508" t="s">
        <v>1967</v>
      </c>
      <c r="D46" s="509"/>
      <c r="E46" s="510">
        <v>1</v>
      </c>
      <c r="F46" s="507" t="s">
        <v>1968</v>
      </c>
      <c r="G46" s="507"/>
    </row>
    <row r="47" spans="1:7" ht="19.5" customHeight="1">
      <c r="A47" s="3746"/>
      <c r="B47" s="3752"/>
      <c r="C47" s="508" t="s">
        <v>1969</v>
      </c>
      <c r="D47" s="509"/>
      <c r="E47" s="510">
        <v>1</v>
      </c>
      <c r="F47" s="507" t="s">
        <v>1970</v>
      </c>
      <c r="G47" s="507"/>
    </row>
    <row r="48" spans="1:7" ht="19.5" customHeight="1">
      <c r="A48" s="3746"/>
      <c r="B48" s="3752"/>
      <c r="C48" s="508" t="s">
        <v>1971</v>
      </c>
      <c r="D48" s="509"/>
      <c r="E48" s="510">
        <v>1</v>
      </c>
      <c r="F48" s="507" t="s">
        <v>1972</v>
      </c>
      <c r="G48" s="507"/>
    </row>
    <row r="49" spans="1:7" ht="19.5" customHeight="1">
      <c r="A49" s="3746"/>
      <c r="B49" s="3752"/>
      <c r="C49" s="508" t="s">
        <v>1973</v>
      </c>
      <c r="D49" s="509"/>
      <c r="E49" s="510">
        <v>1</v>
      </c>
      <c r="F49" s="507" t="s">
        <v>1974</v>
      </c>
      <c r="G49" s="507"/>
    </row>
    <row r="50" spans="1:7" ht="19.5" customHeight="1">
      <c r="A50" s="3746"/>
      <c r="B50" s="3752"/>
      <c r="C50" s="508" t="s">
        <v>1975</v>
      </c>
      <c r="D50" s="509"/>
      <c r="E50" s="510">
        <v>1</v>
      </c>
      <c r="F50" s="507" t="s">
        <v>1976</v>
      </c>
      <c r="G50" s="507"/>
    </row>
    <row r="51" spans="1:7" ht="19.5" customHeight="1">
      <c r="A51" s="3747"/>
      <c r="B51" s="3753"/>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1979</v>
      </c>
      <c r="C54" s="496" t="s">
        <v>1979</v>
      </c>
      <c r="D54" s="496" t="s">
        <v>1979</v>
      </c>
      <c r="E54" s="498" t="s">
        <v>1979</v>
      </c>
      <c r="F54" s="498" t="s">
        <v>1980</v>
      </c>
      <c r="G54" s="498" t="s">
        <v>1979</v>
      </c>
    </row>
    <row r="55" spans="1:7" ht="19.5" customHeight="1">
      <c r="A55" s="523"/>
      <c r="B55" s="498" t="s">
        <v>547</v>
      </c>
      <c r="C55" s="498" t="s">
        <v>547</v>
      </c>
      <c r="D55" s="498" t="s">
        <v>547</v>
      </c>
      <c r="E55" s="496" t="s">
        <v>1905</v>
      </c>
      <c r="F55" s="496" t="s">
        <v>408</v>
      </c>
      <c r="G55" s="496" t="s">
        <v>1607</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1729</v>
      </c>
      <c r="D72" s="520"/>
      <c r="E72" s="520" t="s">
        <v>124</v>
      </c>
      <c r="F72" s="520" t="s">
        <v>124</v>
      </c>
    </row>
    <row r="73" spans="1:7" ht="13.5">
      <c r="A73" s="520">
        <v>1</v>
      </c>
      <c r="B73" s="3754" t="s">
        <v>1989</v>
      </c>
      <c r="C73" s="496" t="s">
        <v>1990</v>
      </c>
      <c r="D73" s="496" t="s">
        <v>1991</v>
      </c>
      <c r="E73" s="520">
        <v>0.2</v>
      </c>
      <c r="F73" s="520">
        <v>25</v>
      </c>
    </row>
    <row r="74" spans="1:7" ht="24">
      <c r="A74" s="520">
        <v>2</v>
      </c>
      <c r="B74" s="3752"/>
      <c r="C74" s="496" t="s">
        <v>1992</v>
      </c>
      <c r="D74" s="496" t="s">
        <v>1993</v>
      </c>
      <c r="E74" s="520">
        <v>0.2</v>
      </c>
      <c r="F74" s="520">
        <v>25</v>
      </c>
    </row>
    <row r="75" spans="1:7" ht="24">
      <c r="A75" s="520">
        <v>3</v>
      </c>
      <c r="B75" s="3752"/>
      <c r="C75" s="496" t="s">
        <v>1994</v>
      </c>
      <c r="D75" s="496" t="s">
        <v>1995</v>
      </c>
      <c r="E75" s="520">
        <v>0.2</v>
      </c>
      <c r="F75" s="520">
        <v>25</v>
      </c>
    </row>
    <row r="76" spans="1:7" ht="13.5">
      <c r="A76" s="520">
        <v>4</v>
      </c>
      <c r="B76" s="3752"/>
      <c r="C76" s="496" t="s">
        <v>1996</v>
      </c>
      <c r="D76" s="496" t="s">
        <v>1997</v>
      </c>
      <c r="E76" s="520">
        <v>0.15</v>
      </c>
      <c r="F76" s="520">
        <v>20</v>
      </c>
    </row>
    <row r="77" spans="1:7" ht="24">
      <c r="A77" s="520">
        <v>5</v>
      </c>
      <c r="B77" s="3752"/>
      <c r="C77" s="496" t="s">
        <v>1998</v>
      </c>
      <c r="D77" s="496" t="s">
        <v>1999</v>
      </c>
      <c r="E77" s="520">
        <v>0.15</v>
      </c>
      <c r="F77" s="520">
        <v>20</v>
      </c>
    </row>
    <row r="78" spans="1:7" ht="24">
      <c r="A78" s="520">
        <v>6</v>
      </c>
      <c r="B78" s="3752"/>
      <c r="C78" s="496" t="s">
        <v>2000</v>
      </c>
      <c r="D78" s="496" t="s">
        <v>2001</v>
      </c>
      <c r="E78" s="520">
        <v>0.15</v>
      </c>
      <c r="F78" s="520">
        <v>20</v>
      </c>
    </row>
    <row r="79" spans="1:7" ht="24">
      <c r="A79" s="520">
        <v>7</v>
      </c>
      <c r="B79" s="3752"/>
      <c r="C79" s="496" t="s">
        <v>2002</v>
      </c>
      <c r="D79" s="496" t="s">
        <v>2003</v>
      </c>
      <c r="E79" s="520">
        <v>0.15</v>
      </c>
      <c r="F79" s="520">
        <v>20</v>
      </c>
    </row>
    <row r="80" spans="1:7" ht="24">
      <c r="A80" s="520">
        <v>8</v>
      </c>
      <c r="B80" s="3752"/>
      <c r="C80" s="496" t="s">
        <v>2004</v>
      </c>
      <c r="D80" s="496" t="s">
        <v>2005</v>
      </c>
      <c r="E80" s="520">
        <v>0.1</v>
      </c>
      <c r="F80" s="520">
        <v>15</v>
      </c>
    </row>
    <row r="81" spans="1:6" ht="24">
      <c r="A81" s="520">
        <v>9</v>
      </c>
      <c r="B81" s="3752"/>
      <c r="C81" s="496" t="s">
        <v>2006</v>
      </c>
      <c r="D81" s="496" t="s">
        <v>2007</v>
      </c>
      <c r="E81" s="520">
        <v>0.1</v>
      </c>
      <c r="F81" s="520">
        <v>15</v>
      </c>
    </row>
    <row r="82" spans="1:6" ht="24">
      <c r="A82" s="520">
        <v>10</v>
      </c>
      <c r="B82" s="3752"/>
      <c r="C82" s="496" t="s">
        <v>2008</v>
      </c>
      <c r="D82" s="496" t="s">
        <v>2009</v>
      </c>
      <c r="E82" s="520">
        <v>0.1</v>
      </c>
      <c r="F82" s="520">
        <v>15</v>
      </c>
    </row>
    <row r="83" spans="1:6" ht="24">
      <c r="A83" s="520">
        <v>11</v>
      </c>
      <c r="B83" s="3752"/>
      <c r="C83" s="496" t="s">
        <v>2010</v>
      </c>
      <c r="D83" s="496" t="s">
        <v>2011</v>
      </c>
      <c r="E83" s="520">
        <v>0.1</v>
      </c>
      <c r="F83" s="520">
        <v>15</v>
      </c>
    </row>
    <row r="84" spans="1:6" ht="24">
      <c r="A84" s="520">
        <v>12</v>
      </c>
      <c r="B84" s="3752"/>
      <c r="C84" s="496" t="s">
        <v>2012</v>
      </c>
      <c r="D84" s="496" t="s">
        <v>2013</v>
      </c>
      <c r="E84" s="520">
        <v>0.1</v>
      </c>
      <c r="F84" s="520">
        <v>15</v>
      </c>
    </row>
    <row r="85" spans="1:6" ht="13.5">
      <c r="A85" s="520">
        <v>13</v>
      </c>
      <c r="B85" s="3752"/>
      <c r="C85" s="496" t="s">
        <v>2014</v>
      </c>
      <c r="D85" s="496" t="s">
        <v>2015</v>
      </c>
      <c r="E85" s="520">
        <v>0.1</v>
      </c>
      <c r="F85" s="520">
        <v>15</v>
      </c>
    </row>
    <row r="86" spans="1:6" ht="13.5">
      <c r="A86" s="520">
        <v>14</v>
      </c>
      <c r="B86" s="3752"/>
      <c r="C86" s="496" t="s">
        <v>2016</v>
      </c>
      <c r="D86" s="496" t="s">
        <v>2017</v>
      </c>
      <c r="E86" s="520">
        <v>0.1</v>
      </c>
      <c r="F86" s="520">
        <v>15</v>
      </c>
    </row>
    <row r="87" spans="1:6" ht="13.5">
      <c r="A87" s="520">
        <v>15</v>
      </c>
      <c r="B87" s="3752"/>
      <c r="C87" s="496" t="s">
        <v>2018</v>
      </c>
      <c r="D87" s="496" t="s">
        <v>2019</v>
      </c>
      <c r="E87" s="520">
        <v>0.1</v>
      </c>
      <c r="F87" s="520">
        <v>15</v>
      </c>
    </row>
    <row r="88" spans="1:6" ht="24">
      <c r="A88" s="520">
        <v>16</v>
      </c>
      <c r="B88" s="3752"/>
      <c r="C88" s="496" t="s">
        <v>2020</v>
      </c>
      <c r="D88" s="496" t="s">
        <v>2021</v>
      </c>
      <c r="E88" s="520">
        <v>0.1</v>
      </c>
      <c r="F88" s="520">
        <v>15</v>
      </c>
    </row>
    <row r="89" spans="1:6" ht="24">
      <c r="A89" s="520">
        <v>17</v>
      </c>
      <c r="B89" s="3755"/>
      <c r="C89" s="496" t="s">
        <v>2022</v>
      </c>
      <c r="D89" s="496" t="s">
        <v>2023</v>
      </c>
      <c r="E89" s="520">
        <v>0.1</v>
      </c>
      <c r="F89" s="520">
        <v>15</v>
      </c>
    </row>
    <row r="90" spans="1:6" ht="13.5">
      <c r="A90" s="520">
        <v>18</v>
      </c>
      <c r="B90" s="3754" t="s">
        <v>2024</v>
      </c>
      <c r="C90" s="496" t="s">
        <v>2025</v>
      </c>
      <c r="D90" s="496" t="s">
        <v>2026</v>
      </c>
      <c r="E90" s="520">
        <v>0.2</v>
      </c>
      <c r="F90" s="520">
        <v>25</v>
      </c>
    </row>
    <row r="91" spans="1:6" ht="24">
      <c r="A91" s="520">
        <v>19</v>
      </c>
      <c r="B91" s="3752"/>
      <c r="C91" s="496" t="s">
        <v>2027</v>
      </c>
      <c r="D91" s="496" t="s">
        <v>2028</v>
      </c>
      <c r="E91" s="520">
        <v>0.2</v>
      </c>
      <c r="F91" s="520">
        <v>25</v>
      </c>
    </row>
    <row r="92" spans="1:6" ht="13.5">
      <c r="A92" s="520">
        <v>20</v>
      </c>
      <c r="B92" s="3752"/>
      <c r="C92" s="496" t="s">
        <v>2029</v>
      </c>
      <c r="D92" s="496" t="s">
        <v>2030</v>
      </c>
      <c r="E92" s="520">
        <v>0.15</v>
      </c>
      <c r="F92" s="520">
        <v>20</v>
      </c>
    </row>
    <row r="93" spans="1:6" ht="13.5">
      <c r="A93" s="520">
        <v>21</v>
      </c>
      <c r="B93" s="3752"/>
      <c r="C93" s="496" t="s">
        <v>2031</v>
      </c>
      <c r="D93" s="496" t="s">
        <v>2032</v>
      </c>
      <c r="E93" s="520">
        <v>0.15</v>
      </c>
      <c r="F93" s="520">
        <v>20</v>
      </c>
    </row>
    <row r="94" spans="1:6" ht="13.5">
      <c r="A94" s="520">
        <v>22</v>
      </c>
      <c r="B94" s="3752"/>
      <c r="C94" s="496" t="s">
        <v>2033</v>
      </c>
      <c r="D94" s="496" t="s">
        <v>2034</v>
      </c>
      <c r="E94" s="520">
        <v>0.15</v>
      </c>
      <c r="F94" s="520">
        <v>20</v>
      </c>
    </row>
    <row r="95" spans="1:6" ht="36">
      <c r="A95" s="520">
        <v>23</v>
      </c>
      <c r="B95" s="3752"/>
      <c r="C95" s="496" t="s">
        <v>2035</v>
      </c>
      <c r="D95" s="496" t="s">
        <v>2036</v>
      </c>
      <c r="E95" s="520">
        <v>0.15</v>
      </c>
      <c r="F95" s="520">
        <v>20</v>
      </c>
    </row>
    <row r="96" spans="1:6" ht="13.5">
      <c r="A96" s="520">
        <v>24</v>
      </c>
      <c r="B96" s="3752"/>
      <c r="C96" s="496" t="s">
        <v>2037</v>
      </c>
      <c r="D96" s="496" t="s">
        <v>2038</v>
      </c>
      <c r="E96" s="520">
        <v>0.1</v>
      </c>
      <c r="F96" s="520">
        <v>15</v>
      </c>
    </row>
    <row r="97" spans="1:6" ht="13.5">
      <c r="A97" s="520">
        <v>25</v>
      </c>
      <c r="B97" s="3752"/>
      <c r="C97" s="496" t="s">
        <v>2039</v>
      </c>
      <c r="D97" s="496" t="s">
        <v>2040</v>
      </c>
      <c r="E97" s="520">
        <v>0.1</v>
      </c>
      <c r="F97" s="520">
        <v>15</v>
      </c>
    </row>
    <row r="98" spans="1:6" ht="24">
      <c r="A98" s="520">
        <v>26</v>
      </c>
      <c r="B98" s="3752"/>
      <c r="C98" s="496" t="s">
        <v>2041</v>
      </c>
      <c r="D98" s="496" t="s">
        <v>2042</v>
      </c>
      <c r="E98" s="520">
        <v>0.1</v>
      </c>
      <c r="F98" s="520">
        <v>15</v>
      </c>
    </row>
    <row r="99" spans="1:6" ht="24">
      <c r="A99" s="520">
        <v>27</v>
      </c>
      <c r="B99" s="3752"/>
      <c r="C99" s="496" t="s">
        <v>2043</v>
      </c>
      <c r="D99" s="496" t="s">
        <v>2044</v>
      </c>
      <c r="E99" s="520">
        <v>0.1</v>
      </c>
      <c r="F99" s="520">
        <v>15</v>
      </c>
    </row>
    <row r="100" spans="1:6" ht="13.5">
      <c r="A100" s="520">
        <v>28</v>
      </c>
      <c r="B100" s="3752"/>
      <c r="C100" s="496" t="s">
        <v>2045</v>
      </c>
      <c r="D100" s="496" t="s">
        <v>2046</v>
      </c>
      <c r="E100" s="520">
        <v>0.1</v>
      </c>
      <c r="F100" s="520">
        <v>15</v>
      </c>
    </row>
    <row r="101" spans="1:6" ht="13.5">
      <c r="A101" s="520">
        <v>29</v>
      </c>
      <c r="B101" s="3752"/>
      <c r="C101" s="496" t="s">
        <v>2047</v>
      </c>
      <c r="D101" s="496" t="s">
        <v>2048</v>
      </c>
      <c r="E101" s="520">
        <v>0.1</v>
      </c>
      <c r="F101" s="520">
        <v>15</v>
      </c>
    </row>
    <row r="102" spans="1:6" ht="13.5">
      <c r="A102" s="520">
        <v>30</v>
      </c>
      <c r="B102" s="3752"/>
      <c r="C102" s="496" t="s">
        <v>2049</v>
      </c>
      <c r="D102" s="496" t="s">
        <v>2050</v>
      </c>
      <c r="E102" s="520">
        <v>0.1</v>
      </c>
      <c r="F102" s="520">
        <v>15</v>
      </c>
    </row>
    <row r="103" spans="1:6" ht="24">
      <c r="A103" s="520">
        <v>31</v>
      </c>
      <c r="B103" s="3752"/>
      <c r="C103" s="496" t="s">
        <v>2051</v>
      </c>
      <c r="D103" s="496" t="s">
        <v>2052</v>
      </c>
      <c r="E103" s="520">
        <v>0.1</v>
      </c>
      <c r="F103" s="520">
        <v>15</v>
      </c>
    </row>
    <row r="104" spans="1:6" ht="24">
      <c r="A104" s="520">
        <v>32</v>
      </c>
      <c r="B104" s="3752"/>
      <c r="C104" s="496" t="s">
        <v>2053</v>
      </c>
      <c r="D104" s="496" t="s">
        <v>2054</v>
      </c>
      <c r="E104" s="520">
        <v>0.1</v>
      </c>
      <c r="F104" s="520">
        <v>15</v>
      </c>
    </row>
    <row r="105" spans="1:6" ht="24">
      <c r="A105" s="520">
        <v>33</v>
      </c>
      <c r="B105" s="3752"/>
      <c r="C105" s="496" t="s">
        <v>2055</v>
      </c>
      <c r="D105" s="496" t="s">
        <v>2056</v>
      </c>
      <c r="E105" s="520">
        <v>0.1</v>
      </c>
      <c r="F105" s="520">
        <v>15</v>
      </c>
    </row>
    <row r="106" spans="1:6" ht="24">
      <c r="A106" s="520">
        <v>34</v>
      </c>
      <c r="B106" s="3755"/>
      <c r="C106" s="496" t="s">
        <v>2057</v>
      </c>
      <c r="D106" s="496" t="s">
        <v>2058</v>
      </c>
      <c r="E106" s="520">
        <v>0.1</v>
      </c>
      <c r="F106" s="520">
        <v>15</v>
      </c>
    </row>
    <row r="107" spans="1:6" ht="24">
      <c r="A107" s="520">
        <v>35</v>
      </c>
      <c r="B107" s="3754" t="s">
        <v>2059</v>
      </c>
      <c r="C107" s="520" t="s">
        <v>2060</v>
      </c>
      <c r="D107" s="496" t="s">
        <v>2061</v>
      </c>
      <c r="E107" s="520">
        <v>0.15</v>
      </c>
      <c r="F107" s="520">
        <v>20</v>
      </c>
    </row>
    <row r="108" spans="1:6" ht="13.5">
      <c r="A108" s="520">
        <v>36</v>
      </c>
      <c r="B108" s="3752"/>
      <c r="C108" s="520" t="s">
        <v>2062</v>
      </c>
      <c r="D108" s="496" t="s">
        <v>2063</v>
      </c>
      <c r="E108" s="520">
        <v>0.15</v>
      </c>
      <c r="F108" s="520">
        <v>20</v>
      </c>
    </row>
    <row r="109" spans="1:6" ht="13.5">
      <c r="A109" s="520">
        <v>37</v>
      </c>
      <c r="B109" s="3752"/>
      <c r="C109" s="520" t="s">
        <v>2064</v>
      </c>
      <c r="D109" s="496" t="s">
        <v>2065</v>
      </c>
      <c r="E109" s="520">
        <v>0.15</v>
      </c>
      <c r="F109" s="520">
        <v>20</v>
      </c>
    </row>
    <row r="110" spans="1:6" ht="13.5">
      <c r="A110" s="520">
        <v>38</v>
      </c>
      <c r="B110" s="3752"/>
      <c r="C110" s="520" t="s">
        <v>2066</v>
      </c>
      <c r="D110" s="496" t="s">
        <v>2067</v>
      </c>
      <c r="E110" s="520">
        <v>0.1</v>
      </c>
      <c r="F110" s="520">
        <v>15</v>
      </c>
    </row>
    <row r="111" spans="1:6" ht="24">
      <c r="A111" s="520">
        <v>39</v>
      </c>
      <c r="B111" s="3752"/>
      <c r="C111" s="520" t="s">
        <v>2068</v>
      </c>
      <c r="D111" s="496" t="s">
        <v>2069</v>
      </c>
      <c r="E111" s="520">
        <v>0.1</v>
      </c>
      <c r="F111" s="520">
        <v>15</v>
      </c>
    </row>
    <row r="112" spans="1:6" ht="24">
      <c r="A112" s="520">
        <v>40</v>
      </c>
      <c r="B112" s="3755"/>
      <c r="C112" s="520" t="s">
        <v>2070</v>
      </c>
      <c r="D112" s="496" t="s">
        <v>2071</v>
      </c>
      <c r="E112" s="520">
        <v>0.1</v>
      </c>
      <c r="F112" s="520">
        <v>15</v>
      </c>
    </row>
    <row r="113" spans="1:6" ht="13.5">
      <c r="A113" s="520">
        <v>41</v>
      </c>
      <c r="B113" s="3756" t="s">
        <v>2072</v>
      </c>
      <c r="C113" s="520" t="s">
        <v>2073</v>
      </c>
      <c r="D113" s="496" t="s">
        <v>2074</v>
      </c>
      <c r="E113" s="520">
        <v>0.1</v>
      </c>
      <c r="F113" s="520">
        <v>15</v>
      </c>
    </row>
    <row r="114" spans="1:6" ht="13.5">
      <c r="A114" s="520">
        <v>42</v>
      </c>
      <c r="B114" s="3756"/>
      <c r="C114" s="520" t="s">
        <v>2075</v>
      </c>
      <c r="D114" s="496" t="s">
        <v>2076</v>
      </c>
      <c r="E114" s="520">
        <v>0.1</v>
      </c>
      <c r="F114" s="520">
        <v>15</v>
      </c>
    </row>
    <row r="115" spans="1:6" ht="24">
      <c r="A115" s="520">
        <v>43</v>
      </c>
      <c r="B115" s="3756"/>
      <c r="C115" s="520" t="s">
        <v>2077</v>
      </c>
      <c r="D115" s="496" t="s">
        <v>2078</v>
      </c>
      <c r="E115" s="520">
        <v>0.1</v>
      </c>
      <c r="F115" s="520">
        <v>15</v>
      </c>
    </row>
    <row r="116" spans="1:6" ht="13.5">
      <c r="A116" s="520">
        <v>44</v>
      </c>
      <c r="B116" s="3754" t="s">
        <v>2079</v>
      </c>
      <c r="C116" s="520" t="s">
        <v>2080</v>
      </c>
      <c r="D116" s="496" t="s">
        <v>2081</v>
      </c>
      <c r="E116" s="520">
        <v>0.1</v>
      </c>
      <c r="F116" s="520">
        <v>15</v>
      </c>
    </row>
    <row r="117" spans="1:6" ht="24">
      <c r="A117" s="520">
        <v>45</v>
      </c>
      <c r="B117" s="3755"/>
      <c r="C117" s="496" t="s">
        <v>2082</v>
      </c>
      <c r="D117" s="496" t="s">
        <v>2083</v>
      </c>
      <c r="E117" s="520">
        <v>0.1</v>
      </c>
      <c r="F117" s="520">
        <v>15</v>
      </c>
    </row>
    <row r="118" spans="1:6" ht="24">
      <c r="A118" s="520">
        <v>46</v>
      </c>
      <c r="B118" s="3754" t="s">
        <v>2084</v>
      </c>
      <c r="C118" s="520" t="s">
        <v>2085</v>
      </c>
      <c r="D118" s="496" t="s">
        <v>2086</v>
      </c>
      <c r="E118" s="520">
        <v>0.1</v>
      </c>
      <c r="F118" s="520">
        <v>15</v>
      </c>
    </row>
    <row r="119" spans="1:6" ht="24">
      <c r="A119" s="520">
        <v>47</v>
      </c>
      <c r="B119" s="3755"/>
      <c r="C119" s="520" t="s">
        <v>2087</v>
      </c>
      <c r="D119" s="496" t="s">
        <v>2088</v>
      </c>
      <c r="E119" s="520">
        <v>0.1</v>
      </c>
      <c r="F119" s="520">
        <v>15</v>
      </c>
    </row>
    <row r="120" spans="1:6" ht="13.5">
      <c r="A120" s="520">
        <v>48</v>
      </c>
      <c r="B120" s="3754" t="s">
        <v>2089</v>
      </c>
      <c r="C120" s="520" t="s">
        <v>2090</v>
      </c>
      <c r="D120" s="496" t="s">
        <v>2091</v>
      </c>
      <c r="E120" s="520">
        <v>0.1</v>
      </c>
      <c r="F120" s="520">
        <v>15</v>
      </c>
    </row>
    <row r="121" spans="1:6" ht="13.5">
      <c r="A121" s="520">
        <v>49</v>
      </c>
      <c r="B121" s="3755"/>
      <c r="C121" s="520" t="s">
        <v>2092</v>
      </c>
      <c r="D121" s="496" t="s">
        <v>2093</v>
      </c>
      <c r="E121" s="520">
        <v>0.1</v>
      </c>
      <c r="F121" s="520">
        <v>15</v>
      </c>
    </row>
    <row r="122" spans="1:6" ht="24">
      <c r="A122" s="520">
        <v>50</v>
      </c>
      <c r="B122" s="3756" t="s">
        <v>2094</v>
      </c>
      <c r="C122" s="520" t="s">
        <v>2095</v>
      </c>
      <c r="D122" s="496" t="s">
        <v>2096</v>
      </c>
      <c r="E122" s="520">
        <v>0.1</v>
      </c>
      <c r="F122" s="520">
        <v>15</v>
      </c>
    </row>
    <row r="123" spans="1:6" ht="24">
      <c r="A123" s="520">
        <v>51</v>
      </c>
      <c r="B123" s="3756"/>
      <c r="C123" s="520" t="s">
        <v>2097</v>
      </c>
      <c r="D123" s="496" t="s">
        <v>2098</v>
      </c>
      <c r="E123" s="520">
        <v>0.1</v>
      </c>
      <c r="F123" s="520">
        <v>15</v>
      </c>
    </row>
    <row r="124" spans="1:6" ht="24">
      <c r="A124" s="520">
        <v>52</v>
      </c>
      <c r="B124" s="3756" t="s">
        <v>2099</v>
      </c>
      <c r="C124" s="520" t="s">
        <v>2100</v>
      </c>
      <c r="D124" s="496" t="s">
        <v>2101</v>
      </c>
      <c r="E124" s="520">
        <v>0.1</v>
      </c>
      <c r="F124" s="520">
        <v>15</v>
      </c>
    </row>
    <row r="125" spans="1:6" ht="24">
      <c r="A125" s="520">
        <v>53</v>
      </c>
      <c r="B125" s="3756"/>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56" t="s">
        <v>2107</v>
      </c>
      <c r="C127" s="520" t="s">
        <v>2108</v>
      </c>
      <c r="D127" s="496" t="s">
        <v>2109</v>
      </c>
      <c r="E127" s="520">
        <v>0.1</v>
      </c>
      <c r="F127" s="520">
        <v>15</v>
      </c>
    </row>
    <row r="128" spans="1:6" ht="13.5">
      <c r="A128" s="520">
        <v>56</v>
      </c>
      <c r="B128" s="3756"/>
      <c r="C128" s="520" t="s">
        <v>2110</v>
      </c>
      <c r="D128" s="496" t="s">
        <v>2111</v>
      </c>
      <c r="E128" s="520">
        <v>0.1</v>
      </c>
      <c r="F128" s="520">
        <v>15</v>
      </c>
    </row>
    <row r="129" spans="1:6" ht="24">
      <c r="A129" s="520">
        <v>57</v>
      </c>
      <c r="B129" s="3756"/>
      <c r="C129" s="520" t="s">
        <v>2112</v>
      </c>
      <c r="D129" s="496" t="s">
        <v>2113</v>
      </c>
      <c r="E129" s="520">
        <v>0.1</v>
      </c>
      <c r="F129" s="520">
        <v>15</v>
      </c>
    </row>
    <row r="130" spans="1:6" ht="24">
      <c r="A130" s="520">
        <v>58</v>
      </c>
      <c r="B130" s="3756" t="s">
        <v>2114</v>
      </c>
      <c r="C130" s="520" t="s">
        <v>2115</v>
      </c>
      <c r="D130" s="496" t="s">
        <v>2116</v>
      </c>
      <c r="E130" s="520">
        <v>0.1</v>
      </c>
      <c r="F130" s="520">
        <v>15</v>
      </c>
    </row>
    <row r="131" spans="1:6" ht="13.5">
      <c r="A131" s="520">
        <v>59</v>
      </c>
      <c r="B131" s="3756"/>
      <c r="C131" s="520" t="s">
        <v>2117</v>
      </c>
      <c r="D131" s="496" t="s">
        <v>2118</v>
      </c>
      <c r="E131" s="520">
        <v>0.1</v>
      </c>
      <c r="F131" s="520">
        <v>15</v>
      </c>
    </row>
    <row r="132" spans="1:6" ht="13.5">
      <c r="A132" s="520">
        <v>60</v>
      </c>
      <c r="B132" s="3754" t="s">
        <v>2119</v>
      </c>
      <c r="C132" s="520" t="s">
        <v>2120</v>
      </c>
      <c r="D132" s="496" t="s">
        <v>2121</v>
      </c>
      <c r="E132" s="520">
        <v>0.1</v>
      </c>
      <c r="F132" s="520">
        <v>15</v>
      </c>
    </row>
    <row r="133" spans="1:6" ht="13.5">
      <c r="A133" s="520">
        <v>61</v>
      </c>
      <c r="B133" s="3755"/>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56" t="s">
        <v>2127</v>
      </c>
      <c r="C135" s="520" t="s">
        <v>2128</v>
      </c>
      <c r="D135" s="496" t="s">
        <v>2129</v>
      </c>
      <c r="E135" s="520">
        <v>0.1</v>
      </c>
      <c r="F135" s="520">
        <v>15</v>
      </c>
    </row>
    <row r="136" spans="1:6" ht="13.5">
      <c r="A136" s="520">
        <v>64</v>
      </c>
      <c r="B136" s="3756"/>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238</v>
      </c>
      <c r="E5" s="3384"/>
    </row>
    <row r="6" spans="1:5" ht="15.75">
      <c r="A6" s="3384"/>
      <c r="B6" s="3440"/>
      <c r="C6" s="3386" t="s">
        <v>98</v>
      </c>
      <c r="D6" s="3387" t="str">
        <f ca="1">NUMBERSTRING(INT(D5*10000),2)&amp;"元整"</f>
        <v>贰佰叁拾捌万元整</v>
      </c>
      <c r="E6" s="3384"/>
    </row>
    <row r="7" spans="1:5" ht="15.75">
      <c r="A7" s="3384"/>
      <c r="B7" s="3441"/>
      <c r="C7" s="3388" t="s">
        <v>99</v>
      </c>
      <c r="D7" s="3389">
        <f ca="1">结果表!H102</f>
        <v>25435</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238</v>
      </c>
      <c r="E13" s="3384"/>
    </row>
    <row r="14" spans="1:5" ht="15.75">
      <c r="A14" s="3384"/>
      <c r="B14" s="3440"/>
      <c r="C14" s="3386" t="s">
        <v>98</v>
      </c>
      <c r="D14" s="3387" t="str">
        <f ca="1">NUMBERSTRING(INT(D13*10000),2)&amp;"元整"</f>
        <v>贰佰叁拾捌万元整</v>
      </c>
      <c r="E14" s="3384"/>
    </row>
    <row r="15" spans="1:5" ht="15">
      <c r="A15" s="3384"/>
      <c r="B15" s="3441"/>
      <c r="C15" s="3388" t="s">
        <v>99</v>
      </c>
      <c r="D15" s="3396">
        <f ca="1">结果表!H108</f>
        <v>25435</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27794</v>
      </c>
      <c r="C2" s="380" t="s">
        <v>1288</v>
      </c>
      <c r="D2" s="377"/>
      <c r="E2" s="377"/>
      <c r="F2" s="377"/>
      <c r="G2" s="377"/>
    </row>
    <row r="3" spans="1:7" s="366" customFormat="1" ht="18" customHeight="1">
      <c r="A3" s="381" t="s">
        <v>2149</v>
      </c>
      <c r="B3" s="382">
        <f ca="1">ROUND(B2*10000/'数据-汇总表'!E3,0)</f>
        <v>2969127</v>
      </c>
      <c r="C3" s="380" t="s">
        <v>1617</v>
      </c>
      <c r="D3" s="377"/>
      <c r="E3" s="377"/>
      <c r="F3" s="377"/>
      <c r="G3" s="377"/>
    </row>
    <row r="4" spans="1:7" s="367" customFormat="1" ht="15.75">
      <c r="A4" s="383" t="s">
        <v>2150</v>
      </c>
      <c r="B4" s="384"/>
      <c r="C4" s="384"/>
      <c r="D4" s="384"/>
      <c r="E4" s="384"/>
      <c r="F4" s="384"/>
      <c r="G4" s="385"/>
    </row>
    <row r="5" spans="1:7" s="368" customFormat="1" ht="13.5" customHeight="1">
      <c r="A5" s="386" t="s">
        <v>990</v>
      </c>
      <c r="B5" s="387" t="s">
        <v>2151</v>
      </c>
      <c r="C5" s="388">
        <f>C6+C7+C8</f>
        <v>20610</v>
      </c>
      <c r="D5" s="388" t="s">
        <v>2152</v>
      </c>
      <c r="E5" s="389" t="s">
        <v>2153</v>
      </c>
      <c r="F5" s="389" t="s">
        <v>2154</v>
      </c>
      <c r="G5" s="390"/>
    </row>
    <row r="6" spans="1:7" s="368" customFormat="1" ht="13.5" customHeight="1">
      <c r="A6" s="391" t="s">
        <v>994</v>
      </c>
      <c r="B6" s="392" t="s">
        <v>2155</v>
      </c>
      <c r="C6" s="393">
        <v>20000</v>
      </c>
      <c r="D6" s="394"/>
      <c r="E6" s="395"/>
      <c r="F6" s="395"/>
      <c r="G6" s="396"/>
    </row>
    <row r="7" spans="1:7" s="368" customFormat="1" ht="13.5" customHeight="1">
      <c r="A7" s="391" t="s">
        <v>996</v>
      </c>
      <c r="B7" s="392" t="s">
        <v>2156</v>
      </c>
      <c r="C7" s="397">
        <f>ROUND(C6*F7,0)</f>
        <v>610</v>
      </c>
      <c r="D7" s="397"/>
      <c r="E7" s="395"/>
      <c r="F7" s="398">
        <f>'数据-取费表'!B48+'数据-取费表'!B49</f>
        <v>3.0499999999999999E-2</v>
      </c>
      <c r="G7" s="396"/>
    </row>
    <row r="8" spans="1:7" s="369" customFormat="1">
      <c r="A8" s="391" t="s">
        <v>998</v>
      </c>
      <c r="B8" s="392" t="s">
        <v>2157</v>
      </c>
      <c r="C8" s="397" t="str">
        <f>IF(G8="已包含在土地购买价格中","0",'数据-取费表'!B29)</f>
        <v>0</v>
      </c>
      <c r="D8" s="399"/>
      <c r="E8" s="397"/>
      <c r="F8" s="398"/>
      <c r="G8" s="400" t="s">
        <v>2158</v>
      </c>
    </row>
    <row r="9" spans="1:7" s="368" customFormat="1" ht="13.5" customHeight="1">
      <c r="A9" s="401" t="s">
        <v>1000</v>
      </c>
      <c r="B9" s="402" t="s">
        <v>2159</v>
      </c>
      <c r="C9" s="403">
        <f>ROUND(D9*E9/10000,0)</f>
        <v>0</v>
      </c>
      <c r="D9" s="404">
        <f>'数据-汇总表'!E5</f>
        <v>0</v>
      </c>
      <c r="E9" s="403">
        <f>'数据-取费表'!B27</f>
        <v>0</v>
      </c>
      <c r="F9" s="398"/>
      <c r="G9" s="405"/>
    </row>
    <row r="10" spans="1:7" s="368" customFormat="1" ht="13.5" customHeight="1">
      <c r="A10" s="401" t="s">
        <v>1003</v>
      </c>
      <c r="B10" s="402" t="s">
        <v>2160</v>
      </c>
      <c r="C10" s="403">
        <f>ROUND(D10*E10/10000,0)</f>
        <v>2</v>
      </c>
      <c r="D10" s="404">
        <f>'数据-汇总表'!E6</f>
        <v>93.61</v>
      </c>
      <c r="E10" s="403">
        <f>'数据-取费表'!B28</f>
        <v>190</v>
      </c>
      <c r="F10" s="398"/>
      <c r="G10" s="405"/>
    </row>
    <row r="11" spans="1:7" s="368" customFormat="1" ht="13.5" hidden="1" customHeight="1">
      <c r="A11" s="406" t="s">
        <v>1005</v>
      </c>
      <c r="B11" s="392" t="s">
        <v>2161</v>
      </c>
      <c r="C11" s="388"/>
      <c r="D11" s="407"/>
      <c r="E11" s="395"/>
      <c r="F11" s="395"/>
      <c r="G11" s="396"/>
    </row>
    <row r="12" spans="1:7" s="368" customFormat="1" ht="13.5" hidden="1" customHeight="1">
      <c r="A12" s="406" t="s">
        <v>1007</v>
      </c>
      <c r="B12" s="392" t="s">
        <v>2162</v>
      </c>
      <c r="C12" s="388">
        <v>0</v>
      </c>
      <c r="D12" s="407"/>
      <c r="E12" s="408"/>
      <c r="F12" s="398">
        <v>3.0499999999999999E-2</v>
      </c>
      <c r="G12" s="396"/>
    </row>
    <row r="13" spans="1:7" s="368" customFormat="1" ht="13.5" hidden="1" customHeight="1">
      <c r="A13" s="406" t="s">
        <v>1008</v>
      </c>
      <c r="B13" s="392" t="s">
        <v>2163</v>
      </c>
      <c r="C13" s="388"/>
      <c r="D13" s="407"/>
      <c r="E13" s="395"/>
      <c r="F13" s="395"/>
      <c r="G13" s="396"/>
    </row>
    <row r="14" spans="1:7" s="368" customFormat="1" ht="13.5" hidden="1" customHeight="1">
      <c r="A14" s="406" t="s">
        <v>1010</v>
      </c>
      <c r="B14" s="392" t="s">
        <v>2157</v>
      </c>
      <c r="C14" s="388"/>
      <c r="D14" s="407"/>
      <c r="E14" s="395"/>
      <c r="F14" s="395"/>
      <c r="G14" s="396" t="s">
        <v>2164</v>
      </c>
    </row>
    <row r="15" spans="1:7" s="368" customFormat="1" ht="13.5" hidden="1" customHeight="1">
      <c r="A15" s="406" t="s">
        <v>1012</v>
      </c>
      <c r="B15" s="392" t="s">
        <v>2165</v>
      </c>
      <c r="C15" s="397"/>
      <c r="D15" s="407"/>
      <c r="E15" s="395"/>
      <c r="F15" s="395"/>
      <c r="G15" s="396" t="s">
        <v>2166</v>
      </c>
    </row>
    <row r="16" spans="1:7" s="368" customFormat="1" ht="13.5" hidden="1" customHeight="1">
      <c r="A16" s="406" t="s">
        <v>1015</v>
      </c>
      <c r="B16" s="392" t="s">
        <v>2157</v>
      </c>
      <c r="C16" s="397"/>
      <c r="D16" s="407"/>
      <c r="E16" s="395"/>
      <c r="F16" s="395"/>
      <c r="G16" s="396"/>
    </row>
    <row r="17" spans="1:7" s="368" customFormat="1" ht="13.5" hidden="1" customHeight="1">
      <c r="A17" s="406" t="s">
        <v>1016</v>
      </c>
      <c r="B17" s="392" t="s">
        <v>2167</v>
      </c>
      <c r="C17" s="409"/>
      <c r="D17" s="410"/>
      <c r="E17" s="409"/>
      <c r="F17" s="409"/>
      <c r="G17" s="396" t="s">
        <v>2166</v>
      </c>
    </row>
    <row r="18" spans="1:7" s="368" customFormat="1" ht="13.5" hidden="1" customHeight="1">
      <c r="A18" s="406" t="s">
        <v>1018</v>
      </c>
      <c r="B18" s="392" t="s">
        <v>2168</v>
      </c>
      <c r="C18" s="397">
        <v>0</v>
      </c>
      <c r="D18" s="407"/>
      <c r="E18" s="395"/>
      <c r="F18" s="398">
        <v>3.0499999999999999E-2</v>
      </c>
      <c r="G18" s="396" t="s">
        <v>2169</v>
      </c>
    </row>
    <row r="19" spans="1:7" s="369" customFormat="1" ht="13.5" customHeight="1">
      <c r="A19" s="411" t="s">
        <v>1722</v>
      </c>
      <c r="B19" s="387" t="s">
        <v>2170</v>
      </c>
      <c r="C19" s="388">
        <f>IF(G19="已包含在土地取得成本中","0",ROUND(D19*E19/10000,0))</f>
        <v>2</v>
      </c>
      <c r="D19" s="412">
        <f>'数据-汇总表'!E3</f>
        <v>93.61</v>
      </c>
      <c r="E19" s="388">
        <f>'数据-取费表'!B31</f>
        <v>200</v>
      </c>
      <c r="F19" s="413"/>
      <c r="G19" s="400" t="s">
        <v>2171</v>
      </c>
    </row>
    <row r="20" spans="1:7" s="368" customFormat="1" ht="13.5" customHeight="1">
      <c r="A20" s="411" t="s">
        <v>1759</v>
      </c>
      <c r="B20" s="387" t="s">
        <v>2172</v>
      </c>
      <c r="C20" s="414">
        <f>ROUND((C5+C19)*F20,0)</f>
        <v>412</v>
      </c>
      <c r="D20" s="414"/>
      <c r="E20" s="414"/>
      <c r="F20" s="415">
        <f>'数据-取费表'!B37</f>
        <v>0.02</v>
      </c>
      <c r="G20" s="416" t="s">
        <v>2173</v>
      </c>
    </row>
    <row r="21" spans="1:7" s="368" customFormat="1" ht="13.5" customHeight="1">
      <c r="A21" s="411" t="s">
        <v>1764</v>
      </c>
      <c r="B21" s="387" t="s">
        <v>2174</v>
      </c>
      <c r="C21" s="417">
        <f>F21</f>
        <v>0.02</v>
      </c>
      <c r="D21" s="418" t="s">
        <v>2175</v>
      </c>
      <c r="E21" s="414"/>
      <c r="F21" s="415">
        <f>'数据-取费表'!B38</f>
        <v>0.02</v>
      </c>
      <c r="G21" s="419" t="s">
        <v>2176</v>
      </c>
    </row>
    <row r="22" spans="1:7" s="368" customFormat="1" ht="13.5" customHeight="1">
      <c r="A22" s="411" t="s">
        <v>1773</v>
      </c>
      <c r="B22" s="387" t="s">
        <v>2177</v>
      </c>
      <c r="C22" s="420">
        <f ca="1">ROUND(SUM(C23:C25),0)</f>
        <v>1461</v>
      </c>
      <c r="D22" s="417">
        <f ca="1">C26</f>
        <v>6.9999999999999999E-4</v>
      </c>
      <c r="E22" s="418" t="s">
        <v>2175</v>
      </c>
      <c r="F22" s="421">
        <f ca="1">'数据-取费表'!B40</f>
        <v>3.4500000000000003E-2</v>
      </c>
      <c r="G22" s="416" t="str">
        <f>IF('数据-取费表'!B22&lt;=1,"单利计息","复利计息")</f>
        <v>复利计息</v>
      </c>
    </row>
    <row r="23" spans="1:7" s="368" customFormat="1" ht="13.5" customHeight="1">
      <c r="A23" s="422" t="s">
        <v>994</v>
      </c>
      <c r="B23" s="392" t="s">
        <v>2178</v>
      </c>
      <c r="C23" s="423">
        <f ca="1">ROUND(IF('数据-取费表'!B22&lt;=1,C5*F22*'数据-取费表'!B23,C5*(POWER((1+F22),'数据-取费表'!B23)-1)),0)</f>
        <v>1447</v>
      </c>
      <c r="D23" s="424"/>
      <c r="E23" s="424"/>
      <c r="F23" s="425"/>
      <c r="G23" s="426" t="s">
        <v>2179</v>
      </c>
    </row>
    <row r="24" spans="1:7" s="368" customFormat="1" ht="13.5" customHeight="1">
      <c r="A24" s="422" t="s">
        <v>996</v>
      </c>
      <c r="B24" s="392" t="s">
        <v>2180</v>
      </c>
      <c r="C24" s="423">
        <f ca="1">ROUND(IF('数据-取费表'!B22&lt;=1,C19*F22*('数据-取费表'!B19/2+'数据-取费表'!B21),C19*(POWER((1+F22),('数据-取费表'!B19/2+'数据-取费表'!B21))-1)),0)</f>
        <v>0</v>
      </c>
      <c r="D24" s="424"/>
      <c r="E24" s="424"/>
      <c r="F24" s="425"/>
      <c r="G24" s="426" t="s">
        <v>2181</v>
      </c>
    </row>
    <row r="25" spans="1:7" s="368" customFormat="1" ht="24">
      <c r="A25" s="422" t="s">
        <v>998</v>
      </c>
      <c r="B25" s="392" t="s">
        <v>2182</v>
      </c>
      <c r="C25" s="423">
        <f ca="1">ROUND(IF('数据-取费表'!B22&lt;=1,C20*F22*'数据-取费表'!B23/2,C20*(POWER((1+F22),'数据-取费表'!B23/2)-1)),0)</f>
        <v>14</v>
      </c>
      <c r="D25" s="424"/>
      <c r="E25" s="427"/>
      <c r="F25" s="425"/>
      <c r="G25" s="428" t="s">
        <v>2183</v>
      </c>
    </row>
    <row r="26" spans="1:7" s="368" customFormat="1">
      <c r="A26" s="422" t="s">
        <v>1038</v>
      </c>
      <c r="B26" s="392" t="s">
        <v>2184</v>
      </c>
      <c r="C26" s="424">
        <f ca="1">ROUND(IF('数据-取费表'!B22&lt;=1,F21*F22*'数据-取费表'!B23/2,F21*(POWER((1+F22),'数据-取费表'!B23/2)-1)),4)</f>
        <v>6.9999999999999999E-4</v>
      </c>
      <c r="D26" s="424"/>
      <c r="E26" s="427"/>
      <c r="F26" s="425"/>
      <c r="G26" s="429"/>
    </row>
    <row r="27" spans="1:7" s="368" customFormat="1" ht="24.75">
      <c r="A27" s="411" t="s">
        <v>1782</v>
      </c>
      <c r="B27" s="430" t="s">
        <v>2185</v>
      </c>
      <c r="C27" s="431">
        <f>C28</f>
        <v>3154</v>
      </c>
      <c r="D27" s="417">
        <f>C29</f>
        <v>3.0000000000000001E-3</v>
      </c>
      <c r="E27" s="418" t="s">
        <v>2175</v>
      </c>
      <c r="F27" s="432">
        <f>'数据-取费表'!Q16</f>
        <v>0.15</v>
      </c>
      <c r="G27" s="433" t="s">
        <v>2186</v>
      </c>
    </row>
    <row r="28" spans="1:7" s="368" customFormat="1" ht="13.5" customHeight="1">
      <c r="A28" s="422" t="s">
        <v>994</v>
      </c>
      <c r="B28" s="434" t="s">
        <v>2187</v>
      </c>
      <c r="C28" s="435">
        <f>ROUND((C5+C19+C20)*F27*'数据-取费表'!B21/'数据-取费表'!B20,0)</f>
        <v>3154</v>
      </c>
      <c r="D28" s="417"/>
      <c r="E28" s="418"/>
      <c r="F28" s="432"/>
      <c r="G28" s="433"/>
    </row>
    <row r="29" spans="1:7" s="368" customFormat="1" ht="13.5" customHeight="1">
      <c r="A29" s="422" t="s">
        <v>996</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5.5000000000000007E-2</v>
      </c>
      <c r="D30" s="418" t="s">
        <v>2191</v>
      </c>
      <c r="E30" s="427"/>
      <c r="F30" s="421">
        <f>'数据-取费表'!B41</f>
        <v>5.5000000000000007E-2</v>
      </c>
      <c r="G30" s="419" t="s">
        <v>2192</v>
      </c>
    </row>
    <row r="31" spans="1:7" ht="16.5" customHeight="1">
      <c r="A31" s="436">
        <v>1</v>
      </c>
      <c r="B31" s="387" t="s">
        <v>2193</v>
      </c>
      <c r="C31" s="388">
        <f ca="1">ROUND((C5+C19+C20+C22+C27)/(1-C21-D22-D27-C30/(1+'数据-取费表'!B42)),0)</f>
        <v>27750</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990</v>
      </c>
      <c r="B33" s="387" t="s">
        <v>2196</v>
      </c>
      <c r="C33" s="442">
        <f>SUM(C34:C38)</f>
        <v>36</v>
      </c>
      <c r="D33" s="414"/>
      <c r="E33" s="389"/>
      <c r="F33" s="427"/>
      <c r="G33" s="419"/>
    </row>
    <row r="34" spans="1:7" s="370" customFormat="1" ht="13.5" customHeight="1">
      <c r="A34" s="422" t="s">
        <v>994</v>
      </c>
      <c r="B34" s="392" t="s">
        <v>2197</v>
      </c>
      <c r="C34" s="397">
        <f>IF(F34=100%,'数据-取费表'!M16-SUMIF('数据-取费表'!C:C,"公共配套",'数据-取费表'!M:M),'数据-取费表'!O16-SUMIF('数据-取费表'!C:C,"公共配套",'数据-取费表'!O:O))</f>
        <v>33</v>
      </c>
      <c r="D34" s="394"/>
      <c r="E34" s="397"/>
      <c r="F34" s="443">
        <f>IF('数据-取费表'!B24=0,1,'数据-取费表'!N16)</f>
        <v>1</v>
      </c>
      <c r="G34" s="396" t="s">
        <v>2198</v>
      </c>
    </row>
    <row r="35" spans="1:7" ht="13.5" customHeight="1">
      <c r="A35" s="422" t="s">
        <v>996</v>
      </c>
      <c r="B35" s="392" t="s">
        <v>2199</v>
      </c>
      <c r="C35" s="397">
        <f>ROUND(C34*F35,0)</f>
        <v>1</v>
      </c>
      <c r="D35" s="397"/>
      <c r="E35" s="397"/>
      <c r="F35" s="444">
        <f>'数据-取费表'!B33</f>
        <v>0.03</v>
      </c>
      <c r="G35" s="396" t="s">
        <v>2200</v>
      </c>
    </row>
    <row r="36" spans="1:7" ht="24">
      <c r="A36" s="422" t="s">
        <v>998</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1038</v>
      </c>
      <c r="B37" s="392" t="s">
        <v>2203</v>
      </c>
      <c r="C37" s="435">
        <f>ROUND(E37*D37*F34/10000,0)</f>
        <v>2</v>
      </c>
      <c r="D37" s="394">
        <f>'数据-汇总表'!E3</f>
        <v>93.61</v>
      </c>
      <c r="E37" s="435">
        <f>'数据-取费表'!B35</f>
        <v>200</v>
      </c>
      <c r="F37" s="444"/>
      <c r="G37" s="446" t="s">
        <v>2204</v>
      </c>
    </row>
    <row r="38" spans="1:7" ht="13.5" customHeight="1">
      <c r="A38" s="422" t="s">
        <v>1060</v>
      </c>
      <c r="B38" s="392" t="s">
        <v>2162</v>
      </c>
      <c r="C38" s="397">
        <f>ROUND(C34*F38,0)</f>
        <v>0</v>
      </c>
      <c r="D38" s="397"/>
      <c r="E38" s="397"/>
      <c r="F38" s="444">
        <f>'数据-取费表'!B36</f>
        <v>1.4999999999999999E-2</v>
      </c>
      <c r="G38" s="396" t="s">
        <v>2200</v>
      </c>
    </row>
    <row r="39" spans="1:7" s="368" customFormat="1" ht="13.5" customHeight="1">
      <c r="A39" s="411" t="s">
        <v>1722</v>
      </c>
      <c r="B39" s="387" t="s">
        <v>2172</v>
      </c>
      <c r="C39" s="414">
        <f>ROUND(C33*F20,0)</f>
        <v>1</v>
      </c>
      <c r="D39" s="414"/>
      <c r="E39" s="414"/>
      <c r="F39" s="415"/>
      <c r="G39" s="416" t="s">
        <v>2205</v>
      </c>
    </row>
    <row r="40" spans="1:7" s="368" customFormat="1" ht="13.5" customHeight="1">
      <c r="A40" s="411" t="s">
        <v>1759</v>
      </c>
      <c r="B40" s="387" t="s">
        <v>2174</v>
      </c>
      <c r="C40" s="447">
        <f>F21</f>
        <v>0.02</v>
      </c>
      <c r="D40" s="418" t="s">
        <v>2206</v>
      </c>
      <c r="E40" s="414"/>
      <c r="F40" s="415"/>
      <c r="G40" s="419" t="s">
        <v>2207</v>
      </c>
    </row>
    <row r="41" spans="1:7" s="368" customFormat="1" ht="13.5" customHeight="1">
      <c r="A41" s="411" t="s">
        <v>1764</v>
      </c>
      <c r="B41" s="387" t="s">
        <v>2177</v>
      </c>
      <c r="C41" s="414">
        <f ca="1">ROUND(SUM(C42:C43),0)</f>
        <v>1</v>
      </c>
      <c r="D41" s="417">
        <f ca="1">C44</f>
        <v>6.9999999999999999E-4</v>
      </c>
      <c r="E41" s="418" t="s">
        <v>2206</v>
      </c>
      <c r="F41" s="421"/>
      <c r="G41" s="416" t="str">
        <f>IF('数据-取费表'!B22&lt;=1,"单利计息","复利计息")</f>
        <v>复利计息</v>
      </c>
    </row>
    <row r="42" spans="1:7" ht="13.5" customHeight="1">
      <c r="A42" s="422" t="s">
        <v>994</v>
      </c>
      <c r="B42" s="392" t="s">
        <v>2178</v>
      </c>
      <c r="C42" s="424">
        <f ca="1">ROUND(IF('数据-取费表'!B22&lt;=1,C33*F22*'数据-取费表'!B21/2,C33*(POWER((1+F22),'数据-取费表'!B21/2)-1)),0)</f>
        <v>1</v>
      </c>
      <c r="D42" s="424"/>
      <c r="E42" s="424"/>
      <c r="F42" s="425"/>
      <c r="G42" s="3619" t="s">
        <v>2208</v>
      </c>
    </row>
    <row r="43" spans="1:7" ht="13.5" customHeight="1">
      <c r="A43" s="422" t="s">
        <v>996</v>
      </c>
      <c r="B43" s="392" t="s">
        <v>2180</v>
      </c>
      <c r="C43" s="424">
        <f ca="1">ROUND(IF('数据-取费表'!B22&lt;=1,C39*F22*'数据-取费表'!B21/2,C39*(POWER((1+F22),'数据-取费表'!B21/2)-1)),0)</f>
        <v>0</v>
      </c>
      <c r="D43" s="424"/>
      <c r="E43" s="424"/>
      <c r="F43" s="425"/>
      <c r="G43" s="3620"/>
    </row>
    <row r="44" spans="1:7" ht="13.5" customHeight="1">
      <c r="A44" s="422" t="s">
        <v>998</v>
      </c>
      <c r="B44" s="392" t="s">
        <v>2182</v>
      </c>
      <c r="C44" s="424">
        <f ca="1">ROUND(IF('数据-取费表'!B22&lt;=1,C40*F22*'数据-取费表'!B21/2,C40*(POWER((1+F22),'数据-取费表'!B21/2)-1)),4)</f>
        <v>6.9999999999999999E-4</v>
      </c>
      <c r="D44" s="424"/>
      <c r="E44" s="424"/>
      <c r="F44" s="425"/>
      <c r="G44" s="3621"/>
    </row>
    <row r="45" spans="1:7" s="368" customFormat="1" ht="13.5" customHeight="1">
      <c r="A45" s="411" t="s">
        <v>1773</v>
      </c>
      <c r="B45" s="430" t="s">
        <v>2185</v>
      </c>
      <c r="C45" s="431">
        <f>C46</f>
        <v>6</v>
      </c>
      <c r="D45" s="417">
        <f>C47</f>
        <v>3.0000000000000001E-3</v>
      </c>
      <c r="E45" s="418" t="s">
        <v>2206</v>
      </c>
      <c r="F45" s="432"/>
      <c r="G45" s="433" t="s">
        <v>2209</v>
      </c>
    </row>
    <row r="46" spans="1:7" s="368" customFormat="1" ht="13.5" customHeight="1">
      <c r="A46" s="422" t="s">
        <v>994</v>
      </c>
      <c r="B46" s="434" t="s">
        <v>2210</v>
      </c>
      <c r="C46" s="435">
        <f>ROUND((C33+C39)*F27,0)</f>
        <v>6</v>
      </c>
      <c r="D46" s="448"/>
      <c r="E46" s="418"/>
      <c r="F46" s="432"/>
      <c r="G46" s="433"/>
    </row>
    <row r="47" spans="1:7" s="368" customFormat="1" ht="13.5" customHeight="1">
      <c r="A47" s="422" t="s">
        <v>996</v>
      </c>
      <c r="B47" s="434" t="s">
        <v>2211</v>
      </c>
      <c r="C47" s="424">
        <f>ROUND(C40*F27,4)</f>
        <v>3.0000000000000001E-3</v>
      </c>
      <c r="D47" s="448"/>
      <c r="E47" s="418"/>
      <c r="F47" s="432"/>
      <c r="G47" s="433"/>
    </row>
    <row r="48" spans="1:7" s="368" customFormat="1" ht="13.5" customHeight="1">
      <c r="A48" s="411" t="s">
        <v>1782</v>
      </c>
      <c r="B48" s="387" t="s">
        <v>2190</v>
      </c>
      <c r="C48" s="447">
        <f>F30</f>
        <v>5.5000000000000007E-2</v>
      </c>
      <c r="D48" s="418" t="s">
        <v>2212</v>
      </c>
      <c r="E48" s="414"/>
      <c r="F48" s="421"/>
      <c r="G48" s="419" t="s">
        <v>2213</v>
      </c>
    </row>
    <row r="49" spans="1:7" ht="16.5" customHeight="1">
      <c r="A49" s="411" t="s">
        <v>2189</v>
      </c>
      <c r="B49" s="387" t="s">
        <v>2214</v>
      </c>
      <c r="C49" s="414">
        <f ca="1">ROUND((C33+C39+C41+C45)/(1-C40-D41-D45-C48/(1+'数据-取费表'!B42)),0)</f>
        <v>48</v>
      </c>
      <c r="D49" s="414"/>
      <c r="E49" s="414"/>
      <c r="F49" s="449"/>
      <c r="G49" s="419" t="s">
        <v>2215</v>
      </c>
    </row>
    <row r="50" spans="1:7" s="370" customFormat="1" ht="24">
      <c r="A50" s="411" t="s">
        <v>2216</v>
      </c>
      <c r="B50" s="387" t="s">
        <v>2217</v>
      </c>
      <c r="C50" s="414"/>
      <c r="D50" s="414"/>
      <c r="E50" s="414"/>
      <c r="F50" s="449">
        <f>IF('数据-取费表'!B24=0,'数据-取费表'!N16,1)</f>
        <v>0.92</v>
      </c>
      <c r="G50" s="433" t="s">
        <v>2218</v>
      </c>
    </row>
    <row r="51" spans="1:7" ht="16.5" customHeight="1">
      <c r="A51" s="411" t="s">
        <v>2219</v>
      </c>
      <c r="B51" s="387" t="s">
        <v>2220</v>
      </c>
      <c r="C51" s="414">
        <f ca="1">ROUND(C49*F50,0)</f>
        <v>44</v>
      </c>
      <c r="D51" s="414"/>
      <c r="E51" s="414"/>
      <c r="F51" s="449"/>
      <c r="G51" s="419" t="s">
        <v>2221</v>
      </c>
    </row>
    <row r="52" spans="1:7" s="367" customFormat="1" ht="15.75">
      <c r="A52" s="450" t="s">
        <v>2222</v>
      </c>
      <c r="B52" s="451"/>
      <c r="C52" s="452">
        <f ca="1">C31+C51</f>
        <v>27794</v>
      </c>
      <c r="D52" s="451"/>
      <c r="E52" s="451"/>
      <c r="F52" s="451"/>
      <c r="G52" s="453"/>
    </row>
    <row r="55" spans="1:7" ht="15">
      <c r="B55" s="454" t="s">
        <v>2223</v>
      </c>
      <c r="C55" s="455"/>
    </row>
    <row r="56" spans="1:7">
      <c r="B56" s="456" t="s">
        <v>2224</v>
      </c>
      <c r="C56" s="457">
        <f ca="1">ROUND(C51/C52,3)</f>
        <v>2E-3</v>
      </c>
    </row>
    <row r="57" spans="1:7">
      <c r="B57" s="456" t="s">
        <v>2225</v>
      </c>
      <c r="C57" s="458">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2226</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59" t="s">
        <v>2241</v>
      </c>
      <c r="B3" s="340"/>
      <c r="C3" s="341" t="s">
        <v>547</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0"/>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2229</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498</v>
      </c>
      <c r="P21" s="347" t="s">
        <v>2439</v>
      </c>
      <c r="Q21" s="347" t="s">
        <v>2440</v>
      </c>
      <c r="R21" s="347" t="s">
        <v>2441</v>
      </c>
      <c r="S21" s="351" t="s">
        <v>2442</v>
      </c>
    </row>
    <row r="22" spans="1:19" ht="14.25" customHeight="1">
      <c r="A22" s="347" t="s">
        <v>241</v>
      </c>
      <c r="B22" s="348" t="s">
        <v>2364</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2374</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2384</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2394</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2404</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2414</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2424</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2434</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2258</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2270</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2282</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2293</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2304</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2315</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2325</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2335</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2345</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2355</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2365</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2375</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2385</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2395</v>
      </c>
      <c r="C45" s="347">
        <v>21240</v>
      </c>
      <c r="D45" s="347">
        <v>27050</v>
      </c>
      <c r="E45" s="347">
        <v>28000</v>
      </c>
      <c r="F45" s="347"/>
      <c r="G45" s="355">
        <v>18940</v>
      </c>
      <c r="N45" s="347" t="s">
        <v>2583</v>
      </c>
      <c r="O45" s="351" t="s">
        <v>2584</v>
      </c>
      <c r="Q45" s="347" t="s">
        <v>2585</v>
      </c>
    </row>
    <row r="46" spans="1:17" ht="14.25" customHeight="1">
      <c r="A46" s="347" t="s">
        <v>251</v>
      </c>
      <c r="B46" s="348" t="s">
        <v>2405</v>
      </c>
      <c r="C46" s="347">
        <v>23240</v>
      </c>
      <c r="D46" s="347">
        <v>23000</v>
      </c>
      <c r="E46" s="347">
        <v>24980</v>
      </c>
      <c r="F46" s="347"/>
      <c r="G46" s="355">
        <v>16100</v>
      </c>
      <c r="N46" s="347" t="s">
        <v>2586</v>
      </c>
      <c r="Q46" s="347" t="s">
        <v>2587</v>
      </c>
    </row>
    <row r="47" spans="1:17" ht="14.25" customHeight="1">
      <c r="A47" s="347" t="s">
        <v>251</v>
      </c>
      <c r="B47" s="348" t="s">
        <v>2415</v>
      </c>
      <c r="C47" s="347">
        <v>27150</v>
      </c>
      <c r="D47" s="347">
        <v>23310</v>
      </c>
      <c r="E47" s="347">
        <v>25150</v>
      </c>
      <c r="F47" s="347"/>
      <c r="G47" s="355">
        <v>16310</v>
      </c>
      <c r="N47" s="347" t="s">
        <v>2588</v>
      </c>
      <c r="Q47" s="347" t="s">
        <v>2589</v>
      </c>
    </row>
    <row r="48" spans="1:17" ht="14.25" customHeight="1">
      <c r="A48" s="347" t="s">
        <v>251</v>
      </c>
      <c r="B48" s="348" t="s">
        <v>2425</v>
      </c>
      <c r="C48" s="347">
        <v>23100</v>
      </c>
      <c r="D48" s="347">
        <v>21110</v>
      </c>
      <c r="E48" s="347">
        <v>23080</v>
      </c>
      <c r="F48" s="347"/>
      <c r="G48" s="355">
        <v>14780</v>
      </c>
      <c r="N48" s="347" t="s">
        <v>2590</v>
      </c>
      <c r="Q48" s="347" t="s">
        <v>2591</v>
      </c>
    </row>
    <row r="49" spans="1:17" ht="14.25" customHeight="1">
      <c r="A49" s="347" t="s">
        <v>251</v>
      </c>
      <c r="B49" s="348" t="s">
        <v>2435</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2259</v>
      </c>
      <c r="C57" s="347">
        <v>20790</v>
      </c>
      <c r="D57" s="347">
        <v>21370</v>
      </c>
      <c r="E57" s="347">
        <v>20890</v>
      </c>
      <c r="F57" s="347">
        <v>4910</v>
      </c>
      <c r="G57" s="347">
        <v>14510</v>
      </c>
      <c r="N57" s="347" t="s">
        <v>2603</v>
      </c>
    </row>
    <row r="58" spans="1:17" ht="14.25" customHeight="1">
      <c r="A58" s="347" t="s">
        <v>259</v>
      </c>
      <c r="B58" s="347" t="s">
        <v>2271</v>
      </c>
      <c r="C58" s="347">
        <v>21460</v>
      </c>
      <c r="D58" s="347">
        <v>20920</v>
      </c>
      <c r="E58" s="347">
        <v>23410</v>
      </c>
      <c r="F58" s="347">
        <v>5100</v>
      </c>
      <c r="G58" s="347">
        <v>14200</v>
      </c>
      <c r="N58" s="347" t="s">
        <v>2604</v>
      </c>
    </row>
    <row r="59" spans="1:17" ht="14.25" customHeight="1">
      <c r="A59" s="347" t="s">
        <v>259</v>
      </c>
      <c r="B59" s="347" t="s">
        <v>2283</v>
      </c>
      <c r="C59" s="347">
        <v>21000</v>
      </c>
      <c r="D59" s="347">
        <v>21550</v>
      </c>
      <c r="E59" s="347">
        <v>21150</v>
      </c>
      <c r="F59" s="347">
        <v>5250</v>
      </c>
      <c r="G59" s="347">
        <v>14630</v>
      </c>
      <c r="N59" s="347" t="s">
        <v>2605</v>
      </c>
    </row>
    <row r="60" spans="1:17" ht="14.25" customHeight="1">
      <c r="A60" s="347" t="s">
        <v>259</v>
      </c>
      <c r="B60" s="347" t="s">
        <v>2294</v>
      </c>
      <c r="C60" s="347">
        <v>21640</v>
      </c>
      <c r="D60" s="347">
        <v>21260</v>
      </c>
      <c r="E60" s="347">
        <v>24040</v>
      </c>
      <c r="F60" s="347">
        <v>4470</v>
      </c>
      <c r="G60" s="347">
        <v>14430</v>
      </c>
      <c r="N60" s="347" t="s">
        <v>2606</v>
      </c>
    </row>
    <row r="61" spans="1:17" ht="14.25" customHeight="1">
      <c r="A61" s="347" t="s">
        <v>259</v>
      </c>
      <c r="B61" s="347" t="s">
        <v>2305</v>
      </c>
      <c r="C61" s="347">
        <v>21330</v>
      </c>
      <c r="D61" s="347">
        <v>18640</v>
      </c>
      <c r="E61" s="347">
        <v>21190</v>
      </c>
      <c r="F61" s="347">
        <v>4180</v>
      </c>
      <c r="G61" s="347">
        <v>12650</v>
      </c>
      <c r="N61" s="347" t="s">
        <v>2607</v>
      </c>
    </row>
    <row r="62" spans="1:17" ht="14.25" customHeight="1">
      <c r="A62" s="347" t="s">
        <v>259</v>
      </c>
      <c r="B62" s="347" t="s">
        <v>2316</v>
      </c>
      <c r="C62" s="347">
        <v>18710</v>
      </c>
      <c r="D62" s="347">
        <v>19400</v>
      </c>
      <c r="E62" s="347">
        <v>23750</v>
      </c>
      <c r="F62" s="347">
        <v>4860</v>
      </c>
      <c r="G62" s="347">
        <v>13170</v>
      </c>
      <c r="N62" s="347" t="s">
        <v>2608</v>
      </c>
    </row>
    <row r="63" spans="1:17" ht="14.25" customHeight="1">
      <c r="A63" s="347" t="s">
        <v>259</v>
      </c>
      <c r="B63" s="347" t="s">
        <v>2326</v>
      </c>
      <c r="C63" s="347">
        <v>19480</v>
      </c>
      <c r="D63" s="347">
        <v>16830</v>
      </c>
      <c r="E63" s="347">
        <v>21590</v>
      </c>
      <c r="F63" s="347">
        <v>4560</v>
      </c>
      <c r="G63" s="347">
        <v>11420</v>
      </c>
      <c r="N63" s="347" t="s">
        <v>2609</v>
      </c>
    </row>
    <row r="64" spans="1:17" ht="14.25" customHeight="1">
      <c r="A64" s="347" t="s">
        <v>259</v>
      </c>
      <c r="B64" s="347" t="s">
        <v>2336</v>
      </c>
      <c r="C64" s="347">
        <v>16920</v>
      </c>
      <c r="D64" s="347">
        <v>19190</v>
      </c>
      <c r="E64" s="347">
        <v>22200</v>
      </c>
      <c r="F64" s="347">
        <v>4390</v>
      </c>
      <c r="G64" s="347">
        <v>13030</v>
      </c>
      <c r="N64" s="351" t="s">
        <v>2610</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498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2611</v>
      </c>
      <c r="B1" s="3761"/>
    </row>
    <row r="2" spans="1:7">
      <c r="A2" s="301"/>
      <c r="B2" s="301"/>
    </row>
    <row r="3" spans="1:7">
      <c r="A3" s="301"/>
      <c r="B3" s="301"/>
      <c r="C3" s="302" t="s">
        <v>547</v>
      </c>
      <c r="D3" s="302" t="s">
        <v>1905</v>
      </c>
      <c r="E3" s="302" t="s">
        <v>412</v>
      </c>
      <c r="F3" s="302" t="s">
        <v>408</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498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2" t="s">
        <v>2616</v>
      </c>
      <c r="B1" s="3762"/>
      <c r="C1" s="3762"/>
      <c r="D1" s="3762"/>
      <c r="E1" s="3762"/>
      <c r="F1" s="3763"/>
    </row>
    <row r="2" spans="1:6" ht="15">
      <c r="A2" s="291" t="s">
        <v>2617</v>
      </c>
      <c r="B2" s="292"/>
      <c r="C2" s="292"/>
      <c r="D2" s="292"/>
      <c r="E2" s="292"/>
      <c r="F2" s="292"/>
    </row>
    <row r="3" spans="1:6" ht="15">
      <c r="A3" s="291" t="s">
        <v>2618</v>
      </c>
      <c r="B3" s="292"/>
      <c r="C3" s="292"/>
      <c r="D3" s="292"/>
      <c r="E3" s="292"/>
      <c r="F3" s="293" t="s">
        <v>2619</v>
      </c>
    </row>
    <row r="4" spans="1:6">
      <c r="A4" s="294" t="s">
        <v>404</v>
      </c>
      <c r="B4" s="294" t="s">
        <v>547</v>
      </c>
      <c r="C4" s="294" t="s">
        <v>1905</v>
      </c>
      <c r="D4" s="294" t="s">
        <v>2620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2621</v>
      </c>
      <c r="C1" s="218"/>
      <c r="D1" s="218"/>
      <c r="E1" s="218"/>
      <c r="F1" s="218"/>
      <c r="G1" s="218"/>
      <c r="H1" s="218"/>
      <c r="I1" s="218"/>
      <c r="J1" s="244"/>
      <c r="K1" s="218" t="s">
        <v>2622</v>
      </c>
      <c r="L1" s="218"/>
      <c r="M1" s="218"/>
      <c r="N1" s="218"/>
      <c r="O1" s="218"/>
      <c r="P1" s="218"/>
      <c r="Q1" s="244"/>
      <c r="R1" s="3764" t="s">
        <v>2623</v>
      </c>
      <c r="S1" s="3765"/>
      <c r="T1" s="3765"/>
      <c r="U1" s="3765"/>
      <c r="V1" s="3765"/>
      <c r="W1" s="3765"/>
      <c r="X1" s="244"/>
      <c r="Y1" s="3764" t="s">
        <v>2624</v>
      </c>
      <c r="Z1" s="3765"/>
      <c r="AA1" s="3765"/>
      <c r="AB1" s="3765"/>
      <c r="AC1" s="3765"/>
      <c r="AD1" s="3765"/>
    </row>
    <row r="2" spans="1:30" s="208" customFormat="1">
      <c r="B2" s="219"/>
      <c r="C2" s="220"/>
      <c r="D2" s="221" t="s">
        <v>2625</v>
      </c>
      <c r="E2" s="222" t="s">
        <v>547</v>
      </c>
      <c r="F2" s="222" t="s">
        <v>1905</v>
      </c>
      <c r="G2" s="222" t="s">
        <v>412</v>
      </c>
      <c r="H2" s="222" t="s">
        <v>408</v>
      </c>
      <c r="I2" s="222" t="s">
        <v>280</v>
      </c>
      <c r="J2" s="245"/>
      <c r="K2" s="221" t="s">
        <v>2625</v>
      </c>
      <c r="L2" s="222" t="s">
        <v>547</v>
      </c>
      <c r="M2" s="222" t="s">
        <v>1905</v>
      </c>
      <c r="N2" s="222" t="s">
        <v>412</v>
      </c>
      <c r="O2" s="222" t="s">
        <v>408</v>
      </c>
      <c r="P2" s="222" t="s">
        <v>280</v>
      </c>
      <c r="Q2" s="245"/>
      <c r="R2" s="221" t="s">
        <v>2625</v>
      </c>
      <c r="S2" s="222" t="s">
        <v>547</v>
      </c>
      <c r="T2" s="222" t="s">
        <v>1905</v>
      </c>
      <c r="U2" s="222" t="s">
        <v>412</v>
      </c>
      <c r="V2" s="222" t="s">
        <v>408</v>
      </c>
      <c r="W2" s="222" t="s">
        <v>280</v>
      </c>
      <c r="X2" s="245"/>
      <c r="Y2" s="221" t="s">
        <v>2625</v>
      </c>
      <c r="Z2" s="222" t="s">
        <v>547</v>
      </c>
      <c r="AA2" s="222" t="s">
        <v>1905</v>
      </c>
      <c r="AB2" s="222" t="s">
        <v>412</v>
      </c>
      <c r="AC2" s="222" t="s">
        <v>408</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1540</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4" t="s">
        <v>2623</v>
      </c>
      <c r="S21" s="3765"/>
      <c r="T21" s="3765"/>
      <c r="U21" s="3765"/>
      <c r="V21" s="3765"/>
      <c r="W21" s="3765"/>
      <c r="X21" s="244"/>
      <c r="Y21" s="3764" t="s">
        <v>2624</v>
      </c>
      <c r="Z21" s="3765"/>
      <c r="AA21" s="3765"/>
      <c r="AB21" s="3765"/>
      <c r="AC21" s="3765"/>
      <c r="AD21" s="3765"/>
    </row>
    <row r="22" spans="1:30" s="208" customFormat="1">
      <c r="B22" s="219"/>
      <c r="C22" s="220"/>
      <c r="D22" s="221" t="s">
        <v>2625</v>
      </c>
      <c r="E22" s="222" t="s">
        <v>547</v>
      </c>
      <c r="F22" s="222" t="s">
        <v>1905</v>
      </c>
      <c r="G22" s="222" t="s">
        <v>412</v>
      </c>
      <c r="H22" s="222"/>
      <c r="I22" s="222" t="s">
        <v>280</v>
      </c>
      <c r="J22" s="245"/>
      <c r="K22" s="221" t="s">
        <v>2625</v>
      </c>
      <c r="L22" s="222" t="s">
        <v>547</v>
      </c>
      <c r="M22" s="222" t="s">
        <v>1905</v>
      </c>
      <c r="N22" s="222" t="s">
        <v>412</v>
      </c>
      <c r="O22" s="222"/>
      <c r="P22" s="222" t="s">
        <v>280</v>
      </c>
      <c r="Q22" s="245"/>
      <c r="R22" s="221" t="s">
        <v>2625</v>
      </c>
      <c r="S22" s="222" t="s">
        <v>547</v>
      </c>
      <c r="T22" s="222" t="s">
        <v>1905</v>
      </c>
      <c r="U22" s="222" t="s">
        <v>412</v>
      </c>
      <c r="V22" s="222"/>
      <c r="W22" s="222" t="s">
        <v>280</v>
      </c>
      <c r="X22" s="245"/>
      <c r="Y22" s="221" t="s">
        <v>2625</v>
      </c>
      <c r="Z22" s="222" t="s">
        <v>547</v>
      </c>
      <c r="AA22" s="222" t="s">
        <v>1905</v>
      </c>
      <c r="AB22" s="222" t="s">
        <v>412</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2642</v>
      </c>
      <c r="C1" s="3766"/>
      <c r="D1" s="3766"/>
      <c r="E1" s="3766"/>
      <c r="F1" s="3766"/>
      <c r="G1" s="3767" t="s">
        <v>2643</v>
      </c>
      <c r="H1" s="3767"/>
      <c r="I1" s="3767"/>
      <c r="J1" s="3767"/>
      <c r="K1" s="3767"/>
      <c r="L1" s="3767"/>
      <c r="N1" s="3767" t="s">
        <v>2622</v>
      </c>
      <c r="O1" s="3767"/>
      <c r="P1" s="3767"/>
      <c r="Q1" s="3767"/>
      <c r="S1" s="3767" t="s">
        <v>2644</v>
      </c>
      <c r="T1" s="3767"/>
      <c r="U1" s="3767"/>
      <c r="V1" s="3767"/>
      <c r="X1" s="3768" t="s">
        <v>2623</v>
      </c>
      <c r="Y1" s="3767"/>
      <c r="Z1" s="3767"/>
      <c r="AA1" s="3767"/>
      <c r="AB1" s="3767"/>
      <c r="AD1" s="3768" t="s">
        <v>2624</v>
      </c>
      <c r="AE1" s="3767"/>
      <c r="AF1" s="3767"/>
      <c r="AG1" s="3767"/>
      <c r="AH1" s="3767"/>
    </row>
    <row r="2" spans="1:34" s="75" customFormat="1" ht="13.5">
      <c r="B2" s="85" t="s">
        <v>2645</v>
      </c>
      <c r="C2" s="85" t="s">
        <v>2646</v>
      </c>
      <c r="D2" s="86" t="s">
        <v>1905</v>
      </c>
      <c r="E2" s="86" t="s">
        <v>412</v>
      </c>
      <c r="F2" s="85" t="s">
        <v>2647</v>
      </c>
      <c r="G2" s="87"/>
      <c r="I2" s="85" t="s">
        <v>2645</v>
      </c>
      <c r="J2" s="86" t="s">
        <v>1913</v>
      </c>
      <c r="K2" s="86" t="s">
        <v>412</v>
      </c>
      <c r="L2" s="85" t="s">
        <v>2647</v>
      </c>
      <c r="N2" s="85" t="s">
        <v>2645</v>
      </c>
      <c r="O2" s="86" t="s">
        <v>1913</v>
      </c>
      <c r="P2" s="86" t="s">
        <v>412</v>
      </c>
      <c r="Q2" s="85" t="s">
        <v>2647</v>
      </c>
      <c r="S2" s="85" t="s">
        <v>2645</v>
      </c>
      <c r="T2" s="86" t="s">
        <v>1913</v>
      </c>
      <c r="U2" s="86" t="s">
        <v>412</v>
      </c>
      <c r="V2" s="85" t="s">
        <v>2647</v>
      </c>
      <c r="X2" s="85" t="s">
        <v>2645</v>
      </c>
      <c r="Y2" s="85" t="s">
        <v>2646</v>
      </c>
      <c r="Z2" s="86" t="s">
        <v>1905</v>
      </c>
      <c r="AA2" s="86" t="s">
        <v>412</v>
      </c>
      <c r="AB2" s="85" t="s">
        <v>2647</v>
      </c>
      <c r="AD2" s="85" t="s">
        <v>2645</v>
      </c>
      <c r="AE2" s="85" t="s">
        <v>2646</v>
      </c>
      <c r="AF2" s="86" t="s">
        <v>1905</v>
      </c>
      <c r="AG2" s="86" t="s">
        <v>412</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7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7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5"/>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76"/>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7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7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7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7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7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7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93.61</v>
      </c>
      <c r="C4" s="3379">
        <f>项目基本情况!C18</f>
        <v>0</v>
      </c>
      <c r="D4" s="3379" t="e">
        <f ca="1">结果表!D118</f>
        <v>#REF!</v>
      </c>
      <c r="E4" s="3379" t="e">
        <f ca="1">结果表!E118</f>
        <v>#REF!</v>
      </c>
      <c r="F4" s="3379" t="e">
        <f ca="1">结果表!F118</f>
        <v>#REF!</v>
      </c>
      <c r="G4" s="3379" t="e">
        <f ca="1">结果表!G118</f>
        <v>#REF!</v>
      </c>
      <c r="H4" s="3379">
        <f ca="1">结果表!H118</f>
        <v>238</v>
      </c>
      <c r="I4" s="3379">
        <f ca="1">结果表!I118</f>
        <v>25435</v>
      </c>
    </row>
    <row r="5" spans="1:9" ht="30" customHeight="1">
      <c r="A5" s="3449" t="s">
        <v>112</v>
      </c>
      <c r="B5" s="3449"/>
      <c r="C5" s="3449"/>
      <c r="D5" s="3449" t="e">
        <f ca="1">结果表!D119</f>
        <v>#REF!</v>
      </c>
      <c r="E5" s="3449"/>
      <c r="F5" s="3449" t="e">
        <f ca="1">结果表!F119</f>
        <v>#REF!</v>
      </c>
      <c r="G5" s="3449"/>
      <c r="H5" s="3449" t="str">
        <f ca="1">结果表!H119</f>
        <v>贰佰叁拾捌万元整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238</v>
      </c>
      <c r="E8" s="3450"/>
      <c r="F8" s="3450"/>
      <c r="G8" s="3450"/>
      <c r="H8" s="3450"/>
      <c r="I8" s="3450"/>
    </row>
    <row r="9" spans="1:9" ht="15">
      <c r="A9" s="3449" t="s">
        <v>112</v>
      </c>
      <c r="B9" s="3449"/>
      <c r="C9" s="3449"/>
      <c r="D9" s="3449" t="str">
        <f ca="1">结果表!D123</f>
        <v>贰佰叁拾捌万元整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35"/>
      <c r="C23" s="1735"/>
      <c r="D23" s="1735"/>
    </row>
    <row r="24" spans="1:4">
      <c r="A24" s="3376"/>
      <c r="B24" s="1735"/>
      <c r="C24" s="1735"/>
      <c r="D24" s="1735"/>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45177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2023-09-08T02:48:31Z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7E707657278B421884DCD03643C0CA33_12</vt:lpwstr>
  </property>
  <property fmtid="{D5CDD505-2E9C-101B-9397-08002B2CF9AE}" pid="4" name="KSOProductBuildVer">
    <vt:lpwstr>2052-12.1.0.15374</vt:lpwstr>
  </property>
</Properties>
</file>