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Sheet1" sheetId="8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12" i="74" l="1"/>
  <c r="D12" i="74"/>
  <c r="J5" i="80" l="1"/>
  <c r="J6" i="80"/>
  <c r="J7" i="80"/>
  <c r="J4" i="80"/>
  <c r="E10" i="80" l="1"/>
  <c r="H7" i="80"/>
  <c r="H6" i="80"/>
  <c r="I6" i="80" s="1"/>
  <c r="L6" i="80" s="1"/>
  <c r="I5" i="80"/>
  <c r="L5" i="80" s="1"/>
  <c r="I7" i="80"/>
  <c r="L7" i="80" s="1"/>
  <c r="K5" i="80"/>
  <c r="K6" i="80"/>
  <c r="K7" i="80"/>
  <c r="I4" i="80"/>
  <c r="L4" i="80" s="1"/>
  <c r="K4" i="80"/>
  <c r="F12" i="74" l="1"/>
  <c r="D3" i="4"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S35" i="79"/>
  <c r="AG35" i="79" s="1"/>
  <c r="S33" i="79"/>
  <c r="AG33" i="79" s="1"/>
  <c r="S34" i="79"/>
  <c r="AG3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22" i="79"/>
  <c r="AK22" i="79" s="1"/>
  <c r="AH22"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J35" i="39"/>
  <c r="AC35" i="39" s="1"/>
  <c r="F35" i="39"/>
  <c r="AA35" i="39" s="1"/>
  <c r="J36" i="39"/>
  <c r="AC36" i="39" s="1"/>
  <c r="W40" i="39"/>
  <c r="W25" i="37"/>
  <c r="U30" i="37"/>
  <c r="W31" i="37"/>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U35" i="33"/>
  <c r="S40" i="33"/>
  <c r="W39" i="33"/>
  <c r="H39" i="37"/>
  <c r="AB39" i="37"/>
  <c r="F11" i="40"/>
  <c r="AA11" i="40" s="1"/>
  <c r="H11" i="40"/>
  <c r="AB11" i="40" s="1"/>
  <c r="W8" i="40"/>
  <c r="AA9" i="40"/>
  <c r="U9" i="40"/>
  <c r="U38" i="40"/>
  <c r="W31" i="40"/>
  <c r="U34" i="40"/>
  <c r="S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M123" i="21"/>
  <c r="J42" i="21"/>
  <c r="AC42" i="2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c r="F44" i="21"/>
  <c r="AA44" i="21" s="1"/>
  <c r="U46" i="2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W31" i="34"/>
  <c r="S11" i="36"/>
  <c r="AA14"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AZ143" i="3" s="1"/>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AZ383" i="3" s="1"/>
  <c r="BL384" i="3"/>
  <c r="G385" i="3"/>
  <c r="BA387" i="3"/>
  <c r="AZ387" i="3" s="1"/>
  <c r="BL388" i="3"/>
  <c r="G389" i="3"/>
  <c r="BA391" i="3"/>
  <c r="BL392" i="3"/>
  <c r="AZ392" i="3" s="1"/>
  <c r="G393" i="3"/>
  <c r="AZ291"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s="1"/>
  <c r="U36" i="40"/>
  <c r="F83" i="43"/>
  <c r="H85" i="43" s="1"/>
  <c r="F50" i="43"/>
  <c r="H54" i="43" s="1"/>
  <c r="F72" i="43"/>
  <c r="H75" i="43" s="1"/>
  <c r="U17" i="39"/>
  <c r="S14" i="35"/>
  <c r="U43" i="21"/>
  <c r="U35" i="21"/>
  <c r="AC35"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7"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65" i="3"/>
  <c r="W12" i="33"/>
  <c r="AC12" i="33"/>
  <c r="AA32" i="36"/>
  <c r="S32" i="36"/>
  <c r="BL14" i="3"/>
  <c r="U30" i="33"/>
  <c r="AC13" i="34"/>
  <c r="AA47" i="34"/>
  <c r="W28" i="37"/>
  <c r="S19" i="39"/>
  <c r="F12" i="33"/>
  <c r="H12" i="39"/>
  <c r="AB12" i="39" s="1"/>
  <c r="F39" i="40"/>
  <c r="S39" i="40" s="1"/>
  <c r="BA14" i="3"/>
  <c r="AZ254" i="3"/>
  <c r="AZ286" i="3"/>
  <c r="AZ29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H32" i="39"/>
  <c r="AB32" i="39" s="1"/>
  <c r="AA32" i="39"/>
  <c r="S32" i="39"/>
  <c r="AB21" i="39"/>
  <c r="U21" i="39"/>
  <c r="AA21" i="39"/>
  <c r="S21" i="39"/>
  <c r="AC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AA25" i="33"/>
  <c r="G87" i="33"/>
  <c r="H87" i="33"/>
  <c r="I87" i="33" s="1"/>
  <c r="J87" i="33" s="1"/>
  <c r="K87" i="33" s="1"/>
  <c r="L87" i="33" s="1"/>
  <c r="M87" i="33" s="1"/>
  <c r="J25" i="33"/>
  <c r="AC25" i="33" s="1"/>
  <c r="U23" i="33"/>
  <c r="F23" i="33"/>
  <c r="G85" i="33"/>
  <c r="H19" i="33"/>
  <c r="U19" i="33" s="1"/>
  <c r="G81" i="33"/>
  <c r="H17" i="33"/>
  <c r="U17" i="33" s="1"/>
  <c r="F17" i="33"/>
  <c r="S17" i="33" s="1"/>
  <c r="W17" i="33"/>
  <c r="J23" i="21"/>
  <c r="F85" i="21"/>
  <c r="G85" i="21" s="1"/>
  <c r="H23" i="21"/>
  <c r="S13" i="21"/>
  <c r="AP7" i="1"/>
  <c r="AB45" i="21"/>
  <c r="AB9" i="21"/>
  <c r="AA32" i="21"/>
  <c r="S32" i="21"/>
  <c r="W9" i="21"/>
  <c r="AB32" i="21"/>
  <c r="U32" i="21"/>
  <c r="U32" i="39"/>
  <c r="W23" i="37"/>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F42" i="15"/>
  <c r="C20" i="9"/>
  <c r="L48" i="15"/>
  <c r="E13" i="76"/>
  <c r="E7" i="76"/>
  <c r="M28" i="67"/>
  <c r="C19" i="9"/>
  <c r="E8" i="76"/>
  <c r="F5" i="73"/>
  <c r="F36" i="15"/>
  <c r="D34" i="9"/>
  <c r="F38" i="67"/>
  <c r="B12" i="76"/>
  <c r="C76" i="15"/>
  <c r="D19" i="9"/>
  <c r="B13" i="76"/>
  <c r="F7" i="73"/>
  <c r="F7" i="15"/>
  <c r="F20" i="31"/>
  <c r="E11" i="76"/>
  <c r="F3" i="73"/>
  <c r="B7" i="76"/>
  <c r="F13" i="15"/>
  <c r="F38" i="15"/>
  <c r="M26" i="67"/>
  <c r="F40" i="15"/>
  <c r="M29" i="15"/>
  <c r="B10" i="76"/>
  <c r="AO13" i="1"/>
  <c r="F6" i="67"/>
  <c r="L47" i="15"/>
  <c r="F6" i="15"/>
  <c r="B11" i="76"/>
  <c r="E12" i="76"/>
  <c r="E9" i="76"/>
  <c r="F16" i="15"/>
  <c r="F6" i="73"/>
  <c r="M24" i="15"/>
  <c r="E10" i="76"/>
  <c r="D20" i="9"/>
  <c r="M6" i="15"/>
  <c r="E2" i="69"/>
  <c r="F7" i="67"/>
  <c r="D35" i="9"/>
  <c r="M28" i="15"/>
  <c r="B9" i="76"/>
  <c r="D6" i="73"/>
  <c r="F9" i="15"/>
  <c r="F4" i="73"/>
  <c r="B8" i="76"/>
  <c r="M47" i="9" l="1"/>
  <c r="C7" i="35"/>
  <c r="C48" i="35" s="1"/>
  <c r="D48" i="35" s="1"/>
  <c r="C7" i="34"/>
  <c r="C7" i="40"/>
  <c r="C63" i="40" s="1"/>
  <c r="C7" i="37"/>
  <c r="C52" i="37" s="1"/>
  <c r="D52" i="37" s="1"/>
  <c r="C7" i="39"/>
  <c r="C67" i="39" s="1"/>
  <c r="AB15" i="21"/>
  <c r="AB19" i="33"/>
  <c r="W32" i="39"/>
  <c r="AC32" i="39"/>
  <c r="AA37" i="21"/>
  <c r="S37" i="21"/>
  <c r="U36" i="33"/>
  <c r="AB36" i="33"/>
  <c r="AZ322" i="3"/>
  <c r="D6" i="52"/>
  <c r="S36" i="33"/>
  <c r="AA23" i="37"/>
  <c r="S17" i="37"/>
  <c r="W33" i="34"/>
  <c r="AA40" i="34"/>
  <c r="W27" i="40"/>
  <c r="S23" i="21"/>
  <c r="W15" i="21"/>
  <c r="U32" i="37"/>
  <c r="S30" i="40"/>
  <c r="AZ14" i="3"/>
  <c r="AZ345" i="3"/>
  <c r="AZ334" i="3"/>
  <c r="AZ372" i="3"/>
  <c r="AZ347" i="3"/>
  <c r="AZ337" i="3"/>
  <c r="AZ376" i="3"/>
  <c r="AZ309" i="3"/>
  <c r="AA11" i="39"/>
  <c r="AZ523" i="3"/>
  <c r="AZ547" i="3"/>
  <c r="AZ571" i="3"/>
  <c r="AZ579" i="3"/>
  <c r="AB46" i="34"/>
  <c r="G586" i="3"/>
  <c r="AZ539" i="3"/>
  <c r="AZ529" i="3"/>
  <c r="AZ537" i="3"/>
  <c r="AZ518" i="3"/>
  <c r="AZ526" i="3"/>
  <c r="AZ546" i="3"/>
  <c r="AZ564" i="3"/>
  <c r="AZ580" i="3"/>
  <c r="AB45" i="33"/>
  <c r="S14" i="37"/>
  <c r="S29" i="35"/>
  <c r="AA29" i="35"/>
  <c r="U17" i="34"/>
  <c r="AB17" i="34"/>
  <c r="AZ443" i="3"/>
  <c r="AA19" i="33"/>
  <c r="AC20" i="36"/>
  <c r="AA39" i="39"/>
  <c r="AC11" i="39"/>
  <c r="F29" i="6"/>
  <c r="AZ391" i="3"/>
  <c r="AZ318" i="3"/>
  <c r="AZ364" i="3"/>
  <c r="AZ329" i="3"/>
  <c r="AZ306" i="3"/>
  <c r="AZ513" i="3"/>
  <c r="AZ502" i="3"/>
  <c r="F28" i="34"/>
  <c r="J28" i="34"/>
  <c r="AZ531" i="3"/>
  <c r="AZ583" i="3"/>
  <c r="AZ568" i="3"/>
  <c r="AZ576" i="3"/>
  <c r="AC33" i="33"/>
  <c r="W33" i="33"/>
  <c r="AC40" i="33"/>
  <c r="W40" i="33"/>
  <c r="AB12" i="36"/>
  <c r="S40" i="39"/>
  <c r="BL585" i="3"/>
  <c r="AZ585" i="3" s="1"/>
  <c r="B75" i="43"/>
  <c r="H12" i="33"/>
  <c r="U12" i="33" s="1"/>
  <c r="AC31" i="35"/>
  <c r="H36" i="35"/>
  <c r="H24" i="36"/>
  <c r="G558" i="3"/>
  <c r="BL398" i="3"/>
  <c r="G402" i="3"/>
  <c r="BL403" i="3"/>
  <c r="G405" i="3"/>
  <c r="G406" i="3"/>
  <c r="BA408" i="3"/>
  <c r="AZ408" i="3" s="1"/>
  <c r="BA409" i="3"/>
  <c r="AZ409" i="3" s="1"/>
  <c r="BA411" i="3"/>
  <c r="BL414" i="3"/>
  <c r="BL415" i="3"/>
  <c r="BA417" i="3"/>
  <c r="BL421" i="3"/>
  <c r="BL422" i="3"/>
  <c r="AZ422" i="3" s="1"/>
  <c r="BL425" i="3"/>
  <c r="BL426" i="3"/>
  <c r="BA428" i="3"/>
  <c r="BA429" i="3"/>
  <c r="AZ429" i="3" s="1"/>
  <c r="BA430" i="3"/>
  <c r="AZ430" i="3" s="1"/>
  <c r="BA432" i="3"/>
  <c r="BA434" i="3"/>
  <c r="BA436" i="3"/>
  <c r="BA438" i="3"/>
  <c r="G442" i="3"/>
  <c r="G443" i="3"/>
  <c r="BA446" i="3"/>
  <c r="BA450" i="3"/>
  <c r="G452" i="3"/>
  <c r="BL452" i="3"/>
  <c r="G454" i="3"/>
  <c r="BA464" i="3"/>
  <c r="BA469" i="3"/>
  <c r="AZ469" i="3" s="1"/>
  <c r="BL472" i="3"/>
  <c r="S34" i="40"/>
  <c r="J23" i="36"/>
  <c r="H39" i="40"/>
  <c r="BL550" i="3"/>
  <c r="BL15" i="3"/>
  <c r="AZ15" i="3" s="1"/>
  <c r="BA398" i="3"/>
  <c r="BA399" i="3"/>
  <c r="AZ399" i="3" s="1"/>
  <c r="BL401" i="3"/>
  <c r="AZ401" i="3" s="1"/>
  <c r="BL404" i="3"/>
  <c r="AZ404" i="3" s="1"/>
  <c r="BL405" i="3"/>
  <c r="BL407" i="3"/>
  <c r="BA412" i="3"/>
  <c r="AZ412" i="3" s="1"/>
  <c r="BA414" i="3"/>
  <c r="BA415" i="3"/>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G446" i="3"/>
  <c r="BL448" i="3"/>
  <c r="G450" i="3"/>
  <c r="BA451" i="3"/>
  <c r="AZ451" i="3" s="1"/>
  <c r="BA463" i="3"/>
  <c r="G467" i="3"/>
  <c r="S27" i="35"/>
  <c r="U9" i="39"/>
  <c r="BL587" i="3"/>
  <c r="AZ587" i="3" s="1"/>
  <c r="BL586" i="3"/>
  <c r="AZ586" i="3" s="1"/>
  <c r="G574" i="3"/>
  <c r="BL16" i="3"/>
  <c r="AZ16" i="3" s="1"/>
  <c r="AZ403" i="3"/>
  <c r="AZ405" i="3"/>
  <c r="AZ407" i="3"/>
  <c r="AZ419" i="3"/>
  <c r="AZ444" i="3"/>
  <c r="AZ448" i="3"/>
  <c r="BA551" i="3"/>
  <c r="AZ551" i="3" s="1"/>
  <c r="BA550" i="3"/>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G458" i="3"/>
  <c r="BL459" i="3"/>
  <c r="G462"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239" i="3"/>
  <c r="BL239" i="3"/>
  <c r="BA241" i="3"/>
  <c r="AZ241" i="3" s="1"/>
  <c r="BL241" i="3"/>
  <c r="BA244" i="3"/>
  <c r="BL244" i="3"/>
  <c r="AZ270" i="3"/>
  <c r="BA282" i="3"/>
  <c r="AZ282" i="3" s="1"/>
  <c r="BL282" i="3"/>
  <c r="BA284" i="3"/>
  <c r="BA1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AZ274" i="3" s="1"/>
  <c r="BL274" i="3"/>
  <c r="BA276" i="3"/>
  <c r="BA279" i="3"/>
  <c r="BA281" i="3"/>
  <c r="G291" i="3"/>
  <c r="BA296" i="3"/>
  <c r="BA116" i="3"/>
  <c r="AZ116" i="3" s="1"/>
  <c r="BA121" i="3"/>
  <c r="AZ121" i="3" s="1"/>
  <c r="BL121" i="3"/>
  <c r="BA124" i="3"/>
  <c r="AZ124" i="3" s="1"/>
  <c r="BA126" i="3"/>
  <c r="BA129" i="3"/>
  <c r="BL133" i="3"/>
  <c r="AZ133" i="3" s="1"/>
  <c r="BL139" i="3"/>
  <c r="AZ139" i="3" s="1"/>
  <c r="BL141"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L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L67" i="3"/>
  <c r="AZ67" i="3" s="1"/>
  <c r="BA72" i="3"/>
  <c r="BA73" i="3"/>
  <c r="BA79" i="3"/>
  <c r="AZ79" i="3" s="1"/>
  <c r="G82" i="3"/>
  <c r="G83" i="3"/>
  <c r="BA84" i="3"/>
  <c r="BL88" i="3"/>
  <c r="AZ88" i="3" s="1"/>
  <c r="BL90" i="3"/>
  <c r="BA94" i="3"/>
  <c r="BL99" i="3"/>
  <c r="BA105" i="3"/>
  <c r="F40" i="68"/>
  <c r="C21" i="68"/>
  <c r="V24" i="71"/>
  <c r="E23" i="71"/>
  <c r="E22" i="71" s="1"/>
  <c r="E21" i="71" s="1"/>
  <c r="E20" i="71" s="1"/>
  <c r="AZ201" i="3"/>
  <c r="AZ38" i="3"/>
  <c r="AZ52" i="3"/>
  <c r="C40" i="68"/>
  <c r="C44" i="71"/>
  <c r="D43" i="71"/>
  <c r="C52" i="71"/>
  <c r="D51" i="7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G191"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AZ41" i="3" s="1"/>
  <c r="BA42" i="3"/>
  <c r="G47" i="3"/>
  <c r="BL48" i="3"/>
  <c r="BL54" i="3"/>
  <c r="BL55" i="3"/>
  <c r="AZ55" i="3" s="1"/>
  <c r="G58" i="3"/>
  <c r="BA59" i="3"/>
  <c r="BL61" i="3"/>
  <c r="G64" i="3"/>
  <c r="BA64" i="3"/>
  <c r="AZ64" i="3" s="1"/>
  <c r="G67" i="3"/>
  <c r="BA71" i="3"/>
  <c r="BL72" i="3"/>
  <c r="BL75" i="3"/>
  <c r="BL92" i="3"/>
  <c r="C47" i="71"/>
  <c r="D47" i="71" s="1"/>
  <c r="D46" i="71"/>
  <c r="BA142" i="3"/>
  <c r="BL149" i="3"/>
  <c r="AZ149" i="3" s="1"/>
  <c r="BL150" i="3"/>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199" i="3"/>
  <c r="G204"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BL70" i="3"/>
  <c r="AZ70" i="3" s="1"/>
  <c r="BL71" i="3"/>
  <c r="BA78" i="3"/>
  <c r="BA80" i="3"/>
  <c r="G84" i="3"/>
  <c r="BL84" i="3"/>
  <c r="BA89" i="3"/>
  <c r="BL100" i="3"/>
  <c r="D31" i="71"/>
  <c r="C32" i="71"/>
  <c r="C55" i="71"/>
  <c r="D54" i="71"/>
  <c r="N67" i="71"/>
  <c r="B66" i="71"/>
  <c r="F66" i="71"/>
  <c r="Q67" i="71"/>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BL108" i="3"/>
  <c r="G110" i="3"/>
  <c r="BL111"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M7" i="15"/>
  <c r="F50" i="15"/>
  <c r="F66" i="67"/>
  <c r="L59" i="15"/>
  <c r="N59" i="15"/>
  <c r="L58" i="15"/>
  <c r="M59" i="15"/>
  <c r="F66" i="15"/>
  <c r="F64" i="15"/>
  <c r="D103" i="9"/>
  <c r="G20" i="9"/>
  <c r="C103" i="9"/>
  <c r="B13" i="70"/>
  <c r="M7" i="67"/>
  <c r="F50" i="67"/>
  <c r="F68" i="15"/>
  <c r="C36" i="68"/>
  <c r="D9" i="69"/>
  <c r="F27" i="69"/>
  <c r="C36" i="69"/>
  <c r="D9" i="68"/>
  <c r="M29" i="67"/>
  <c r="D3" i="73"/>
  <c r="F26" i="67"/>
  <c r="L47" i="67"/>
  <c r="D4" i="73"/>
  <c r="C16" i="15"/>
  <c r="F40" i="67"/>
  <c r="M23" i="15"/>
  <c r="D5" i="73"/>
  <c r="M22" i="15"/>
  <c r="F43" i="15"/>
  <c r="M22" i="67"/>
  <c r="J15" i="15"/>
  <c r="L48" i="67"/>
  <c r="F9" i="67"/>
  <c r="F8" i="15"/>
  <c r="M9" i="67"/>
  <c r="F26" i="15"/>
  <c r="F36" i="67"/>
  <c r="M24" i="67"/>
  <c r="C76" i="67"/>
  <c r="M9" i="15"/>
  <c r="F37" i="67"/>
  <c r="F16" i="67"/>
  <c r="F13" i="67"/>
  <c r="M26" i="15"/>
  <c r="F8" i="67"/>
  <c r="F42" i="67"/>
  <c r="M23" i="67"/>
  <c r="M8" i="67"/>
  <c r="F37" i="15"/>
  <c r="D7" i="73"/>
  <c r="J15" i="67"/>
  <c r="M6" i="67"/>
  <c r="M8" i="15"/>
  <c r="F43" i="67"/>
  <c r="F65" i="15" l="1"/>
  <c r="F71" i="67"/>
  <c r="F65" i="67"/>
  <c r="C27" i="15"/>
  <c r="L56" i="67"/>
  <c r="I54" i="67"/>
  <c r="J53" i="67"/>
  <c r="F1" i="67" s="1"/>
  <c r="J57" i="67"/>
  <c r="J55" i="67" s="1"/>
  <c r="J58" i="67" s="1"/>
  <c r="Q50" i="67" s="1"/>
  <c r="F64" i="67"/>
  <c r="Q71" i="67"/>
  <c r="L58" i="67"/>
  <c r="Q60" i="67" s="1"/>
  <c r="M59" i="67"/>
  <c r="N59" i="67"/>
  <c r="L59" i="67"/>
  <c r="Q74" i="67" s="1"/>
  <c r="F51" i="15"/>
  <c r="C49" i="15" s="1"/>
  <c r="C6" i="15"/>
  <c r="C32" i="15" s="1"/>
  <c r="F31" i="15"/>
  <c r="F71" i="15"/>
  <c r="C27" i="67"/>
  <c r="F68" i="67"/>
  <c r="F31" i="67"/>
  <c r="F51" i="67"/>
  <c r="C49" i="67" s="1"/>
  <c r="C6" i="67"/>
  <c r="C32" i="67" s="1"/>
  <c r="J6" i="67"/>
  <c r="J18" i="67" s="1"/>
  <c r="D83" i="71"/>
  <c r="C82" i="71"/>
  <c r="D82" i="71" s="1"/>
  <c r="O65" i="71"/>
  <c r="D66" i="71"/>
  <c r="O66" i="71"/>
  <c r="C36" i="71"/>
  <c r="D35" i="71"/>
  <c r="AZ108" i="3"/>
  <c r="AZ61" i="3"/>
  <c r="AZ59" i="3"/>
  <c r="AZ126" i="3"/>
  <c r="AZ263" i="3"/>
  <c r="AZ244" i="3"/>
  <c r="AZ239" i="3"/>
  <c r="AZ332" i="3"/>
  <c r="AZ550" i="3"/>
  <c r="AZ415" i="3"/>
  <c r="AZ398" i="3"/>
  <c r="AC23" i="36"/>
  <c r="W23" i="36"/>
  <c r="AZ428" i="3"/>
  <c r="AZ411" i="3"/>
  <c r="J6" i="15"/>
  <c r="J18" i="15" s="1"/>
  <c r="C40" i="71"/>
  <c r="D39" i="71"/>
  <c r="C56" i="71"/>
  <c r="D55" i="71"/>
  <c r="AZ27" i="3"/>
  <c r="D44" i="71"/>
  <c r="T44" i="71"/>
  <c r="AZ105" i="3"/>
  <c r="AZ45" i="3"/>
  <c r="AZ197" i="3"/>
  <c r="AZ483" i="3"/>
  <c r="AZ414" i="3"/>
  <c r="AZ432" i="3"/>
  <c r="AZ417" i="3"/>
  <c r="AB24" i="36"/>
  <c r="U24" i="36"/>
  <c r="G5" i="3"/>
  <c r="B3" i="3" s="1"/>
  <c r="E539" i="3" s="1"/>
  <c r="C70" i="71"/>
  <c r="D70" i="71" s="1"/>
  <c r="D71" i="71"/>
  <c r="N65" i="71"/>
  <c r="N66" i="71"/>
  <c r="T32" i="71"/>
  <c r="D32" i="71"/>
  <c r="AZ84" i="3"/>
  <c r="AZ418" i="3"/>
  <c r="AZ464" i="3"/>
  <c r="AB36" i="35"/>
  <c r="U36" i="35"/>
  <c r="AC28" i="34"/>
  <c r="W28" i="34"/>
  <c r="G16" i="1"/>
  <c r="F10" i="39" s="1"/>
  <c r="T28" i="71"/>
  <c r="D28" i="71"/>
  <c r="U28" i="71" s="1"/>
  <c r="C27" i="71"/>
  <c r="D79" i="71"/>
  <c r="C78" i="71"/>
  <c r="D78" i="71" s="1"/>
  <c r="AZ71" i="3"/>
  <c r="AZ31" i="3"/>
  <c r="T52" i="71"/>
  <c r="D52" i="71"/>
  <c r="AZ94" i="3"/>
  <c r="AZ72" i="3"/>
  <c r="AZ190" i="3"/>
  <c r="AZ150" i="3"/>
  <c r="AZ284" i="3"/>
  <c r="AZ435" i="3"/>
  <c r="U39" i="40"/>
  <c r="AB39" i="40"/>
  <c r="AA28" i="34"/>
  <c r="S28" i="34"/>
  <c r="J7" i="37"/>
  <c r="AC7" i="37" s="1"/>
  <c r="K1" i="7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158" i="3"/>
  <c r="E83" i="3"/>
  <c r="E16" i="3"/>
  <c r="E223" i="3"/>
  <c r="E105" i="3"/>
  <c r="E493" i="3"/>
  <c r="E543" i="3"/>
  <c r="E486" i="3"/>
  <c r="E422" i="3"/>
  <c r="E490" i="3"/>
  <c r="AH6" i="3"/>
  <c r="E498" i="3"/>
  <c r="E401" i="3"/>
  <c r="E40" i="3"/>
  <c r="E108" i="3"/>
  <c r="E202" i="3"/>
  <c r="E276" i="3"/>
  <c r="E333" i="3"/>
  <c r="L6" i="3"/>
  <c r="E43" i="3"/>
  <c r="E473" i="3"/>
  <c r="E455" i="3"/>
  <c r="E38" i="3"/>
  <c r="E137" i="3"/>
  <c r="E234" i="3"/>
  <c r="E339" i="3"/>
  <c r="E392" i="3"/>
  <c r="E52" i="3"/>
  <c r="E112" i="3"/>
  <c r="E147" i="3"/>
  <c r="E340" i="3"/>
  <c r="E50" i="3"/>
  <c r="E62" i="3"/>
  <c r="E218" i="3"/>
  <c r="E365" i="3"/>
  <c r="E101" i="3"/>
  <c r="E141" i="3"/>
  <c r="E398" i="3"/>
  <c r="E460" i="3"/>
  <c r="E155" i="3"/>
  <c r="E58" i="3"/>
  <c r="E65" i="3"/>
  <c r="E24" i="3"/>
  <c r="E51" i="3"/>
  <c r="E244" i="3"/>
  <c r="E421" i="3"/>
  <c r="E500" i="3"/>
  <c r="E57" i="3"/>
  <c r="E446" i="3"/>
  <c r="E209" i="3"/>
  <c r="E48" i="3"/>
  <c r="E19" i="3"/>
  <c r="E149" i="3"/>
  <c r="E582" i="3"/>
  <c r="E297" i="3"/>
  <c r="E47" i="3"/>
  <c r="E584" i="3"/>
  <c r="E373" i="3"/>
  <c r="E374" i="3"/>
  <c r="E259" i="3"/>
  <c r="E163" i="3"/>
  <c r="Y6" i="3"/>
  <c r="AD6" i="3"/>
  <c r="E488" i="3"/>
  <c r="E87" i="3"/>
  <c r="E167" i="3"/>
  <c r="E187" i="3"/>
  <c r="E98" i="3"/>
  <c r="E127" i="3"/>
  <c r="E122" i="3"/>
  <c r="E136" i="3"/>
  <c r="E306" i="3"/>
  <c r="E224" i="3"/>
  <c r="E532" i="3"/>
  <c r="E474" i="3"/>
  <c r="E288" i="3"/>
  <c r="E537" i="3"/>
  <c r="E475" i="3"/>
  <c r="E168" i="3"/>
  <c r="E257" i="3"/>
  <c r="E14" i="3"/>
  <c r="E397" i="3"/>
  <c r="E207" i="3"/>
  <c r="E379" i="3"/>
  <c r="E411" i="3"/>
  <c r="E432" i="3"/>
  <c r="E547" i="3"/>
  <c r="E546" i="3"/>
  <c r="E92"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W7" i="37"/>
  <c r="U7" i="36"/>
  <c r="F7" i="33"/>
  <c r="E58" i="21"/>
  <c r="AC7" i="36"/>
  <c r="V36" i="36" s="1"/>
  <c r="I36" i="36" s="1"/>
  <c r="W7" i="36"/>
  <c r="F7" i="37"/>
  <c r="M17" i="67"/>
  <c r="M17" i="15"/>
  <c r="P28" i="43"/>
  <c r="B66" i="40" s="1"/>
  <c r="P25" i="43"/>
  <c r="P29" i="43"/>
  <c r="P27" i="43"/>
  <c r="B70" i="39" s="1"/>
  <c r="C32" i="9"/>
  <c r="M11" i="67"/>
  <c r="J10" i="67" s="1"/>
  <c r="F11" i="15"/>
  <c r="M11" i="15"/>
  <c r="J10" i="15" s="1"/>
  <c r="F11" i="67"/>
  <c r="F1" i="15"/>
  <c r="Q52" i="15"/>
  <c r="Q60" i="15"/>
  <c r="Q73" i="15"/>
  <c r="Q74" i="15"/>
  <c r="Q61" i="15"/>
  <c r="AE11" i="1"/>
  <c r="AE6" i="1"/>
  <c r="AE9" i="1"/>
  <c r="F27" i="68"/>
  <c r="AE7" i="1"/>
  <c r="AE8" i="1"/>
  <c r="AE12" i="1"/>
  <c r="AE10" i="1"/>
  <c r="C16" i="67"/>
  <c r="F41" i="67"/>
  <c r="G1" i="73"/>
  <c r="Q61" i="67" l="1"/>
  <c r="F59" i="15"/>
  <c r="Q73" i="67"/>
  <c r="Q52" i="67"/>
  <c r="J5" i="67"/>
  <c r="J24" i="67" s="1"/>
  <c r="J5" i="15"/>
  <c r="J24" i="15" s="1"/>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D36" i="71"/>
  <c r="T36" i="71"/>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15"/>
  <c r="M27" i="67"/>
  <c r="F41" i="15"/>
  <c r="F25" i="12" l="1"/>
  <c r="C26" i="12" s="1"/>
  <c r="D25" i="12" s="1"/>
  <c r="F22" i="68"/>
  <c r="C44" i="68" s="1"/>
  <c r="D41"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15"/>
  <c r="C17" i="67"/>
  <c r="C14" i="67"/>
  <c r="C26" i="68" l="1"/>
  <c r="D22" i="68" s="1"/>
  <c r="F41" i="68"/>
  <c r="C23" i="68"/>
  <c r="C26" i="11"/>
  <c r="D22" i="11" s="1"/>
  <c r="C44" i="11"/>
  <c r="D41"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7"/>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2" i="1"/>
  <c r="AO11" i="1"/>
  <c r="AO7" i="1"/>
  <c r="AO9" i="1"/>
  <c r="AO10"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4" i="74"/>
  <c r="D11" i="74" s="1"/>
  <c r="G14" i="74" l="1"/>
  <c r="B6" i="74" s="1"/>
  <c r="D6" i="74" s="1"/>
  <c r="F14" i="74"/>
  <c r="B5" i="74"/>
  <c r="D5" i="74" l="1"/>
  <c r="C81" i="9"/>
  <c r="M48" i="9"/>
  <c r="M55" i="9"/>
  <c r="B53" i="72"/>
  <c r="D9" i="52"/>
  <c r="H4" i="52"/>
  <c r="C104" i="9"/>
  <c r="B21" i="72"/>
  <c r="I4" i="52"/>
  <c r="C105" i="9"/>
  <c r="B20" i="72"/>
  <c r="L65" i="9"/>
  <c r="M65" i="9"/>
  <c r="D53" i="9"/>
  <c r="D52" i="9"/>
  <c r="D54" i="9"/>
  <c r="N61" i="9"/>
  <c r="N59" i="9"/>
  <c r="N60" i="9"/>
  <c r="B30" i="72"/>
  <c r="E97" i="9"/>
  <c r="D5" i="53"/>
  <c r="D6" i="53"/>
  <c r="B22" i="72"/>
  <c r="D8" i="52"/>
  <c r="D123" i="9"/>
  <c r="F4" i="52"/>
  <c r="B51" i="72"/>
  <c r="D122" i="9"/>
  <c r="D13" i="53"/>
  <c r="D14" i="53"/>
  <c r="B32" i="72"/>
  <c r="G4" i="52"/>
  <c r="B52" i="72"/>
  <c r="L64" i="9"/>
  <c r="M64" i="9"/>
  <c r="C72" i="9"/>
  <c r="C79" i="9"/>
  <c r="C80" i="9"/>
  <c r="E80" i="9"/>
  <c r="E81" i="9"/>
  <c r="M69" i="9"/>
  <c r="N69" i="9"/>
  <c r="C6" i="74"/>
  <c r="H119" i="9"/>
  <c r="H5" i="52"/>
  <c r="C5" i="74"/>
  <c r="H102" i="9"/>
  <c r="D7" i="53"/>
  <c r="D4" i="52"/>
  <c r="B47" i="72"/>
  <c r="L66" i="9"/>
  <c r="M66" i="9"/>
  <c r="P57" i="9"/>
  <c r="N57" i="9"/>
  <c r="N58" i="9"/>
  <c r="L68" i="9"/>
  <c r="M68" i="9"/>
  <c r="D118" i="9"/>
  <c r="D119" i="9"/>
  <c r="D5" i="52"/>
  <c r="B49" i="72"/>
  <c r="C78" i="9"/>
  <c r="C73" i="9"/>
  <c r="H108" i="9"/>
  <c r="D15" i="53"/>
  <c r="B31" i="72"/>
  <c r="C97" i="9"/>
  <c r="D58" i="9"/>
  <c r="D56" i="9"/>
  <c r="M54" i="9"/>
  <c r="L63" i="9"/>
  <c r="M63" i="9"/>
  <c r="E118" i="9"/>
  <c r="E4" i="52"/>
  <c r="B48" i="72"/>
  <c r="C68" i="9"/>
  <c r="C64" i="9"/>
  <c r="C63" i="9"/>
  <c r="C67" i="9"/>
  <c r="D59" i="9"/>
  <c r="H107" i="9"/>
  <c r="M49" i="9"/>
  <c r="L67" i="9"/>
  <c r="M67" i="9"/>
  <c r="D55" i="9"/>
  <c r="M53" i="9"/>
  <c r="C85" i="9"/>
  <c r="C95" i="9"/>
  <c r="C96" i="9"/>
  <c r="E96" i="9"/>
  <c r="I118" i="9"/>
  <c r="H118" i="9"/>
  <c r="H101" i="9"/>
  <c r="D45" i="9"/>
  <c r="C93" i="9"/>
  <c r="C86" i="9"/>
  <c r="G118" i="9"/>
  <c r="F118" i="9"/>
  <c r="F119" i="9"/>
  <c r="F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<sst xmlns="http://schemas.openxmlformats.org/spreadsheetml/2006/main" count="7835" uniqueCount="3428">
  <si>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</si>
  <si>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</si>
  <si>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</si>
  <si>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</si>
  <si>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</si>
  <si>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</si>
  <si>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</si>
  <si>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</si>
  <si>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</si>
  <si>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</si>
  <si>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</si>
  <si>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</si>
  <si>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</si>
  <si>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</si>
  <si>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</si>
  <si>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</si>
  <si>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</si>
  <si>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</si>
  <si>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</si>
  <si>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</si>
  <si>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</si>
  <si>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</si>
  <si>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</si>
  <si>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</si>
  <si>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</si>
  <si>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</si>
  <si>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</si>
  <si>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</si>
  <si>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</si>
  <si>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</si>
  <si>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</si>
  <si>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</si>
  <si>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</si>
  <si>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</si>
  <si>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</si>
  <si>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</si>
  <si>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</si>
  <si>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</si>
  <si>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</si>
  <si>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</si>
  <si>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</si>
  <si>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</si>
  <si>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</si>
  <si>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</si>
  <si>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</si>
  <si>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</si>
  <si>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</si>
  <si>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</si>
  <si>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</si>
  <si>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</si>
  <si>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</si>
  <si>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</si>
  <si>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</si>
  <si>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</si>
  <si>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</si>
  <si>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</si>
  <si>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</si>
  <si>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</si>
  <si>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</si>
  <si>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</si>
  <si>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</si>
  <si>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</si>
  <si>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</si>
  <si>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</si>
  <si>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</si>
  <si>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</si>
  <si>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</si>
  <si>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</si>
  <si>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</si>
  <si>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</si>
  <si>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</si>
  <si>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</si>
  <si>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</si>
  <si>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</si>
  <si>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</si>
  <si>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</si>
  <si>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</si>
  <si>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</si>
  <si>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</si>
  <si>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</si>
  <si>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</si>
  <si>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</si>
  <si>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</si>
  <si>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</si>
  <si>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</si>
  <si>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</si>
  <si>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</si>
  <si>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</si>
  <si>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</si>
  <si>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</si>
  <si>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</si>
  <si>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</si>
  <si>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</si>
  <si>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</si>
  <si>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</si>
  <si>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</si>
  <si>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</si>
  <si>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</si>
  <si>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</si>
  <si>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</si>
  <si>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</si>
  <si>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</si>
  <si>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</si>
  <si>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</si>
  <si>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</si>
  <si>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</si>
  <si>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</si>
  <si>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</si>
  <si>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</si>
  <si>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</si>
  <si>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</si>
  <si>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</si>
  <si>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</si>
  <si>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</si>
  <si>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</si>
  <si>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</si>
  <si>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</si>
  <si>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</si>
  <si>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</si>
  <si>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</si>
  <si>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</si>
  <si>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</si>
  <si>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</si>
  <si>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</si>
  <si>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</si>
  <si>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</si>
  <si>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</si>
  <si>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</si>
  <si>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</si>
  <si>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</si>
  <si>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</si>
  <si>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</si>
  <si>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</si>
  <si>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</si>
  <si>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</si>
  <si>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</si>
  <si>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</si>
  <si>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</si>
  <si>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</si>
  <si>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</si>
  <si>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</si>
  <si>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</si>
  <si>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</si>
  <si>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</si>
  <si>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</si>
  <si>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</si>
  <si>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</si>
  <si>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</si>
  <si>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</si>
  <si>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</si>
  <si>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</si>
  <si>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</si>
  <si>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</si>
  <si>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</si>
  <si>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</si>
  <si>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</si>
  <si>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</si>
  <si>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</si>
  <si>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</si>
  <si>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</si>
  <si>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</si>
  <si>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</si>
  <si>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</si>
  <si>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</si>
  <si>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</si>
  <si>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</si>
  <si>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</si>
  <si>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</si>
  <si>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</si>
  <si>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</si>
  <si>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</si>
  <si>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</si>
  <si>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</si>
  <si>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</si>
  <si>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</si>
  <si>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</si>
  <si>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</si>
  <si>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</si>
  <si>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</si>
  <si>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</si>
  <si>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</si>
  <si>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</si>
  <si>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</si>
  <si>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</si>
  <si>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</si>
  <si>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</si>
  <si>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</si>
  <si>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</si>
  <si>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</si>
  <si>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</si>
  <si>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</si>
  <si>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</si>
  <si>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</si>
  <si>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</si>
  <si>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</si>
  <si>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</si>
  <si>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</si>
  <si>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</si>
  <si>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</si>
  <si>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</si>
  <si>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</si>
  <si>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</si>
  <si>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</si>
  <si>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</si>
  <si>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</si>
  <si>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</si>
  <si>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</si>
  <si>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</si>
  <si>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</si>
  <si>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</si>
  <si>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</si>
  <si>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</si>
  <si>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</si>
  <si>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</si>
  <si>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</si>
  <si>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</si>
  <si>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</si>
  <si>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</si>
  <si>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</si>
  <si>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</si>
  <si>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</si>
  <si>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</si>
  <si>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</si>
  <si>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</si>
  <si>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</si>
  <si>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</si>
  <si>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</si>
  <si>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</si>
  <si>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</si>
  <si>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</si>
  <si>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</si>
  <si>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</si>
  <si>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</si>
  <si>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</si>
  <si>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</si>
  <si>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</si>
  <si>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</si>
  <si>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</si>
  <si>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</si>
  <si>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</si>
  <si>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</si>
  <si>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</si>
  <si>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</si>
  <si>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</si>
  <si>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</si>
  <si>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</si>
  <si>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</si>
  <si>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</si>
  <si>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</si>
  <si>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</si>
  <si>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</si>
  <si>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</si>
  <si>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</si>
  <si>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</si>
  <si>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</si>
  <si>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</si>
  <si>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</si>
  <si>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</si>
  <si>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</si>
  <si>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</si>
  <si>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</si>
  <si>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</si>
  <si>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</si>
  <si>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</si>
  <si>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</si>
  <si>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</si>
  <si>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</si>
  <si>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</si>
  <si>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</si>
  <si>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</si>
  <si>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</si>
  <si>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</si>
  <si>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</si>
  <si>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</si>
  <si>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</si>
  <si>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</si>
  <si>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</si>
  <si>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</si>
  <si>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</si>
  <si>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</si>
  <si>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</si>
  <si>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</si>
  <si>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</si>
  <si>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</si>
  <si>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</si>
  <si>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</si>
  <si>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</si>
  <si>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</si>
  <si>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</si>
  <si>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</si>
  <si>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</si>
  <si>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</si>
  <si>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</si>
  <si>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</si>
  <si>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</si>
  <si>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</si>
  <si>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</si>
  <si>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</si>
  <si>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</si>
  <si>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</si>
  <si>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</si>
  <si>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</si>
  <si>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</si>
  <si>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</si>
  <si>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</si>
  <si>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</si>
  <si>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</si>
  <si>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</si>
  <si>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</si>
  <si>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</si>
  <si>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</si>
  <si>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</si>
  <si>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</si>
  <si>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</si>
  <si>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</si>
  <si>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</si>
  <si>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</si>
  <si>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</si>
  <si>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</si>
  <si>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</si>
  <si>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</si>
  <si>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</si>
  <si>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</si>
  <si>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</si>
  <si>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</si>
  <si>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</si>
  <si>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</si>
  <si>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</si>
  <si>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</si>
  <si>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</si>
  <si>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</si>
  <si>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</si>
  <si>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</si>
  <si>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</si>
  <si>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</si>
  <si>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</si>
  <si>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</si>
  <si>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</si>
  <si>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</si>
  <si>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</si>
  <si>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</si>
  <si>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</si>
  <si>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</si>
  <si>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</si>
  <si>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</si>
  <si>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</si>
  <si>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</si>
  <si>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</si>
  <si>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</si>
  <si>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</si>
  <si>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</si>
  <si>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</si>
  <si>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</si>
  <si>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</si>
  <si>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</si>
  <si>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</si>
  <si>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</si>
  <si>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</si>
  <si>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</si>
  <si>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</si>
  <si>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</si>
  <si>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</si>
  <si>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</si>
  <si>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</si>
  <si>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</si>
  <si>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</si>
  <si>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</si>
  <si>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</si>
  <si>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</si>
  <si>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</si>
  <si>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</si>
  <si>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</si>
  <si>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</si>
  <si>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</si>
  <si>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</si>
  <si>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</si>
  <si>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</si>
  <si>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</si>
  <si>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</si>
  <si>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</si>
  <si>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</si>
  <si>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</si>
  <si>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</si>
  <si>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</si>
  <si>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</si>
  <si>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</si>
  <si>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</si>
  <si>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</si>
  <si>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</si>
  <si>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</si>
  <si>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</si>
  <si>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</si>
  <si>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</si>
  <si>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</si>
  <si>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</si>
  <si>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</si>
  <si>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</si>
  <si>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</si>
  <si>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</si>
  <si>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</si>
  <si>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</si>
  <si>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</si>
  <si>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</si>
  <si>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</si>
  <si>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</si>
  <si>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</si>
  <si>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</si>
  <si>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</si>
  <si>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</si>
  <si>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</si>
  <si>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</si>
  <si>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</si>
  <si>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</si>
  <si>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</si>
  <si>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</si>
  <si>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</si>
  <si>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</si>
  <si>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</si>
  <si>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</si>
  <si>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</si>
  <si>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</si>
  <si>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</si>
  <si>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</si>
  <si>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</si>
  <si>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</si>
  <si>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</si>
  <si>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</si>
  <si>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</si>
  <si>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</si>
  <si>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</si>
  <si>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</si>
  <si>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</si>
  <si>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</si>
  <si>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</si>
  <si>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</si>
  <si>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</si>
  <si>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</si>
  <si>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</si>
  <si>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</si>
  <si>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</si>
  <si>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</si>
  <si>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</si>
  <si>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</si>
  <si>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</si>
  <si>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</si>
  <si>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</si>
  <si>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</si>
  <si>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</si>
  <si>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</si>
  <si>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</si>
  <si>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</si>
  <si>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</si>
  <si>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</si>
  <si>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</si>
  <si>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</si>
  <si>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</si>
  <si>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</si>
  <si>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</si>
  <si>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</si>
  <si>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</si>
  <si>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</si>
  <si>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</si>
  <si>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</si>
  <si>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</si>
  <si>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</si>
  <si>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</si>
  <si>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</si>
  <si>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</si>
  <si>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</si>
  <si>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</si>
  <si>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</si>
  <si>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</si>
  <si>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</si>
  <si>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</si>
  <si>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</si>
  <si>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</si>
  <si>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</si>
  <si>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</si>
  <si>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</si>
  <si>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</si>
  <si>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</si>
  <si>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</si>
  <si>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</si>
  <si>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</si>
  <si>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</si>
  <si>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</si>
  <si>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</si>
  <si>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</si>
  <si>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</si>
  <si>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</si>
  <si>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</si>
  <si>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</si>
  <si>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</si>
  <si>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</si>
  <si>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</si>
  <si>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</si>
  <si>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</si>
  <si>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</si>
  <si>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</si>
  <si>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</si>
  <si>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</si>
  <si>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</si>
  <si>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</si>
  <si>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</si>
  <si>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</si>
  <si>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</si>
  <si>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</si>
  <si>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</si>
  <si>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</si>
  <si>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</si>
  <si>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</si>
  <si>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</si>
  <si>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</si>
  <si>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</si>
  <si>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</si>
  <si>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</si>
  <si>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</si>
  <si>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</si>
  <si>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</si>
  <si>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</si>
  <si>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</si>
  <si>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</si>
  <si>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</si>
  <si>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</si>
  <si>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</si>
  <si>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</si>
  <si>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</si>
  <si>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</si>
  <si>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</si>
  <si>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</si>
  <si>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</si>
  <si>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</si>
  <si>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</si>
  <si>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</si>
  <si>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</si>
  <si>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</si>
  <si>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</si>
  <si>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</si>
  <si>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</si>
  <si>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</si>
  <si>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</si>
  <si>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</si>
  <si>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</si>
  <si>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</si>
  <si>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</si>
  <si>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</si>
  <si>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</si>
  <si>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</si>
  <si>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</si>
  <si>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</si>
  <si>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</si>
  <si>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</si>
  <si>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</si>
  <si>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</si>
  <si>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</si>
  <si>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</si>
  <si>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</si>
  <si>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</si>
  <si>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</si>
  <si>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</si>
  <si>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</si>
  <si>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</si>
  <si>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</si>
  <si>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</si>
  <si>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</si>
  <si>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</si>
  <si>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</si>
  <si>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</si>
  <si>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</si>
  <si>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</si>
  <si>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</si>
  <si>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</si>
  <si>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</si>
  <si>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</si>
  <si>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</si>
  <si>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</si>
  <si>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</si>
  <si>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</si>
  <si>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</si>
  <si>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</si>
  <si>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</si>
  <si>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</si>
  <si>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</si>
  <si>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</si>
  <si>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</si>
  <si>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</si>
  <si>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</si>
  <si>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</si>
  <si>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</si>
  <si>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</si>
  <si>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</si>
  <si>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</si>
  <si>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</si>
  <si>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</si>
  <si>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</si>
  <si>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</si>
  <si>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</si>
  <si>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</si>
  <si>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</si>
  <si>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</si>
  <si>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</si>
  <si>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</si>
  <si>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</si>
  <si>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</si>
  <si>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</si>
  <si>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</si>
  <si>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</si>
  <si>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</si>
  <si>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</si>
  <si>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</si>
  <si>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</si>
  <si>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</si>
  <si>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</si>
  <si>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</si>
  <si>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</si>
  <si>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</si>
  <si>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</si>
  <si>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</si>
  <si>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</si>
  <si>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</si>
  <si>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</si>
  <si>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</si>
  <si>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</si>
  <si>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</si>
  <si>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</si>
  <si>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</si>
  <si>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</si>
  <si>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</si>
  <si>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</si>
  <si>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</si>
  <si>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</si>
  <si>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</si>
  <si>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</si>
  <si>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</si>
  <si>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</si>
  <si>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</si>
  <si>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</si>
  <si>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</si>
  <si>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</si>
  <si>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</si>
  <si>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</si>
  <si>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</si>
  <si>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</si>
  <si>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</si>
  <si>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</si>
  <si>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</si>
  <si>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</si>
  <si>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</si>
  <si>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</si>
  <si>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</si>
  <si>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</si>
  <si>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</si>
  <si>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</si>
  <si>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</si>
  <si>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</si>
  <si>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</si>
  <si>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</si>
  <si>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</si>
  <si>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</si>
  <si>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</si>
  <si>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</si>
  <si>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</si>
  <si>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</si>
  <si>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</si>
  <si>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</si>
  <si>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</si>
  <si>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</si>
  <si>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</si>
  <si>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</si>
  <si>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</si>
  <si>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</si>
  <si>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</si>
  <si>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</si>
  <si>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</si>
  <si>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</si>
  <si>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</si>
  <si>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</si>
  <si>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</si>
  <si>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</si>
  <si>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</si>
  <si>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</si>
  <si>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</si>
  <si>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</si>
  <si>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</si>
  <si>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</si>
  <si>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</si>
  <si>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</si>
  <si>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</si>
  <si>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</si>
  <si>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</si>
  <si>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</si>
  <si>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</si>
  <si>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</si>
  <si>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</si>
  <si>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</si>
  <si>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</si>
  <si>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</si>
  <si>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</si>
  <si>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</si>
  <si>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</si>
  <si>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</si>
  <si>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</si>
  <si>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</si>
  <si>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</si>
  <si>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</si>
  <si>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</si>
  <si>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</si>
  <si>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</si>
  <si>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</si>
  <si>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</si>
  <si>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</si>
  <si>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</si>
  <si>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</si>
  <si>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</si>
  <si>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</si>
  <si>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</si>
  <si>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</si>
  <si>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</si>
  <si>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</si>
  <si>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</si>
  <si>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</si>
  <si>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</si>
  <si>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</si>
  <si>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</si>
  <si>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</si>
  <si>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</si>
  <si>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</si>
  <si>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</si>
  <si>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</si>
  <si>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</si>
  <si>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</si>
  <si>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</si>
  <si>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</si>
  <si>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</si>
  <si>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</si>
  <si>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</si>
  <si>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</si>
  <si>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</si>
  <si>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</si>
  <si>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</si>
  <si>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</si>
  <si>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</si>
  <si>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</si>
  <si>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</si>
  <si>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</si>
  <si>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</si>
  <si>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</si>
  <si>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</si>
  <si>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</si>
  <si>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</si>
  <si>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</si>
  <si>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</si>
  <si>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</si>
  <si>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</si>
  <si>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</si>
  <si>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</si>
  <si>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</si>
  <si>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</si>
  <si>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</si>
  <si>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</si>
  <si>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</si>
  <si>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</si>
  <si>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</si>
  <si>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</si>
  <si>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</si>
  <si>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</si>
  <si>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</si>
  <si>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</si>
  <si>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</si>
  <si>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</si>
  <si>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</si>
  <si>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</si>
  <si>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</si>
  <si>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</si>
  <si>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</si>
  <si>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</si>
  <si>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</si>
  <si>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</si>
  <si>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</si>
  <si>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</si>
  <si>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</si>
  <si>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</si>
  <si>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</si>
  <si>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</si>
  <si>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</si>
  <si>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</si>
  <si>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</si>
  <si>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</si>
  <si>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</si>
  <si>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</si>
  <si>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</si>
  <si>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</si>
  <si>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</si>
  <si>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</si>
  <si>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</si>
  <si>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</si>
  <si>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</si>
  <si>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</si>
  <si>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</si>
  <si>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</si>
  <si>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</si>
  <si>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</si>
  <si>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</si>
  <si>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</si>
  <si>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</si>
  <si>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</si>
  <si>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</si>
  <si>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</si>
  <si>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</si>
  <si>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</si>
  <si>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</si>
  <si>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</si>
  <si>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</si>
  <si>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</si>
  <si>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</si>
  <si>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</si>
  <si>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</si>
  <si>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</si>
  <si>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</si>
  <si>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</si>
  <si>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</si>
  <si>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</si>
  <si>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</si>
  <si>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</si>
  <si>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</si>
  <si>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</si>
  <si>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</si>
  <si>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</si>
  <si>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</si>
  <si>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</si>
  <si>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</si>
  <si>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</si>
  <si>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</si>
  <si>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</si>
  <si>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</si>
  <si>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</si>
  <si>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</si>
  <si>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</si>
  <si>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</si>
  <si>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</si>
  <si>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</si>
  <si>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</si>
  <si>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</si>
  <si>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</si>
  <si>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</si>
  <si>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</si>
  <si>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</si>
  <si>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</si>
  <si>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</si>
  <si>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</si>
  <si>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</si>
  <si>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</si>
  <si>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</si>
  <si>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</si>
  <si>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</si>
  <si>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</si>
  <si>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</si>
  <si>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</si>
  <si>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</si>
  <si>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</si>
  <si>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</si>
  <si>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</si>
  <si>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</si>
  <si>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</si>
  <si>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</si>
  <si>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</si>
  <si>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</si>
  <si>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</si>
  <si>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</si>
  <si>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</si>
  <si>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</si>
  <si>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</si>
  <si>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</si>
  <si>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</si>
  <si>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</si>
  <si>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</si>
  <si>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</si>
  <si>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</si>
  <si>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</si>
  <si>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</si>
  <si>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</si>
  <si>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</si>
  <si>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</si>
  <si>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</si>
  <si>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</si>
  <si>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</si>
  <si>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</si>
  <si>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</si>
  <si>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</si>
  <si>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</si>
  <si>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</si>
  <si>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</si>
  <si>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</si>
  <si>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</si>
  <si>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</si>
  <si>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</si>
  <si>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</si>
  <si>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</si>
  <si>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</si>
  <si>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</si>
  <si>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</si>
  <si>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</si>
  <si>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</si>
  <si>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</si>
  <si>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</si>
  <si>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</si>
  <si>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</si>
  <si>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</si>
  <si>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</si>
  <si>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</si>
  <si>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</si>
  <si>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</si>
  <si>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</si>
  <si>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</si>
  <si>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</si>
  <si>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</si>
  <si>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</si>
  <si>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</si>
  <si>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</si>
  <si>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</si>
  <si>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</si>
  <si>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</si>
  <si>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</si>
  <si>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</si>
  <si>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</si>
  <si>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</si>
  <si>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</si>
  <si>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</si>
  <si>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</si>
  <si>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</si>
  <si>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</si>
  <si>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</si>
  <si>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</si>
  <si>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</si>
  <si>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</si>
  <si>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</si>
  <si>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</si>
  <si>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</si>
  <si>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</si>
  <si>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</si>
  <si>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</si>
  <si>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</si>
  <si>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</si>
  <si>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</si>
  <si>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</si>
  <si>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</si>
  <si>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</si>
  <si>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</si>
  <si>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</si>
  <si>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</si>
  <si>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</si>
  <si>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</si>
  <si>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</si>
  <si>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</si>
  <si>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</si>
  <si>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</si>
  <si>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</si>
  <si>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</si>
  <si>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</si>
  <si>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</si>
  <si>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</si>
  <si>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</si>
  <si>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</si>
  <si>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</si>
  <si>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</si>
  <si>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</si>
  <si>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</si>
  <si>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</si>
  <si>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</si>
  <si>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</si>
  <si>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</si>
  <si>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</si>
  <si>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</si>
  <si>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</si>
  <si>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</si>
  <si>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</si>
  <si>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</si>
  <si>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</si>
  <si>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</si>
  <si>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</si>
  <si>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</si>
  <si>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</si>
  <si>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</si>
  <si>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</si>
  <si>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</si>
  <si>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</si>
  <si>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</si>
  <si>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</si>
  <si>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</si>
  <si>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</si>
  <si>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</si>
  <si>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</si>
  <si>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</si>
  <si>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</si>
  <si>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</si>
  <si>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</si>
  <si>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</si>
  <si>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</si>
  <si>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</si>
  <si>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</si>
  <si>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</si>
  <si>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</si>
  <si>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</si>
  <si>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</si>
  <si>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</si>
  <si>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</si>
  <si>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</si>
  <si>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</si>
  <si>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</si>
  <si>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</si>
  <si>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</si>
  <si>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</si>
  <si>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</si>
  <si>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</si>
  <si>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</si>
  <si>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</si>
  <si>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</si>
  <si>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</si>
  <si>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</si>
  <si>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</si>
  <si>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</si>
  <si>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</si>
  <si>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</si>
  <si>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</si>
  <si>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</si>
  <si>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</si>
  <si>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</si>
  <si>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</si>
  <si>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</si>
  <si>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</si>
  <si>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</si>
  <si>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</si>
  <si>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</si>
  <si>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</si>
  <si>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</si>
  <si>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</si>
  <si>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</si>
  <si>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</si>
  <si>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</si>
  <si>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</si>
  <si>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</si>
  <si>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</si>
  <si>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</si>
  <si>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</si>
  <si>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</si>
  <si>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</si>
  <si>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</si>
  <si>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</si>
  <si>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</si>
  <si>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</si>
  <si>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</si>
  <si>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</si>
  <si>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</si>
  <si>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</si>
  <si>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</si>
  <si>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</si>
  <si>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</si>
  <si>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</si>
  <si>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</si>
  <si>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</si>
  <si>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</si>
  <si>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</si>
  <si>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</si>
  <si>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</si>
  <si>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</si>
  <si>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</si>
  <si>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</si>
  <si>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</si>
  <si>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</si>
  <si>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</si>
  <si>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</si>
  <si>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</si>
  <si>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</si>
  <si>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</si>
  <si>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</si>
  <si>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</si>
  <si>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</si>
  <si>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</si>
  <si>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</si>
  <si>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</si>
  <si>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</si>
  <si>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</si>
  <si>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</si>
  <si>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</si>
  <si>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</si>
  <si>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</si>
  <si>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</si>
  <si>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</si>
  <si>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</si>
  <si>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</si>
  <si>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</si>
  <si>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</si>
  <si>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</si>
  <si>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</si>
  <si>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</si>
  <si>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</si>
  <si>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</si>
  <si>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</si>
  <si>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</si>
  <si>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</si>
  <si>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</si>
  <si>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</si>
  <si>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</si>
  <si>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</si>
  <si>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</si>
  <si>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</si>
  <si>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</si>
  <si>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</si>
  <si>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</si>
  <si>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</si>
  <si>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</si>
  <si>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</si>
  <si>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</si>
  <si>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</si>
  <si>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</si>
  <si>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</si>
  <si>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</si>
  <si>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</si>
  <si>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</si>
  <si>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</si>
  <si>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</si>
  <si>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</si>
  <si>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</si>
  <si>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</si>
  <si>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</si>
  <si>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</si>
  <si>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</si>
  <si>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</si>
  <si>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</si>
  <si>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</si>
  <si>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</si>
  <si>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</si>
  <si>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</si>
  <si>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</si>
  <si>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</si>
  <si>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</si>
  <si>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</si>
  <si>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</si>
  <si>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</si>
  <si>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</si>
  <si>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</si>
  <si>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</si>
  <si>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</si>
  <si>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</si>
  <si>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</si>
  <si>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</si>
  <si>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</si>
  <si>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</si>
  <si>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</si>
  <si>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</si>
  <si>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</si>
  <si>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</si>
  <si>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</si>
  <si>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</si>
  <si>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</si>
  <si>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</si>
  <si>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</si>
  <si>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</si>
  <si>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</si>
  <si>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</si>
  <si>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</si>
  <si>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</si>
  <si>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</si>
  <si>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</si>
  <si>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</si>
  <si>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</si>
  <si>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</si>
  <si>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</si>
  <si>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</si>
  <si>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</si>
  <si>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</si>
  <si>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</si>
  <si>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</si>
  <si>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</si>
  <si>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</si>
  <si>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</si>
  <si>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</si>
  <si>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</si>
  <si>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</si>
  <si>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</si>
  <si>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</si>
  <si>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</si>
  <si>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</si>
  <si>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</si>
  <si>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</si>
  <si>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</si>
  <si>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</si>
  <si>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</si>
  <si>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</si>
  <si>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</si>
  <si>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</si>
  <si>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</si>
  <si>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</si>
  <si>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</si>
  <si>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</si>
  <si>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</si>
  <si>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</si>
  <si>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</si>
  <si>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</si>
  <si>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</si>
  <si>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</si>
  <si>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</si>
  <si>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</si>
  <si>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</si>
  <si>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</si>
  <si>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</si>
  <si>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</si>
  <si>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</si>
  <si>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</si>
  <si>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</si>
  <si>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</si>
  <si>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</si>
  <si>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</si>
  <si>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</si>
  <si>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</si>
  <si>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</si>
  <si>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</si>
  <si>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</si>
  <si>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</si>
  <si>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</si>
  <si>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</si>
  <si>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</si>
  <si>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</si>
  <si>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</si>
  <si>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</si>
  <si>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</si>
  <si>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</si>
  <si>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</si>
  <si>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</si>
  <si>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</si>
  <si>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</si>
  <si>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</si>
  <si>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</si>
  <si>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</si>
  <si>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</si>
  <si>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</si>
  <si>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</si>
  <si>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</si>
  <si>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</si>
  <si>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</si>
  <si>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</si>
  <si>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</si>
  <si>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</si>
  <si>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</si>
  <si>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</si>
  <si>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</si>
  <si>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</si>
  <si>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</si>
  <si>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</si>
  <si>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</si>
  <si>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</si>
  <si>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</si>
  <si>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</si>
  <si>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</si>
  <si>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</si>
  <si>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</si>
  <si>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</si>
  <si>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</si>
  <si>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</si>
  <si>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</si>
  <si>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</si>
  <si>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</si>
  <si>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</si>
  <si>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</si>
  <si>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</si>
  <si>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</si>
  <si>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</si>
  <si>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</si>
  <si>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</si>
  <si>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</si>
  <si>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</si>
  <si>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</si>
  <si>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</si>
  <si>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</si>
  <si>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</si>
  <si>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</si>
  <si>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</si>
  <si>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</si>
  <si>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</si>
  <si>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</si>
  <si>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</si>
  <si>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</si>
  <si>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</si>
  <si>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</si>
  <si>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</si>
  <si>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</si>
  <si>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</si>
  <si>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</si>
  <si>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</si>
  <si>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</si>
  <si>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</si>
  <si>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</si>
  <si>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</si>
  <si>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</si>
  <si>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</si>
  <si>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</si>
  <si>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</si>
  <si>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</si>
  <si>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</si>
  <si>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</si>
  <si>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</si>
  <si>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</si>
  <si>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</si>
  <si>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</si>
  <si>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</si>
  <si>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</si>
  <si>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</si>
  <si>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</si>
  <si>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</si>
  <si>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</si>
  <si>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</si>
  <si>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</si>
  <si>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</si>
  <si>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</si>
  <si>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</si>
  <si>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</si>
  <si>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</si>
  <si>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</si>
  <si>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</si>
  <si>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</si>
  <si>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</si>
  <si>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</si>
  <si>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</si>
  <si>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</si>
  <si>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</si>
  <si>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</si>
  <si>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</si>
  <si>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</si>
  <si>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</si>
  <si>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</si>
  <si>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</si>
  <si>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</si>
  <si>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</si>
  <si>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</si>
  <si>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</si>
  <si>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</si>
  <si>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</si>
  <si>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</si>
  <si>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</si>
  <si>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</si>
  <si>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</si>
  <si>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</si>
  <si>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</si>
  <si>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</si>
  <si>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</si>
  <si>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</si>
  <si>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</si>
  <si>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</si>
  <si>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</si>
  <si>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</si>
  <si>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</si>
  <si>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</si>
  <si>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</si>
  <si>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</si>
  <si>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</si>
  <si>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</si>
  <si>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</si>
  <si>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</si>
  <si>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</si>
  <si>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</si>
  <si>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</si>
  <si>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</si>
  <si>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</si>
  <si>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</si>
  <si>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</si>
  <si>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</si>
  <si>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</si>
  <si>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</si>
  <si>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</si>
  <si>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</si>
  <si>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</si>
  <si>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</si>
  <si>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</si>
  <si>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</si>
  <si>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</si>
  <si>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</si>
  <si>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</si>
  <si>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</si>
  <si>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</si>
  <si>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</si>
  <si>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</si>
  <si>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</si>
  <si>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</si>
  <si>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</si>
  <si>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</si>
  <si>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</si>
  <si>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</si>
  <si>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</si>
  <si>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</si>
  <si>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</si>
  <si>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</si>
  <si>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</si>
  <si>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</si>
  <si>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</si>
  <si>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</si>
  <si>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</si>
  <si>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</si>
  <si>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</si>
  <si>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</si>
  <si>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</si>
  <si>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</si>
  <si>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</si>
  <si>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</si>
  <si>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</si>
  <si>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</si>
  <si>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</si>
  <si>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</si>
  <si>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</si>
  <si>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</si>
  <si>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</si>
  <si>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</si>
  <si>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</si>
  <si>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</si>
  <si>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</si>
  <si>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</si>
  <si>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</si>
  <si>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</si>
  <si>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</si>
  <si>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</si>
  <si>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</si>
  <si>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</si>
  <si>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</si>
  <si>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</si>
  <si>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</si>
  <si>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</si>
  <si>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</si>
  <si>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</si>
  <si>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</si>
  <si>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</si>
  <si>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</si>
  <si>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</si>
  <si>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</si>
  <si>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</si>
  <si>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</si>
  <si>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</si>
  <si>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</si>
  <si>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</si>
  <si>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</si>
  <si>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</si>
  <si>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</si>
  <si>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</si>
  <si>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</si>
  <si>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</si>
  <si>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</si>
  <si>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</si>
  <si>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</si>
  <si>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</si>
  <si>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</si>
  <si>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</si>
  <si>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</si>
  <si>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</si>
  <si>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</si>
  <si>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</si>
  <si>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</si>
  <si>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</si>
  <si>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</si>
  <si>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</si>
  <si>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</si>
  <si>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</si>
  <si>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</si>
  <si>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</si>
  <si>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</si>
  <si>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</si>
  <si>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</si>
  <si>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</si>
  <si>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</si>
  <si>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</si>
  <si>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</si>
  <si>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</si>
  <si>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</si>
  <si>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</si>
  <si>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</si>
  <si>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</si>
  <si>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</si>
  <si>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</si>
  <si>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</si>
  <si>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</si>
  <si>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</si>
  <si>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</si>
  <si>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</si>
  <si>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</si>
  <si>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</si>
  <si>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</si>
  <si>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</si>
  <si>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</si>
  <si>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</si>
  <si>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</si>
  <si>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</si>
  <si>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</si>
  <si>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</si>
  <si>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</si>
  <si>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</si>
  <si>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</si>
  <si>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</si>
  <si>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</si>
  <si>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</si>
  <si>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</si>
  <si>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</si>
  <si>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</si>
  <si>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</si>
  <si>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</si>
  <si>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</si>
  <si>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</si>
  <si>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</si>
  <si>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</si>
  <si>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</si>
  <si>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</si>
  <si>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</si>
  <si>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</si>
  <si>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</si>
  <si>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</si>
  <si>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</si>
  <si>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</si>
  <si>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</si>
  <si>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</si>
  <si>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</si>
  <si>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</si>
  <si>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</si>
  <si>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</si>
  <si>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</si>
  <si>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</si>
  <si>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</si>
  <si>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</si>
  <si>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</si>
  <si>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</si>
  <si>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</si>
  <si>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</si>
  <si>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</si>
  <si>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</si>
  <si>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</si>
  <si>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</si>
  <si>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</si>
  <si>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</si>
  <si>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</si>
  <si>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</si>
  <si>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</si>
  <si>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</si>
  <si>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</si>
  <si>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</si>
  <si>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</si>
  <si>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</si>
  <si>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</si>
  <si>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</si>
  <si>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</si>
  <si>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</si>
  <si>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</si>
  <si>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</si>
  <si>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</si>
  <si>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</si>
  <si>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</si>
  <si>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</si>
  <si>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</si>
  <si>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</si>
  <si>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</si>
  <si>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</si>
  <si>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</si>
  <si>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</si>
  <si>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</si>
  <si>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</si>
  <si>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</si>
  <si>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</si>
  <si>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</si>
  <si>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</si>
  <si>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</si>
  <si>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</si>
  <si>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</si>
  <si>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</si>
  <si>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</si>
  <si>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</si>
  <si>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</si>
  <si>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</si>
  <si>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</si>
  <si>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</si>
  <si>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</si>
  <si>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</si>
  <si>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</si>
  <si>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</si>
  <si>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</si>
  <si>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</si>
  <si>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</si>
  <si>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</si>
  <si>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</si>
  <si>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</si>
  <si>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</si>
  <si>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</si>
  <si>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</si>
  <si>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</si>
  <si>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</si>
  <si>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</si>
  <si>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</si>
  <si>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</si>
  <si>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</si>
  <si>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</si>
  <si>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</si>
  <si>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</si>
  <si>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</si>
  <si>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</si>
  <si>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</si>
  <si>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</si>
  <si>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</si>
  <si>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</si>
  <si>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</si>
  <si>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</si>
  <si>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</si>
  <si>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</si>
  <si>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</si>
  <si>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</si>
  <si>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</si>
  <si>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</si>
  <si>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</si>
  <si>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</si>
  <si>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</si>
  <si>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</si>
  <si>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</si>
  <si>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</si>
  <si>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</si>
  <si>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</si>
  <si>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</si>
  <si>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</si>
  <si>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</si>
  <si>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</si>
  <si>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</si>
  <si>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</si>
  <si>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</si>
  <si>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</si>
  <si>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</si>
  <si>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</si>
  <si>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</si>
  <si>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</si>
  <si>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</si>
  <si>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</si>
  <si>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</si>
  <si>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</si>
  <si>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</si>
  <si>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</si>
  <si>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</si>
  <si>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</si>
  <si>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</si>
  <si>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</si>
  <si>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</si>
  <si>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</si>
  <si>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</si>
  <si>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</si>
  <si>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</si>
  <si>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</si>
  <si>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</si>
  <si>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</si>
  <si>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</si>
  <si>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</si>
  <si>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</si>
  <si>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</si>
  <si>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</si>
  <si>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</si>
  <si>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</si>
  <si>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</si>
  <si>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</si>
  <si>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</si>
  <si>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</si>
  <si>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</si>
  <si>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</si>
  <si>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</si>
  <si>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</si>
  <si>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</si>
  <si>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</si>
  <si>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</si>
  <si>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</si>
  <si>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</si>
  <si>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</si>
  <si>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</si>
  <si>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</si>
  <si>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</si>
  <si>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</si>
  <si>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</si>
  <si>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</si>
  <si>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</si>
  <si>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</si>
  <si>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</si>
  <si>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</si>
  <si>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</si>
  <si>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</si>
  <si>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</si>
  <si>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</si>
  <si>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</si>
  <si>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</si>
  <si>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</si>
  <si>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</si>
  <si>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</si>
  <si>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</si>
  <si>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</si>
  <si>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</si>
  <si>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</si>
  <si>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</si>
  <si>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</si>
  <si>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</si>
  <si>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</si>
  <si>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</si>
  <si>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</si>
  <si>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</si>
  <si>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</si>
  <si>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</si>
  <si>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</si>
  <si>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</si>
  <si>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</si>
  <si>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</si>
  <si>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</si>
  <si>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</si>
  <si>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</si>
  <si>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</si>
  <si>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</si>
  <si>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</si>
  <si>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</si>
  <si>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</si>
  <si>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</si>
  <si>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</si>
  <si>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</si>
  <si>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</si>
  <si>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</si>
  <si>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</si>
  <si>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</si>
  <si>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</si>
  <si>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</si>
  <si>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</si>
  <si>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</si>
  <si>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</si>
  <si>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</si>
  <si>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</si>
  <si>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</si>
  <si>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</si>
  <si>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</si>
  <si>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</si>
  <si>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</si>
  <si>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</si>
  <si>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</si>
  <si>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</si>
  <si>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</si>
  <si>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</si>
  <si>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</si>
  <si>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</si>
  <si>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</si>
  <si>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</si>
  <si>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</si>
  <si>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</si>
  <si>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</si>
  <si>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</si>
  <si>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</si>
  <si>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</si>
  <si>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</si>
  <si>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</si>
  <si>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</si>
  <si>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</si>
  <si>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</si>
  <si>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</si>
  <si>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</si>
  <si>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</si>
  <si>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</si>
  <si>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</si>
  <si>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</si>
  <si>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</si>
  <si>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</si>
  <si>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</si>
  <si>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</si>
  <si>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</si>
  <si>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</si>
  <si>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</si>
  <si>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</si>
  <si>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</si>
  <si>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</si>
  <si>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</si>
  <si>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</si>
  <si>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</si>
  <si>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</si>
  <si>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</si>
  <si>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</si>
  <si>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</si>
  <si>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</si>
  <si>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</si>
  <si>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</si>
  <si>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</si>
  <si>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</si>
  <si>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</si>
  <si>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</si>
  <si>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</si>
  <si>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</si>
  <si>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</si>
  <si>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</si>
  <si>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</si>
  <si>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</si>
  <si>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</si>
  <si>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</si>
  <si>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</si>
  <si>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</si>
  <si>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</si>
  <si>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</si>
  <si>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</si>
  <si>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</si>
  <si>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</si>
  <si>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</si>
  <si>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</si>
  <si>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</si>
  <si>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</si>
  <si>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</si>
  <si>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</si>
  <si>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</si>
  <si>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</si>
  <si>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</si>
  <si>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</si>
  <si>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</si>
  <si>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</si>
  <si>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</si>
  <si>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</si>
  <si>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</si>
  <si>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</si>
  <si>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</si>
  <si>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</si>
  <si>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</si>
  <si>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</si>
  <si>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</si>
  <si>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</si>
  <si>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</si>
  <si>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</si>
  <si>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</si>
  <si>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</si>
  <si>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</si>
  <si>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</si>
  <si>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</si>
  <si>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</si>
  <si>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</si>
  <si>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</si>
  <si>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</si>
  <si>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</si>
  <si>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</si>
  <si>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</si>
  <si>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</si>
  <si>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</si>
  <si>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</si>
  <si>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</si>
  <si>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</si>
  <si>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</si>
  <si>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</si>
  <si>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</si>
  <si>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</si>
  <si>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</si>
  <si>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</si>
  <si>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</si>
  <si>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</si>
  <si>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</si>
  <si>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</si>
  <si>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</si>
  <si>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</si>
  <si>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</si>
  <si>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</si>
  <si>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</si>
  <si>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</si>
  <si>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</si>
  <si>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</si>
  <si>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</si>
  <si>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</si>
  <si>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</si>
  <si>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</si>
  <si>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</si>
  <si>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</si>
  <si>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</si>
  <si>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</si>
  <si>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</si>
  <si>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</si>
  <si>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</si>
  <si>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</si>
  <si>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</si>
  <si>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</si>
  <si>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</si>
  <si>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</si>
  <si>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</si>
  <si>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</si>
  <si>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</si>
  <si>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</si>
  <si>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</si>
  <si>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</si>
  <si>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</si>
  <si>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</si>
  <si>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</si>
  <si>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</si>
  <si>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</si>
  <si>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</si>
  <si>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</si>
  <si>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</si>
  <si>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</si>
  <si>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</si>
  <si>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</si>
  <si>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</si>
  <si>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</si>
  <si>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</si>
  <si>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</si>
  <si>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</si>
  <si>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</si>
  <si>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</si>
  <si>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</si>
  <si>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</si>
  <si>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</si>
  <si>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</si>
  <si>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</si>
  <si>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</si>
  <si>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</si>
  <si>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</si>
  <si>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</si>
  <si>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</si>
  <si>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</si>
  <si>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</si>
  <si>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</si>
  <si>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</si>
  <si>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</si>
  <si>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</si>
  <si>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</si>
  <si>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</si>
  <si>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</si>
  <si>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</si>
  <si>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</si>
  <si>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</si>
  <si>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</si>
  <si>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</si>
  <si>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</si>
  <si>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</si>
  <si>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</si>
  <si>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</si>
  <si>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</si>
  <si>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</si>
  <si>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</si>
  <si>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</si>
  <si>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</si>
  <si>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</si>
  <si>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</si>
  <si>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</si>
  <si>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</si>
  <si>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</si>
  <si>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</si>
  <si>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</si>
  <si>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</si>
  <si>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</si>
  <si>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</si>
  <si>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</si>
  <si>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</si>
  <si>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</si>
  <si>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</si>
  <si>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</si>
  <si>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</si>
  <si>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</si>
  <si>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</si>
  <si>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</si>
  <si>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</si>
  <si>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</si>
  <si>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</si>
  <si>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</si>
  <si>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</si>
  <si>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</si>
  <si>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</si>
  <si>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</si>
  <si>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</si>
  <si>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</si>
  <si>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</si>
  <si>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</si>
  <si>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</si>
  <si>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</si>
  <si>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</si>
  <si>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</si>
  <si>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</si>
  <si>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</si>
  <si>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</si>
  <si>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</si>
  <si>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</si>
  <si>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</si>
  <si>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</si>
  <si>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</si>
  <si>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</si>
  <si>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</si>
  <si>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</si>
  <si>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</si>
  <si>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</si>
  <si>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</si>
  <si>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</si>
  <si>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</si>
  <si>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</si>
  <si>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</si>
  <si>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</si>
  <si>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</si>
  <si>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</si>
  <si>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</si>
  <si>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</si>
  <si>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</si>
  <si>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</si>
  <si>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</si>
  <si>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</si>
  <si>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</si>
  <si>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</si>
  <si>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</si>
  <si>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</si>
  <si>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</si>
  <si>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</si>
  <si>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</si>
  <si>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</si>
  <si>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</si>
  <si>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</si>
  <si>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</si>
  <si>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</si>
  <si>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</si>
  <si>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</si>
  <si>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</si>
  <si>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</si>
  <si>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</si>
  <si>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</si>
  <si>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</si>
  <si>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</si>
  <si>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</si>
  <si>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</si>
  <si>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</si>
  <si>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</si>
  <si>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</si>
  <si>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</si>
  <si>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</si>
  <si>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</si>
  <si>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</si>
  <si>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</si>
  <si>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</si>
  <si>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</si>
  <si>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</si>
  <si>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</si>
  <si>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</si>
  <si>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</si>
  <si>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</si>
  <si>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</si>
  <si>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</si>
  <si>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</si>
  <si>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</si>
  <si>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</si>
  <si>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</si>
  <si>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</si>
  <si>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</si>
  <si>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</si>
  <si>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</si>
  <si>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</si>
  <si>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</si>
  <si>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</si>
  <si>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</si>
  <si>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</si>
  <si>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</si>
  <si>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</si>
  <si>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</si>
  <si>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</si>
  <si>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</si>
  <si>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</si>
  <si>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</si>
  <si>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</si>
  <si>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</si>
  <si>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</si>
  <si>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</si>
  <si>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</si>
  <si>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</si>
  <si>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</si>
  <si>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</si>
  <si>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</si>
  <si>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</si>
  <si>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</si>
  <si>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</si>
  <si>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</si>
  <si>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</si>
  <si>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</si>
  <si>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</si>
  <si>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</si>
  <si>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</si>
  <si>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</si>
  <si>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</si>
  <si>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</si>
  <si>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</si>
  <si>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</si>
  <si>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</si>
  <si>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</si>
  <si>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</si>
  <si>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</si>
  <si>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</si>
  <si>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</si>
  <si>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</si>
  <si>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</si>
  <si>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</si>
  <si>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</si>
  <si>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</si>
  <si>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</si>
  <si>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</si>
  <si>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</si>
  <si>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</si>
  <si>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</si>
  <si>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</si>
  <si>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</si>
  <si>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</si>
  <si>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</si>
  <si>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</si>
  <si>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</si>
  <si>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</si>
  <si>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</si>
  <si>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</si>
  <si>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</si>
  <si>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</si>
  <si>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</si>
  <si>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</si>
  <si>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</si>
  <si>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</si>
  <si>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</si>
  <si>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</si>
  <si>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</si>
  <si>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</si>
  <si>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</si>
  <si>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</si>
  <si>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</si>
  <si>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</si>
  <si>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</si>
  <si>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</si>
  <si>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</si>
  <si>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</si>
  <si>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</si>
  <si>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</si>
  <si>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</si>
  <si>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</si>
  <si>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</si>
  <si>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</si>
  <si>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</si>
  <si>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</si>
  <si>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</si>
  <si>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</si>
  <si>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</si>
  <si>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</si>
  <si>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</si>
  <si>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</si>
  <si>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</si>
  <si>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</si>
  <si>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</si>
  <si>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</si>
  <si>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</si>
  <si>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</si>
  <si>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</si>
  <si>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</si>
  <si>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</si>
  <si>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</si>
  <si>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</si>
  <si>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</si>
  <si>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</si>
  <si>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</si>
  <si>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</si>
  <si>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</si>
  <si>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</si>
  <si>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</si>
  <si>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</si>
  <si>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</si>
  <si>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</si>
  <si>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</si>
  <si>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</si>
  <si>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</si>
  <si>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</si>
  <si>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</si>
  <si>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</si>
  <si>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</si>
  <si>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</si>
  <si>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</si>
  <si>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</si>
  <si>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</si>
  <si>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</si>
  <si>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</si>
  <si>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</si>
  <si>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</si>
  <si>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</si>
  <si>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</si>
  <si>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</si>
  <si>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</si>
  <si>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</si>
  <si>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</si>
  <si>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</si>
  <si>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</si>
  <si>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</si>
  <si>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</si>
  <si>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</si>
  <si>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</si>
  <si>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</si>
  <si>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</si>
  <si>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</si>
  <si>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</si>
  <si>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</si>
  <si>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</si>
  <si>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</si>
  <si>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</si>
  <si>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</si>
  <si>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</si>
  <si>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</si>
  <si>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</si>
  <si>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</si>
  <si>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</si>
  <si>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</si>
  <si>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</si>
  <si>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</si>
  <si>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</si>
  <si>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</si>
  <si>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</si>
  <si>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</si>
  <si>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</si>
  <si>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</si>
  <si>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</si>
  <si>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</si>
  <si>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</si>
  <si>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</si>
  <si>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</si>
  <si>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</si>
  <si>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</si>
  <si>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</si>
  <si>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</si>
  <si>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</si>
  <si>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</si>
  <si>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</si>
  <si>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</si>
  <si>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</si>
  <si>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</si>
  <si>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</si>
  <si>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</si>
  <si>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</si>
  <si>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</si>
  <si>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</si>
  <si>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</si>
  <si>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</si>
  <si>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</si>
  <si>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</si>
  <si>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</si>
  <si>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</si>
  <si>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</si>
  <si>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</si>
  <si>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</si>
  <si>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</si>
  <si>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</si>
  <si>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</si>
  <si>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</si>
  <si>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</si>
  <si>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</si>
  <si>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</si>
  <si>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</si>
  <si>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</si>
  <si>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</si>
  <si>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</si>
  <si>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</si>
  <si>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</si>
  <si>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</si>
  <si>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</si>
  <si>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</si>
  <si>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</si>
  <si>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</si>
  <si>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</si>
  <si>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</si>
  <si>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</si>
  <si>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</si>
  <si>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</si>
  <si>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</si>
  <si>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</si>
  <si>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</si>
  <si>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</si>
  <si>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</si>
  <si>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</si>
  <si>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</si>
  <si>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</si>
  <si>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</si>
  <si>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</si>
  <si>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</si>
  <si>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</si>
  <si>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</si>
  <si>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</si>
  <si>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</si>
  <si>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</si>
  <si>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</si>
  <si>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</si>
  <si>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</si>
  <si>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</si>
  <si>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</si>
  <si>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</si>
  <si>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</si>
  <si>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</si>
  <si>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</si>
  <si>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</si>
  <si>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</si>
  <si>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</si>
  <si>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</si>
  <si>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</si>
  <si>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</si>
  <si>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</si>
  <si>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</si>
  <si>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</si>
  <si>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</si>
  <si>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</si>
  <si>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</si>
  <si>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</si>
  <si>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</si>
  <si>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</si>
  <si>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</si>
  <si>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</si>
  <si>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</si>
  <si>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</si>
  <si>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</si>
  <si>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</si>
  <si>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</si>
  <si>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</si>
  <si>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</si>
  <si>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</si>
  <si>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</si>
  <si>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</si>
  <si>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</si>
  <si>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</si>
  <si>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</si>
  <si>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</si>
  <si>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</si>
  <si>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</si>
  <si>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</si>
  <si>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</si>
  <si>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</si>
  <si>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</si>
  <si>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</si>
  <si>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</si>
  <si>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</si>
  <si>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</si>
  <si>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</si>
  <si>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</si>
  <si>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</si>
  <si>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</si>
  <si>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</si>
  <si>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</si>
  <si>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</si>
  <si>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</si>
  <si>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</si>
  <si>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</si>
  <si>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</si>
  <si>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</si>
  <si>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</si>
  <si>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</si>
  <si>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</si>
  <si>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</si>
  <si>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</si>
  <si>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</si>
  <si>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</si>
  <si>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</si>
  <si>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</si>
  <si>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</si>
  <si>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</si>
  <si>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</si>
  <si>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</si>
  <si>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</si>
  <si>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</si>
  <si>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</si>
  <si>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</si>
  <si>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</si>
  <si>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</si>
  <si>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</si>
  <si>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</si>
  <si>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</si>
  <si>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</si>
  <si>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</si>
  <si>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</si>
  <si>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</si>
  <si>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</si>
  <si>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</si>
  <si>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</si>
  <si>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</si>
  <si>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</si>
  <si>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</si>
  <si>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</si>
  <si>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</si>
  <si>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</si>
  <si>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</si>
  <si>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</si>
  <si>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</si>
  <si>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</si>
  <si>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</si>
  <si>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</si>
  <si>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</si>
  <si>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</si>
  <si>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</si>
  <si>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</si>
  <si>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</si>
  <si>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</si>
  <si>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</si>
  <si>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</si>
  <si>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</si>
  <si>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</si>
  <si>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</si>
  <si>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</si>
  <si>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</si>
  <si>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</si>
  <si>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</si>
  <si>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</si>
  <si>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</si>
  <si>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</si>
  <si>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</si>
  <si>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</si>
  <si>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</si>
  <si>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</si>
  <si>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</si>
  <si>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</si>
  <si>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</si>
  <si>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</si>
  <si>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</si>
  <si>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</si>
  <si>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</si>
  <si>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</si>
  <si>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</si>
  <si>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</si>
  <si>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</si>
  <si>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</si>
  <si>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</si>
  <si>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</si>
  <si>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</si>
  <si>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</si>
  <si>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</si>
  <si>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</si>
  <si>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</si>
  <si>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</si>
  <si>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</si>
  <si>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</si>
  <si>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</si>
  <si>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</si>
  <si>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</si>
  <si>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</si>
  <si>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</si>
  <si>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</si>
  <si>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</si>
  <si>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</si>
  <si>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</si>
  <si>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</si>
  <si>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</si>
  <si>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</si>
  <si>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</si>
  <si>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</si>
  <si>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</si>
  <si>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</si>
  <si>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</si>
  <si>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</si>
  <si>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</si>
  <si>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</si>
  <si>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</si>
  <si>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</si>
  <si>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</si>
  <si>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</si>
  <si>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</si>
  <si>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</si>
  <si>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</si>
  <si>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</si>
  <si>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</si>
  <si>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</si>
  <si>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</si>
  <si>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</si>
  <si>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</si>
  <si>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</si>
  <si>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</si>
  <si>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</si>
  <si>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</si>
  <si>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</si>
  <si>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</si>
  <si>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</si>
  <si>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</si>
  <si>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</si>
  <si>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</si>
  <si>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</si>
  <si>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</si>
  <si>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</si>
  <si>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</si>
  <si>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</si>
  <si>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</si>
  <si>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</si>
  <si>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</si>
  <si>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</si>
  <si>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</si>
  <si>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</si>
  <si>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</si>
  <si>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</si>
  <si>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</si>
  <si>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</si>
  <si>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</si>
  <si>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</si>
  <si>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</si>
  <si>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</si>
  <si>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</si>
  <si>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</si>
  <si>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</si>
  <si>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</si>
  <si>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</si>
  <si>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</si>
  <si>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</si>
  <si>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</si>
  <si>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</si>
  <si>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</si>
  <si>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</si>
  <si>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</si>
  <si>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</si>
  <si>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</si>
  <si>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</si>
  <si>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</si>
  <si>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</si>
  <si>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</si>
  <si>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</si>
  <si>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</si>
  <si>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</si>
  <si>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</si>
  <si>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</si>
  <si>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</si>
  <si>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</si>
  <si>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</si>
  <si>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</si>
  <si>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</si>
  <si>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</si>
  <si>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</si>
  <si>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</si>
  <si>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</si>
  <si>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</si>
  <si>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</si>
  <si>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</si>
  <si>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</si>
  <si>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</si>
  <si>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</si>
  <si>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</si>
  <si>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</si>
  <si>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</si>
  <si>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</si>
  <si>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</si>
  <si>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</si>
  <si>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</si>
  <si>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</si>
  <si>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</si>
  <si>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</si>
  <si>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</si>
  <si>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</si>
  <si>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</si>
  <si>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</si>
  <si>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</si>
  <si>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</si>
  <si>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</si>
  <si>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</si>
  <si>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</si>
  <si>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</si>
  <si>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</si>
  <si>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</si>
  <si>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</si>
  <si>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</si>
  <si>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</si>
  <si>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</si>
  <si>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</si>
  <si>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</si>
  <si>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</si>
  <si>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</si>
  <si>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</si>
  <si>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</si>
  <si>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</si>
  <si>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</si>
  <si>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</si>
  <si>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</si>
  <si>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</si>
  <si>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</si>
  <si>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</si>
  <si>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</si>
  <si>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</si>
  <si>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</si>
  <si>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</si>
  <si>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</si>
  <si>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</si>
  <si>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</si>
  <si>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</si>
  <si>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</si>
  <si>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</si>
  <si>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</si>
  <si>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</si>
  <si>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</si>
  <si>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</si>
  <si>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</si>
  <si>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</si>
  <si>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</si>
  <si>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</si>
  <si>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</si>
  <si>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</si>
  <si>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</si>
  <si>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</si>
  <si>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</si>
  <si>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</si>
  <si>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</si>
  <si>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</si>
  <si>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</si>
  <si>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</si>
  <si>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</si>
  <si>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</si>
  <si>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</si>
  <si>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</si>
  <si>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</si>
  <si>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</si>
  <si>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</si>
  <si>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</si>
  <si>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</si>
  <si>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</si>
  <si>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</si>
  <si>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</si>
  <si>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</si>
  <si>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</si>
  <si>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</si>
  <si>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</si>
  <si>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</si>
  <si>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</si>
  <si>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</si>
  <si>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</si>
  <si>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</si>
  <si>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</si>
  <si>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</si>
  <si>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</si>
  <si>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</si>
  <si>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</si>
  <si>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</si>
  <si>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</si>
  <si>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</si>
  <si>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</si>
  <si>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</si>
  <si>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</si>
  <si>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</si>
  <si>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</si>
  <si>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</si>
  <si>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</si>
  <si>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</si>
  <si>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</si>
  <si>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</si>
  <si>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</si>
  <si>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</si>
  <si>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</si>
  <si>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</si>
  <si>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</si>
  <si>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</si>
  <si>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</si>
  <si>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</si>
  <si>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</si>
  <si>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</si>
  <si>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</si>
  <si>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</si>
  <si>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</si>
  <si>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</si>
  <si>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</si>
  <si>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</si>
  <si>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</si>
  <si>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</si>
  <si>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</si>
  <si>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</si>
  <si>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</si>
  <si>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</si>
  <si>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</si>
  <si>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</si>
  <si>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</si>
  <si>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</si>
  <si>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</si>
  <si>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</si>
  <si>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</si>
  <si>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</si>
  <si>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</si>
  <si>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</si>
  <si>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</si>
  <si>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</si>
  <si>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</si>
  <si>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</si>
  <si>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</si>
  <si>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</si>
  <si>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</si>
  <si>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</si>
  <si>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</si>
  <si>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</si>
  <si>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</si>
  <si>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</si>
  <si>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</si>
  <si>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</si>
  <si>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</si>
  <si>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</si>
  <si>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</si>
  <si>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</si>
  <si>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</si>
  <si>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</si>
  <si>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</si>
  <si>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</si>
  <si>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</si>
  <si>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</si>
  <si>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</si>
  <si>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</si>
  <si>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</si>
  <si>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</si>
  <si>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</si>
  <si>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</si>
  <si>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</si>
  <si>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</si>
  <si>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</si>
  <si>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</si>
  <si>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</si>
  <si>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</si>
  <si>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</si>
  <si>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</si>
  <si>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</si>
  <si>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</si>
  <si>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</si>
  <si>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</si>
  <si>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</si>
  <si>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</si>
  <si>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</si>
  <si>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</si>
  <si>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</si>
  <si>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</si>
  <si>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</si>
  <si>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</si>
  <si>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</si>
  <si>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</si>
  <si>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</si>
  <si>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</si>
  <si>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</si>
  <si>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</si>
  <si>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</si>
  <si>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</si>
  <si>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</si>
  <si>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</si>
  <si>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</si>
  <si>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</si>
  <si>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</si>
  <si>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</si>
  <si>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</si>
  <si>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</si>
  <si>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</si>
  <si>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</si>
  <si>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</si>
  <si>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</si>
  <si>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</si>
  <si>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</si>
  <si>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</si>
  <si>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</si>
  <si>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</si>
  <si>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</si>
  <si>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</si>
  <si>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</si>
  <si>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</si>
  <si>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</si>
  <si>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</si>
  <si>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</si>
  <si>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</si>
  <si>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</si>
  <si>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</si>
  <si>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</si>
  <si>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</si>
  <si>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</si>
  <si>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</si>
  <si>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</si>
  <si>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</si>
  <si>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</si>
  <si>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</si>
  <si>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</si>
  <si>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</si>
  <si>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</si>
  <si>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</si>
  <si>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</si>
  <si>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</si>
  <si>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</si>
  <si>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</si>
  <si>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</si>
  <si>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</si>
  <si>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</si>
  <si>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</si>
  <si>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</si>
  <si>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</si>
  <si>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</si>
  <si>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</si>
  <si>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</si>
  <si>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</si>
  <si>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</si>
  <si>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</si>
  <si>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</si>
  <si>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</si>
  <si>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</si>
  <si>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</si>
  <si>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</si>
  <si>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</si>
  <si>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</si>
  <si>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</si>
  <si>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</si>
  <si>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</si>
  <si>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</si>
  <si>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</si>
  <si>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</si>
  <si>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</si>
  <si>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</si>
  <si>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</si>
  <si>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</si>
  <si>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</si>
  <si>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</si>
  <si>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</si>
  <si>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</si>
  <si>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</si>
  <si>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</si>
  <si>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</si>
  <si>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</si>
  <si>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</si>
  <si>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</si>
  <si>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</si>
  <si>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</si>
  <si>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</si>
  <si>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</si>
  <si>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</si>
  <si>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</si>
  <si>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</si>
  <si>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</si>
  <si>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</si>
  <si>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</si>
  <si>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</si>
  <si>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</si>
  <si>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</si>
  <si>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</si>
  <si>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</si>
  <si>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</si>
  <si>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</si>
  <si>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</si>
  <si>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</si>
  <si>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</si>
  <si>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</si>
  <si>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</si>
  <si>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</si>
  <si>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</si>
  <si>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</si>
  <si>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</si>
  <si>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</si>
  <si>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</si>
  <si>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</si>
  <si>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</si>
  <si>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</si>
  <si>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</si>
  <si>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</si>
  <si>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</si>
  <si>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</si>
  <si>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</si>
  <si>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</si>
  <si>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</si>
  <si>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</si>
  <si>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</si>
  <si>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</si>
  <si>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</si>
  <si>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</si>
  <si>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</si>
  <si>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</si>
  <si>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</si>
  <si>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</si>
  <si>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</si>
  <si>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</si>
  <si>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</si>
  <si>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</si>
  <si>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</si>
  <si>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</si>
  <si>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</si>
  <si>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</si>
  <si>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</si>
  <si>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</si>
  <si>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</si>
  <si>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</si>
  <si>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</si>
  <si>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</si>
  <si>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</si>
  <si>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</si>
  <si>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</si>
  <si>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</si>
  <si>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</si>
  <si>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</si>
  <si>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</si>
  <si>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</si>
  <si>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</si>
  <si>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</si>
  <si>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</si>
  <si>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</si>
  <si>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</si>
  <si>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</si>
  <si>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</si>
  <si>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</si>
  <si>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</si>
  <si>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</si>
  <si>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</si>
  <si>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</si>
  <si>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</si>
  <si>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</si>
  <si>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</si>
  <si>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</si>
  <si>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</si>
  <si>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</si>
  <si>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</si>
  <si>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</si>
  <si>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</si>
  <si>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</si>
  <si>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</si>
  <si>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</si>
  <si>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</si>
  <si>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</si>
  <si>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</si>
  <si>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</si>
  <si>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</si>
  <si>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</si>
  <si>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</si>
  <si>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</si>
  <si>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</si>
  <si>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</si>
  <si>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</si>
  <si>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</si>
  <si>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</si>
  <si>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</si>
  <si>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</si>
  <si>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</si>
  <si>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</si>
  <si>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</si>
  <si>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</si>
  <si>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</si>
  <si>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</si>
  <si>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</si>
  <si>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</si>
  <si>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</si>
  <si>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</si>
  <si>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</si>
  <si>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</si>
  <si>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</si>
  <si>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</si>
  <si>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</si>
  <si>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</si>
  <si>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</si>
  <si>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</si>
  <si>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</si>
  <si>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</si>
  <si>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</si>
  <si>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</si>
  <si>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</si>
  <si>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</si>
  <si>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</si>
  <si>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</si>
  <si>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</si>
  <si>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</si>
  <si>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</si>
  <si>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</si>
  <si>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</si>
  <si>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</si>
  <si>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</si>
  <si>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</si>
  <si>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</si>
  <si>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</si>
  <si>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</si>
  <si>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</si>
  <si>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</si>
  <si>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</si>
  <si>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</si>
  <si>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</si>
  <si>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</si>
  <si>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</si>
  <si>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</si>
  <si>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</si>
  <si>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</si>
  <si>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</si>
  <si>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</si>
  <si>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</si>
  <si>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</si>
  <si>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</si>
  <si>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</si>
  <si>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</si>
  <si>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</si>
  <si>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</si>
  <si>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</si>
  <si>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</si>
  <si>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</si>
  <si>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</si>
  <si>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</si>
  <si>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</si>
  <si>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</si>
  <si>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</si>
  <si>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</si>
  <si>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</si>
  <si>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</si>
  <si>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</si>
  <si>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</si>
  <si>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</si>
  <si>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</si>
  <si>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</si>
  <si>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</si>
  <si>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</si>
  <si>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</si>
  <si>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</si>
  <si>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</si>
  <si>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</si>
  <si>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</si>
  <si>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</si>
  <si>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</si>
  <si>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</si>
  <si>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</si>
  <si>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</si>
  <si>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</si>
  <si>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</si>
  <si>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</si>
  <si>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</si>
  <si>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</si>
  <si>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</si>
  <si>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</si>
  <si>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</si>
  <si>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</si>
  <si>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</si>
  <si>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</si>
  <si>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</si>
  <si>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</si>
  <si>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</si>
  <si>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</si>
  <si>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</si>
  <si>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</si>
  <si>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</si>
  <si>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</si>
  <si>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</si>
  <si>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</si>
  <si>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</si>
  <si>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</si>
  <si>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</si>
  <si>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</si>
  <si>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</si>
  <si>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</si>
  <si>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</si>
  <si>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</si>
  <si>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</si>
  <si>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</si>
  <si>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</si>
  <si>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</si>
  <si>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</si>
  <si>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</si>
  <si>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</si>
  <si>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</si>
  <si>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</si>
  <si>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</si>
  <si>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</si>
  <si>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</si>
  <si>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</si>
  <si>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</si>
  <si>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</si>
  <si>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</si>
  <si>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</si>
  <si>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</si>
  <si>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</si>
  <si>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</si>
  <si>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</si>
  <si>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</si>
  <si>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</si>
  <si>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</si>
  <si>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</si>
  <si>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</si>
  <si>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</si>
  <si>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</si>
  <si>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</si>
  <si>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</si>
  <si>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</si>
  <si>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</si>
  <si>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</si>
  <si>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</si>
  <si>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</si>
  <si>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</si>
  <si>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</si>
  <si>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</si>
  <si>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</si>
  <si>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</si>
  <si>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</si>
  <si>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</si>
  <si>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</si>
  <si>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</si>
  <si>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</si>
  <si>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</si>
  <si>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</si>
  <si>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</si>
  <si>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</si>
  <si>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</si>
  <si>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</si>
  <si>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</si>
  <si>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</si>
  <si>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</si>
  <si>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</si>
  <si>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</si>
  <si>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</si>
  <si>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</si>
  <si>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</si>
  <si>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</si>
  <si>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</si>
  <si>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</si>
  <si>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</si>
  <si>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</si>
  <si>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</si>
  <si>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</si>
  <si>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</si>
  <si>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</si>
  <si>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</si>
  <si>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</si>
  <si>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</si>
  <si>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</si>
  <si>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</si>
  <si>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</si>
  <si>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</si>
  <si>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</si>
  <si>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</si>
  <si>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</si>
  <si>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</si>
  <si>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</si>
  <si>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</si>
  <si>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</si>
  <si>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</si>
  <si>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</si>
  <si>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</si>
  <si>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</si>
  <si>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</si>
  <si>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</si>
  <si>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</si>
  <si>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</si>
  <si>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</si>
  <si>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</si>
  <si>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</si>
  <si>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</si>
  <si>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</si>
  <si>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</si>
  <si>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</si>
  <si>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</si>
  <si>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</si>
  <si>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</si>
  <si>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</si>
  <si>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</si>
  <si>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</si>
  <si>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</si>
  <si>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</si>
  <si>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</si>
  <si>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</si>
  <si>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</si>
  <si>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</si>
  <si>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</si>
  <si>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</si>
  <si>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</si>
  <si>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</si>
  <si>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</si>
  <si>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</si>
  <si>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</si>
  <si>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</si>
  <si>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</si>
  <si>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</si>
  <si>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</si>
  <si>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</si>
  <si>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</si>
  <si>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</si>
  <si>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</si>
  <si>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</si>
  <si>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</si>
  <si>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</si>
  <si>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</si>
  <si>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</si>
  <si>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</si>
  <si>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</si>
  <si>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</si>
  <si>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</si>
  <si>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</si>
  <si>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</si>
  <si>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</si>
  <si>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</si>
  <si>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</si>
  <si>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</si>
  <si>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</si>
  <si>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</si>
  <si>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</si>
  <si>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</si>
  <si>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</si>
  <si>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</si>
  <si>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</si>
  <si>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</si>
  <si>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</si>
  <si>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</si>
  <si>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</si>
  <si>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</si>
  <si>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</si>
  <si>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</si>
  <si>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</si>
  <si>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</si>
  <si>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</si>
  <si>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</si>
  <si>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</si>
  <si>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</si>
  <si>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</si>
  <si>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</si>
  <si>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</si>
  <si>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</si>
  <si>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</si>
  <si>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</si>
  <si>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</si>
  <si>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</si>
  <si>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</si>
  <si>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</si>
  <si>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</si>
  <si>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</si>
  <si>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</si>
  <si>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</si>
  <si>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</si>
  <si>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</si>
  <si>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</si>
  <si>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</si>
  <si>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</si>
  <si>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</si>
  <si>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</si>
  <si>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</si>
  <si>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</si>
  <si>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</si>
  <si>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</si>
  <si>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</si>
  <si>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</si>
  <si>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</si>
  <si>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</si>
  <si>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</si>
  <si>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</si>
  <si>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</si>
  <si>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</si>
  <si>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</si>
  <si>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</si>
  <si>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</si>
  <si>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</si>
  <si>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</si>
  <si>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</si>
  <si>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</si>
  <si>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</si>
  <si>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</si>
  <si>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</si>
  <si>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</si>
  <si>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</si>
  <si>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</si>
  <si>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</si>
  <si>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</si>
  <si>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</si>
  <si>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</si>
  <si>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</si>
  <si>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</si>
  <si>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</si>
  <si>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</si>
  <si>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</si>
  <si>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</si>
  <si>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</si>
  <si>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</si>
  <si>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</si>
  <si>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</si>
  <si>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</si>
  <si>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</si>
  <si>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</si>
  <si>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</si>
  <si>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</si>
  <si>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</si>
  <si>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</si>
  <si>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</si>
  <si>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</si>
  <si>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</si>
  <si>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</si>
  <si>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</si>
  <si>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</si>
  <si>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</si>
  <si>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</si>
  <si>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</si>
  <si>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</si>
  <si>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</si>
  <si>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</si>
  <si>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</si>
  <si>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</si>
  <si>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</si>
  <si>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</si>
  <si>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</si>
  <si>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</si>
  <si>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</si>
  <si>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</si>
  <si>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</si>
  <si>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</si>
  <si>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</si>
  <si>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</si>
  <si>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</si>
  <si>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</si>
  <si>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</si>
  <si>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</si>
  <si>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</si>
  <si>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</si>
  <si>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</si>
  <si>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</si>
  <si>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</si>
  <si>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</si>
  <si>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</si>
  <si>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</si>
  <si>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</si>
  <si>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</si>
  <si>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</si>
  <si>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</si>
  <si>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</si>
  <si>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</si>
  <si>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</si>
  <si>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</si>
  <si>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</si>
  <si>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</si>
  <si>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</si>
  <si>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</si>
  <si>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</si>
  <si>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</si>
  <si>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</si>
  <si>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</si>
  <si>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</si>
  <si>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</si>
  <si>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</si>
  <si>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</si>
  <si>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</si>
  <si>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</si>
  <si>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</si>
  <si>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</si>
  <si>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</si>
  <si>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</si>
  <si>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</si>
  <si>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</si>
  <si>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</si>
  <si>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</si>
  <si>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</si>
  <si>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</si>
  <si>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</si>
  <si>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</si>
  <si>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</si>
  <si>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</si>
  <si>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</si>
  <si>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</si>
  <si>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</si>
  <si>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</si>
  <si>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</si>
  <si>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</si>
  <si>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</si>
  <si>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</si>
  <si>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</si>
  <si>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</si>
  <si>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</si>
  <si>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</si>
  <si>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</si>
  <si>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</si>
  <si>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</si>
  <si>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</si>
  <si>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</si>
  <si>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</si>
  <si>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</si>
  <si>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</si>
  <si>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</si>
  <si>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</si>
  <si>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</si>
  <si>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</si>
  <si>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</si>
  <si>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</si>
  <si>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</si>
  <si>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</si>
  <si>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</si>
  <si>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</si>
  <si>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</si>
  <si>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</si>
  <si>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</si>
  <si>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</si>
  <si>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</si>
  <si>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</si>
  <si>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</si>
  <si>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</si>
  <si>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</si>
  <si>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</si>
  <si>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</si>
  <si>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</si>
  <si>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</si>
  <si>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</si>
  <si>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</si>
  <si>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</si>
  <si>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</si>
  <si>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</si>
  <si>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</si>
  <si>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</si>
  <si>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</si>
  <si>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</si>
  <si>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</si>
  <si>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</si>
  <si>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</si>
  <si>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</si>
  <si>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</si>
  <si>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</si>
  <si>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</si>
  <si>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</si>
  <si>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</si>
  <si>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</si>
  <si>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</si>
  <si>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</si>
  <si>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</si>
  <si>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</si>
  <si>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</si>
  <si>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</si>
  <si>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</si>
  <si>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</si>
  <si>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</si>
  <si>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</si>
  <si>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</si>
  <si>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</si>
  <si>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</si>
  <si>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</si>
  <si>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</si>
  <si>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</si>
  <si>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</si>
  <si>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</si>
  <si>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</si>
  <si>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</si>
  <si>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</si>
  <si>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</si>
  <si>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</si>
  <si>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</si>
  <si>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</si>
  <si>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</si>
  <si>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</si>
  <si>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</si>
  <si>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</si>
  <si>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</si>
  <si>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</si>
  <si>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</si>
  <si>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</si>
  <si>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</si>
  <si>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</si>
  <si>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</si>
  <si>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</si>
  <si>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</si>
  <si>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</si>
  <si>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</si>
  <si>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</si>
  <si>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正式报告</t>
    <phoneticPr fontId="134" type="noConversion"/>
  </si>
  <si>
    <t>自然人</t>
  </si>
  <si>
    <t>昌平区双营西路78号院2号楼17层1714办公用房</t>
    <phoneticPr fontId="6" type="noConversion"/>
  </si>
  <si>
    <t>估价对象</t>
    <phoneticPr fontId="134" type="noConversion"/>
  </si>
  <si>
    <t>5月正式报告</t>
    <phoneticPr fontId="134" type="noConversion"/>
  </si>
  <si>
    <t>单价</t>
    <phoneticPr fontId="134" type="noConversion"/>
  </si>
  <si>
    <t>总价</t>
    <phoneticPr fontId="134" type="noConversion"/>
  </si>
  <si>
    <t>建筑面积</t>
    <phoneticPr fontId="134" type="noConversion"/>
  </si>
  <si>
    <t>中行复估</t>
    <phoneticPr fontId="134" type="noConversion"/>
  </si>
  <si>
    <t>复估价值*1.1</t>
    <phoneticPr fontId="134" type="noConversion"/>
  </si>
  <si>
    <t>中行今天要出的报告</t>
    <phoneticPr fontId="134" type="noConversion"/>
  </si>
  <si>
    <t>与5月份对比</t>
    <phoneticPr fontId="134" type="noConversion"/>
  </si>
  <si>
    <t>仁达8月正评</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</si>
</sst>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微软雅黑"/>
      <family val="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49" fontId="222" fillId="12" borderId="4" xfId="0" applyNumberFormat="1" applyFont="1" applyFill="1" applyBorder="1" applyAlignment="1" applyProtection="1">
      <alignment horizontal="left" vertical="center"/>
      <protection locked="0"/>
    </xf>
    <xf numFmtId="0" fontId="272" fillId="12" borderId="0" xfId="12" applyFont="1" applyFill="1" applyBorder="1" applyAlignment="1" applyProtection="1">
      <alignment horizontal="left" vertical="center" wrapText="1"/>
      <protection locked="0"/>
    </xf>
    <xf numFmtId="0" fontId="95" fillId="0" borderId="0" xfId="0" applyFont="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95" fillId="0" borderId="1" xfId="0" applyFont="1" applyBorder="1" applyAlignment="1">
      <alignment horizontal="center" vertical="center"/>
    </xf>
    <xf numFmtId="0" fontId="95" fillId="22" borderId="1" xfId="0" applyFont="1" applyFill="1" applyBorder="1" applyAlignment="1">
      <alignment horizontal="center" vertical="center"/>
    </xf>
    <xf numFmtId="0" fontId="0" fillId="22" borderId="1" xfId="0" applyFill="1" applyBorder="1" applyAlignment="1">
      <alignment horizontal="center" vertical="center"/>
    </xf>
    <xf numFmtId="0" fontId="273" fillId="0" borderId="1" xfId="0" applyFont="1" applyBorder="1" applyAlignment="1">
      <alignment horizontal="center" vertical="center"/>
    </xf>
    <xf numFmtId="0" fontId="95" fillId="0" borderId="0" xfId="0" applyFont="1" applyBorder="1" applyAlignment="1">
      <alignment horizontal="center" vertical="center"/>
    </xf>
    <xf numFmtId="2" fontId="0" fillId="0" borderId="0" xfId="0" applyNumberFormat="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95" fillId="22" borderId="1" xfId="0" applyFont="1" applyFill="1" applyBorder="1" applyAlignment="1">
      <alignment horizontal="center" vertical="center"/>
    </xf>
    <xf numFmtId="0" fontId="95" fillId="0" borderId="1" xfId="0" applyFont="1" applyBorder="1" applyAlignment="1">
      <alignment horizontal="center" vertical="center"/>
    </xf>
    <xf numFmtId="0" fontId="273" fillId="0" borderId="1" xfId="0" applyFont="1" applyBorder="1" applyAlignment="1">
      <alignment horizontal="center" vertical="center"/>
    </xf>
    <xf numFmtId="0" fontId="95" fillId="0" borderId="0" xfId="0" applyFont="1" applyAlignment="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北京市昌平区双营西路78号院2号楼17层1714办公用房房地产抵押价值预评估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受贵公司委托，我公司对北京市昌平区双营西路78号院2号楼17层1714办公用房房地产抵押价值进行了预评估。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双营西路78号院2号楼17层1714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2025年6月9日（评估专业人员实地查勘之日）</v>
      </c>
    </row>
    <row r="13" spans="1:2" s="1203" customFormat="1">
      <c r="A13" s="1201" t="s">
        <v>529</v>
      </c>
      <c r="B13" s="1202" t="str">
        <f>'预评函-1'!A18</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北京市昌平区双营西路78号院2号楼17层1714办公用房房地产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双营西路78号院2号楼17层1714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7"/>
      <c r="B54" s="1554" t="s">
        <v>385</v>
      </c>
      <c r="C54" s="1551" t="s">
        <v>583</v>
      </c>
    </row>
    <row r="55" spans="1:4">
      <c r="A55" s="3517"/>
      <c r="B55" s="1554" t="s">
        <v>386</v>
      </c>
      <c r="C55" s="1551" t="s">
        <v>584</v>
      </c>
    </row>
    <row r="56" spans="1:4">
      <c r="A56" s="3517"/>
      <c r="B56" s="1554" t="s">
        <v>387</v>
      </c>
      <c r="C56" s="1551" t="s">
        <v>588</v>
      </c>
    </row>
    <row r="57" spans="1:4">
      <c r="A57" s="351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18" t="s">
        <v>2580</v>
      </c>
      <c r="J2" s="3518"/>
      <c r="K2" s="3518"/>
      <c r="L2" s="3518"/>
      <c r="M2" s="3518"/>
      <c r="N2" s="3518"/>
      <c r="O2" s="3518"/>
      <c r="P2" s="3518"/>
      <c r="Q2" s="3518"/>
      <c r="R2" s="3518"/>
    </row>
    <row r="3" spans="1:18">
      <c r="A3" s="3019" t="s">
        <v>2501</v>
      </c>
      <c r="B3" s="3020">
        <f>项目基本情况!D3</f>
        <v>45817</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1.52</v>
      </c>
      <c r="D5" s="3024">
        <f>IF(ISERROR(ROUND(POWER(1+E5,A5-C5)*(POWER(1+E5,C5)-1)/(POWER(1+E5,A5)-1),3)),0,ROUND(POWER(1+E5,A5-C5)*(POWER(1+E5,C5)-1)/(POWER(1+E5,A5)-1),4))</f>
        <v>7.3099999999999998E-2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11.53</v>
      </c>
      <c r="D6" s="3024">
        <f>IF(ISERROR(ROUND(POWER(1+E6,A6-C6)*(POWER(1+E6,C6)-1)/(POWER(1+E6,A6)-1),3)),0,ROUND(POWER(1+E6,A6-C6)*(POWER(1+E6,C6)-1)/(POWER(1+E6,A6)-1),4))</f>
        <v>0.4234</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31.55</v>
      </c>
      <c r="D7" s="3024">
        <f>IF(ISERROR(ROUND(POWER(1+E7,A7-C7)*(POWER(1+E7,C7)-1)/(POWER(1+E7,A7)-1),3)),0,ROUND(POWER(1+E7,A7-C7)*(POWER(1+E7,C7)-1)/(POWER(1+E7,A7)-1),4))</f>
        <v>0.75860000000000005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7" t="str">
        <f>IF(B10="北京市","北京市",C10)&amp;F10&amp;IF(结果表!G1="在建","出让国有建设用地使用权及在建建筑物",IF(结果表!G1="土地","出让国有建设用地使用权",))&amp;B9&amp;"预评估"</f>
        <v>北京市昌平区双营西路78号院2号楼17层1714办公用房房地产抵押价值预评估</v>
      </c>
      <c r="C1" s="3528"/>
      <c r="D1" s="3528"/>
      <c r="E1" s="3528"/>
      <c r="F1" s="3528"/>
      <c r="G1" s="3528"/>
      <c r="H1" s="3528"/>
      <c r="I1" s="352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北京市昌平区双营西路78号院2号楼17层1714办公用房房地产抵押价值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北京市昌平区双营西路78号院2号楼17层1714办公用房房地产</v>
      </c>
      <c r="T2" s="1745"/>
      <c r="U2" s="1745"/>
      <c r="V2" s="1745"/>
      <c r="W2" s="1745"/>
      <c r="X2" s="1745"/>
      <c r="Y2" s="1745"/>
      <c r="Z2" s="1745"/>
      <c r="AA2" s="1745"/>
      <c r="AB2" s="1745"/>
    </row>
    <row r="3" spans="1:30">
      <c r="A3" s="302" t="s">
        <v>2170</v>
      </c>
      <c r="B3" s="2373">
        <v>45817</v>
      </c>
      <c r="C3" s="2374" t="s">
        <v>2171</v>
      </c>
      <c r="D3" s="2373">
        <f>B3</f>
        <v>45817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30"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31"/>
      <c r="E9" s="2394"/>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3466" t="s">
        <v>3417</v>
      </c>
      <c r="G10" s="2666"/>
      <c r="H10" s="2667"/>
      <c r="I10" s="2668"/>
      <c r="J10" s="2439"/>
      <c r="K10" s="2616"/>
      <c r="L10" s="2613"/>
      <c r="M10" s="2613"/>
      <c r="N10" s="2439"/>
      <c r="O10" s="2450"/>
      <c r="P10" s="2439"/>
      <c r="Q10" s="2439"/>
      <c r="R10" s="2439"/>
    </row>
    <row r="11" spans="1:30">
      <c r="A11" s="2401" t="s">
        <v>2181</v>
      </c>
      <c r="B11" s="2402" t="s">
        <v>3416</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3332</v>
      </c>
      <c r="B13" s="2407" t="s">
        <v>2190</v>
      </c>
      <c r="C13" s="856"/>
      <c r="D13" s="856"/>
      <c r="E13" s="856"/>
      <c r="F13" s="856"/>
      <c r="G13" s="856"/>
      <c r="H13" s="856"/>
      <c r="I13" s="856"/>
      <c r="J13" s="3061"/>
      <c r="K13" s="2613"/>
      <c r="L13" s="2613"/>
      <c r="M13" s="2439"/>
      <c r="N13" s="2450"/>
      <c r="O13" s="2439"/>
      <c r="P13" s="2439"/>
      <c r="Q13" s="2439"/>
      <c r="AD13" s="1745"/>
    </row>
    <row r="14" spans="1:30">
      <c r="A14" s="1081"/>
      <c r="B14" s="2407" t="s">
        <v>2191</v>
      </c>
      <c r="C14" s="2408"/>
      <c r="D14" s="2408"/>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37"/>
      <c r="C16" s="3538"/>
      <c r="D16" s="3539"/>
      <c r="E16" s="2413" t="s">
        <v>2194</v>
      </c>
      <c r="F16" s="3540"/>
      <c r="G16" s="3541"/>
      <c r="H16" s="3541"/>
      <c r="I16" s="3542"/>
      <c r="J16" s="2439"/>
      <c r="K16" s="2617"/>
      <c r="L16" s="2451"/>
      <c r="M16" s="2451"/>
      <c r="N16" s="2509"/>
      <c r="O16" s="2451"/>
      <c r="P16" s="2509"/>
      <c r="Q16" s="2439"/>
      <c r="R16" s="2439"/>
    </row>
    <row r="17" spans="1:28">
      <c r="A17" s="313" t="s">
        <v>2195</v>
      </c>
      <c r="B17" s="302" t="s">
        <v>2196</v>
      </c>
      <c r="C17" s="8">
        <f>'数据-汇总表'!E3</f>
        <v>0</v>
      </c>
      <c r="D17" s="2322" t="s">
        <v>2197</v>
      </c>
      <c r="E17" s="3543" t="s">
        <v>2198</v>
      </c>
      <c r="F17" s="3544"/>
      <c r="G17" s="3544"/>
      <c r="H17" s="3544"/>
      <c r="I17" s="3545"/>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6" t="s">
        <v>2202</v>
      </c>
      <c r="F18" s="3547"/>
      <c r="G18" s="3547"/>
      <c r="H18" s="3547"/>
      <c r="I18" s="354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3" t="s">
        <v>2206</v>
      </c>
      <c r="C20" s="3534"/>
      <c r="D20" s="3535" t="s">
        <v>2207</v>
      </c>
      <c r="E20" s="3536"/>
      <c r="F20" s="2647" t="s">
        <v>1056</v>
      </c>
      <c r="G20" s="2664"/>
      <c r="H20" s="2664"/>
      <c r="I20" s="2664"/>
      <c r="J20" s="2439"/>
      <c r="K20" s="353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1"/>
      <c r="B30" s="302" t="s">
        <v>2218</v>
      </c>
      <c r="C30" s="3522"/>
      <c r="D30" s="3523"/>
      <c r="E30" s="2664"/>
      <c r="F30" s="2664"/>
      <c r="G30" s="2664"/>
      <c r="H30" s="2664"/>
      <c r="I30" s="2664"/>
      <c r="J30" s="2439"/>
      <c r="K30" s="2616"/>
      <c r="L30" s="2613"/>
      <c r="M30" s="2613"/>
      <c r="N30" s="2439"/>
      <c r="O30" s="2450"/>
      <c r="P30" s="2439"/>
      <c r="Q30" s="2439"/>
      <c r="R30" s="2439"/>
      <c r="S30" s="2439"/>
      <c r="T30" s="2439"/>
      <c r="U30" s="2439"/>
      <c r="V30" s="2439"/>
    </row>
    <row r="31" spans="1:28">
      <c r="A31" s="352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9" t="s">
        <v>2228</v>
      </c>
      <c r="T34" s="2428" t="str">
        <f>NUMBERSTRING(7-K34,1)&amp;"通"</f>
        <v>七通</v>
      </c>
      <c r="U34" s="2439"/>
      <c r="V34" s="2439"/>
    </row>
    <row r="35" spans="1:30">
      <c r="A35" s="2429"/>
      <c r="B35" s="3526" t="s">
        <v>2229</v>
      </c>
      <c r="C35" s="3526"/>
      <c r="D35" s="3526"/>
      <c r="E35" s="352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8" t="s">
        <v>1131</v>
      </c>
      <c r="B2" s="3558"/>
      <c r="C2" s="3558"/>
      <c r="D2" s="796" t="s">
        <v>1107</v>
      </c>
      <c r="E2" s="1639" t="s">
        <v>1108</v>
      </c>
      <c r="F2" s="2659"/>
      <c r="G2" s="2650"/>
      <c r="H2" s="2651"/>
      <c r="I2" s="2325" t="s">
        <v>1132</v>
      </c>
      <c r="J2" s="2659"/>
      <c r="K2" s="2659"/>
      <c r="L2" s="2659"/>
      <c r="M2" s="2659"/>
      <c r="N2" s="2661"/>
      <c r="O2" s="2659"/>
      <c r="P2" s="2659"/>
    </row>
    <row r="3" spans="1:16" ht="15.75" thickBot="1">
      <c r="A3" s="3559" t="s">
        <v>1105</v>
      </c>
      <c r="B3" s="3559"/>
      <c r="C3" s="3559"/>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0"/>
      <c r="B4" s="3561"/>
      <c r="C4" s="356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3" t="s">
        <v>1110</v>
      </c>
      <c r="C5" s="3563"/>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3" t="s">
        <v>1111</v>
      </c>
      <c r="C6" s="3563"/>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5"/>
      <c r="B7" s="3556"/>
      <c r="C7" s="355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2" t="s">
        <v>1135</v>
      </c>
      <c r="L16" s="3553"/>
      <c r="M16" s="3553"/>
      <c r="N16" s="3553"/>
      <c r="O16" s="3553"/>
      <c r="P16" s="3554"/>
    </row>
    <row r="17" spans="1:19" ht="15">
      <c r="A17" s="1650" t="s">
        <v>1136</v>
      </c>
      <c r="B17" s="1651" t="s">
        <v>1137</v>
      </c>
      <c r="C17" s="1652" t="s">
        <v>1138</v>
      </c>
      <c r="D17" s="1653" t="s">
        <v>1126</v>
      </c>
      <c r="E17" s="1654" t="s">
        <v>1127</v>
      </c>
      <c r="F17" s="1655"/>
      <c r="G17" s="1656"/>
      <c r="H17" s="1657" t="s">
        <v>1139</v>
      </c>
      <c r="I17" s="1658" t="s">
        <v>1124</v>
      </c>
      <c r="J17" s="1139"/>
      <c r="K17" s="3549" t="s">
        <v>1140</v>
      </c>
      <c r="L17" s="3550"/>
      <c r="M17" s="3551"/>
      <c r="N17" s="3549" t="s">
        <v>1141</v>
      </c>
      <c r="O17" s="3550"/>
      <c r="P17" s="355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c r="D19" s="45" t="e">
        <f>ROUND($D$3*E19/$E$3,2)</f>
        <v>#DIV/0!</v>
      </c>
      <c r="E19" s="53">
        <f t="shared" ref="E19:E26" si="1">SUM(F19:G19)</f>
        <v>0</v>
      </c>
      <c r="F19" s="2794"/>
      <c r="G19" s="2795"/>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6"/>
      <c r="D20" s="45" t="e">
        <f t="shared" ref="D20:D26" si="6">ROUND($D$3*E20/$E$3,2)</f>
        <v>#DIV/0!</v>
      </c>
      <c r="E20" s="53">
        <f t="shared" si="1"/>
        <v>0</v>
      </c>
      <c r="F20" s="2794"/>
      <c r="G20" s="2795"/>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6"/>
      <c r="D21" s="45" t="e">
        <f t="shared" si="6"/>
        <v>#DIV/0!</v>
      </c>
      <c r="E21" s="53">
        <f t="shared" si="1"/>
        <v>0</v>
      </c>
      <c r="F21" s="2794"/>
      <c r="G21" s="2795"/>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7"/>
      <c r="D22" s="45" t="e">
        <f t="shared" si="6"/>
        <v>#DIV/0!</v>
      </c>
      <c r="E22" s="53">
        <f t="shared" si="1"/>
        <v>0</v>
      </c>
      <c r="F22" s="2796"/>
      <c r="G22" s="2797"/>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7"/>
      <c r="D23" s="45" t="e">
        <f>ROUND($D$3*E23/$E$3,2)</f>
        <v>#DIV/0!</v>
      </c>
      <c r="E23" s="53">
        <f>SUM(F23:G23)</f>
        <v>0</v>
      </c>
      <c r="F23" s="2796"/>
      <c r="G23" s="2797"/>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7"/>
      <c r="D24" s="45" t="e">
        <f>ROUND($D$3*E24/$E$3,2)</f>
        <v>#DIV/0!</v>
      </c>
      <c r="E24" s="53">
        <f>SUM(F24:G24)</f>
        <v>0</v>
      </c>
      <c r="F24" s="2796"/>
      <c r="G24" s="2797"/>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7"/>
      <c r="D25" s="45" t="e">
        <f t="shared" si="6"/>
        <v>#DIV/0!</v>
      </c>
      <c r="E25" s="53">
        <f t="shared" si="1"/>
        <v>0</v>
      </c>
      <c r="F25" s="2796"/>
      <c r="G25" s="2797"/>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6"/>
      <c r="G26" s="2797"/>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45817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0</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0</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2304</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t="e">
        <f ca="1">IF(A40="利息：取LPR",存贷款利率!G1,存贷款利率!G1+C40)</f>
        <v>#VALUE!</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0</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c r="C42" s="2682">
        <f>IF(B2&lt;DATE(2016,5,1),0,B42)</f>
        <v>0</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0</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4" t="s">
        <v>2286</v>
      </c>
      <c r="B1" s="3565"/>
      <c r="C1" s="3565"/>
      <c r="D1" s="3565"/>
      <c r="E1" s="3565"/>
      <c r="F1" s="3565"/>
      <c r="G1" s="356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1"/>
  <sheetViews>
    <sheetView workbookViewId="0">
      <selection activeCell="K23" sqref="K23"/>
    </sheetView>
  </sheetViews>
  <sheetFormatPr defaultRowHeight="13.5"/>
  <cols>
    <col min="1" max="9" width="9" style="3469"/>
    <col min="10" max="10" width="13" style="3469" customWidth="1"/>
    <col min="11" max="16384" width="9" style="3469"/>
  </cols>
  <sheetData>
    <row r="2" spans="2:12">
      <c r="B2" s="3470"/>
      <c r="C2" s="3470"/>
      <c r="D2" s="3566" t="s">
        <v>3419</v>
      </c>
      <c r="E2" s="3566"/>
      <c r="F2" s="3567" t="s">
        <v>3427</v>
      </c>
      <c r="G2" s="3567"/>
      <c r="H2" s="3568" t="s">
        <v>3423</v>
      </c>
      <c r="I2" s="3568"/>
      <c r="K2" s="3569" t="s">
        <v>3424</v>
      </c>
      <c r="L2" s="3569"/>
    </row>
    <row r="3" spans="2:12">
      <c r="B3" s="3471" t="s">
        <v>3418</v>
      </c>
      <c r="C3" s="3471" t="s">
        <v>3422</v>
      </c>
      <c r="D3" s="3472" t="s">
        <v>3420</v>
      </c>
      <c r="E3" s="3472" t="s">
        <v>3421</v>
      </c>
      <c r="F3" s="3471" t="s">
        <v>3420</v>
      </c>
      <c r="G3" s="3471" t="s">
        <v>3421</v>
      </c>
      <c r="H3" s="3474" t="s">
        <v>3420</v>
      </c>
      <c r="I3" s="3474" t="s">
        <v>3421</v>
      </c>
      <c r="J3" s="3468" t="s">
        <v>3426</v>
      </c>
      <c r="K3" s="3475" t="s">
        <v>3420</v>
      </c>
      <c r="L3" s="3475" t="s">
        <v>3421</v>
      </c>
    </row>
    <row r="4" spans="2:12">
      <c r="B4" s="3470">
        <v>101</v>
      </c>
      <c r="C4" s="3470">
        <v>491.32</v>
      </c>
      <c r="D4" s="3473">
        <v>11252</v>
      </c>
      <c r="E4" s="3473">
        <v>553</v>
      </c>
      <c r="F4" s="3470">
        <v>14250</v>
      </c>
      <c r="G4" s="3470">
        <v>700</v>
      </c>
      <c r="H4" s="3474">
        <v>12980</v>
      </c>
      <c r="I4" s="3474">
        <f>ROUND(H4*C4/10000,0)</f>
        <v>638</v>
      </c>
      <c r="J4" s="3476">
        <f>H4/D4</f>
        <v>1.1535726981869889</v>
      </c>
      <c r="K4" s="3469">
        <f>ROUND(H4*1.1,0)</f>
        <v>14278</v>
      </c>
      <c r="L4" s="3469">
        <f>ROUND(I4*1.1,0)</f>
        <v>702</v>
      </c>
    </row>
    <row r="5" spans="2:12">
      <c r="B5" s="3470">
        <v>201</v>
      </c>
      <c r="C5" s="3470">
        <v>309.42</v>
      </c>
      <c r="D5" s="3473">
        <v>8527</v>
      </c>
      <c r="E5" s="3472">
        <v>264</v>
      </c>
      <c r="F5" s="3470">
        <v>9558</v>
      </c>
      <c r="G5" s="3470">
        <v>296</v>
      </c>
      <c r="H5" s="3474">
        <v>8750</v>
      </c>
      <c r="I5" s="3474">
        <f t="shared" ref="I5:I7" si="0">ROUND(H5*C5/10000,0)</f>
        <v>271</v>
      </c>
      <c r="J5" s="3476">
        <f t="shared" ref="J5:J7" si="1">H5/D5</f>
        <v>1.0261522223525272</v>
      </c>
      <c r="K5" s="3469">
        <f t="shared" ref="K5:K7" si="2">ROUND(H5*1.1,0)</f>
        <v>9625</v>
      </c>
      <c r="L5" s="3469">
        <f t="shared" ref="L5:L7" si="3">ROUND(I5*1.1,0)</f>
        <v>298</v>
      </c>
    </row>
    <row r="6" spans="2:12">
      <c r="B6" s="3470">
        <v>202</v>
      </c>
      <c r="C6" s="3470">
        <v>320.33</v>
      </c>
      <c r="D6" s="3473">
        <v>8527</v>
      </c>
      <c r="E6" s="3473">
        <v>273</v>
      </c>
      <c r="F6" s="3470">
        <v>9558</v>
      </c>
      <c r="G6" s="3470">
        <v>306</v>
      </c>
      <c r="H6" s="3474">
        <f>H5</f>
        <v>8750</v>
      </c>
      <c r="I6" s="3474">
        <f t="shared" si="0"/>
        <v>280</v>
      </c>
      <c r="J6" s="3476">
        <f t="shared" si="1"/>
        <v>1.0261522223525272</v>
      </c>
      <c r="K6" s="3469">
        <f t="shared" si="2"/>
        <v>9625</v>
      </c>
      <c r="L6" s="3469">
        <f t="shared" si="3"/>
        <v>308</v>
      </c>
    </row>
    <row r="7" spans="2:12">
      <c r="B7" s="3470">
        <v>203</v>
      </c>
      <c r="C7" s="3470">
        <v>312.41000000000003</v>
      </c>
      <c r="D7" s="3473">
        <v>8527</v>
      </c>
      <c r="E7" s="3472">
        <v>266</v>
      </c>
      <c r="F7" s="3470">
        <v>9558</v>
      </c>
      <c r="G7" s="3470">
        <v>299</v>
      </c>
      <c r="H7" s="3474">
        <f>H5</f>
        <v>8750</v>
      </c>
      <c r="I7" s="3474">
        <f t="shared" si="0"/>
        <v>273</v>
      </c>
      <c r="J7" s="3476">
        <f t="shared" si="1"/>
        <v>1.0261522223525272</v>
      </c>
      <c r="K7" s="3469">
        <f t="shared" si="2"/>
        <v>9625</v>
      </c>
      <c r="L7" s="3469">
        <f t="shared" si="3"/>
        <v>300</v>
      </c>
    </row>
    <row r="9" spans="2:12">
      <c r="B9" s="3468" t="s">
        <v>3425</v>
      </c>
      <c r="E9" s="3468"/>
    </row>
    <row r="10" spans="2:12">
      <c r="B10" s="3469">
        <v>301</v>
      </c>
      <c r="C10" s="3469">
        <v>309.42</v>
      </c>
      <c r="D10" s="3469">
        <v>8465</v>
      </c>
      <c r="E10" s="3469">
        <f>D10*C10/10000</f>
        <v>261.92403000000002</v>
      </c>
    </row>
    <row r="11" spans="2:12">
      <c r="E11" s="3468"/>
    </row>
  </sheetData>
  <mergeCells count="4">
    <mergeCell ref="D2:E2"/>
    <mergeCell ref="F2:G2"/>
    <mergeCell ref="H2:I2"/>
    <mergeCell ref="K2:L2"/>
  </mergeCells>
  <phoneticPr fontId="134" type="noConversion"/>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309.42</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45817</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SUM(D14:D23)</f>
        <v>271</v>
      </c>
      <c r="C5" s="2512">
        <f ca="1">IF(B5=D14,结果表!H102,ROUND(B5*10000/$B$1,0))</f>
        <v>0</v>
      </c>
      <c r="D5" s="2512" t="e">
        <f>ROUND(B5*10000/$B$2,0)</f>
        <v>#DIV/0!</v>
      </c>
      <c r="E5" s="2685"/>
      <c r="F5" s="2686"/>
      <c r="G5" s="2686"/>
      <c r="H5" s="2687"/>
      <c r="I5" s="2687"/>
      <c r="J5" s="2687"/>
      <c r="K5" s="2687"/>
    </row>
    <row r="6" spans="1:11" ht="16.5">
      <c r="A6" s="2512" t="s">
        <v>656</v>
      </c>
      <c r="B6" s="2512">
        <f>SUM(G14:G23)</f>
        <v>271</v>
      </c>
      <c r="C6" s="2512">
        <f ca="1">IF(B6=G14,结果表!H108,ROUND(B6*10000/$B$1,0))</f>
        <v>0</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f>ROUND(D14*1.1,0)</f>
        <v>298</v>
      </c>
      <c r="E11" s="2685"/>
      <c r="F11" s="2686"/>
      <c r="G11" s="2686"/>
      <c r="H11" s="2687"/>
      <c r="I11" s="2687"/>
      <c r="J11" s="2687"/>
      <c r="K11" s="2687"/>
    </row>
    <row r="12" spans="1:11" ht="16.5">
      <c r="A12" s="2685"/>
      <c r="B12" s="2685"/>
      <c r="C12" s="3467" t="s">
        <v>3415</v>
      </c>
      <c r="D12" s="3467">
        <f>Sheet1!G5</f>
        <v>296</v>
      </c>
      <c r="E12" s="3467">
        <f>Sheet1!F5</f>
        <v>9558</v>
      </c>
      <c r="F12" s="2686">
        <f>ROUND(E14*1.1,0)</f>
        <v>9625</v>
      </c>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v>309.42</v>
      </c>
      <c r="C14" s="2518"/>
      <c r="D14" s="2518">
        <f>ROUND(E14*B14/10000,0)</f>
        <v>271</v>
      </c>
      <c r="E14" s="2518">
        <v>8750</v>
      </c>
      <c r="F14" s="2518" t="e">
        <f>ROUND(D14*10000/C14,0)</f>
        <v>#DIV/0!</v>
      </c>
      <c r="G14" s="2518">
        <f>D14</f>
        <v>271</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 zoomScaleNormal="100" zoomScaleSheetLayoutView="10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4" t="str">
        <f>项目基本情况!S2</f>
        <v>北京市昌平区双营西路78号院2号楼17层1714办公用房房地产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754" t="s">
        <v>1265</v>
      </c>
      <c r="B4" s="1755" t="s">
        <v>1266</v>
      </c>
      <c r="C4" s="1756"/>
      <c r="D4" s="1756"/>
      <c r="E4" s="3610" t="s">
        <v>1267</v>
      </c>
      <c r="F4" s="3611"/>
      <c r="G4" s="3611"/>
      <c r="H4" s="3611"/>
      <c r="I4" s="3612"/>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4" t="s">
        <v>1268</v>
      </c>
      <c r="B5" s="3571">
        <v>25</v>
      </c>
      <c r="C5" s="3587"/>
      <c r="D5" s="3607"/>
      <c r="E5" s="131" t="s">
        <v>1269</v>
      </c>
      <c r="F5" s="1757"/>
      <c r="G5" s="1757"/>
      <c r="H5" s="1757"/>
      <c r="I5" s="1373"/>
    </row>
    <row r="6" spans="1:12" ht="12.75">
      <c r="A6" s="3584"/>
      <c r="B6" s="3571"/>
      <c r="C6" s="3588"/>
      <c r="D6" s="3607"/>
      <c r="E6" s="131" t="s">
        <v>1270</v>
      </c>
      <c r="F6" s="1757"/>
      <c r="G6" s="1757"/>
      <c r="H6" s="1757"/>
      <c r="I6" s="1373"/>
    </row>
    <row r="7" spans="1:12" ht="12.75">
      <c r="A7" s="3584"/>
      <c r="B7" s="3571"/>
      <c r="C7" s="3589"/>
      <c r="D7" s="3607"/>
      <c r="E7" s="131" t="s">
        <v>1271</v>
      </c>
      <c r="F7" s="1757"/>
      <c r="G7" s="1757"/>
      <c r="H7" s="1757"/>
      <c r="I7" s="1373"/>
    </row>
    <row r="8" spans="1:12" ht="12.75">
      <c r="A8" s="3584" t="s">
        <v>1272</v>
      </c>
      <c r="B8" s="3571">
        <v>15</v>
      </c>
      <c r="C8" s="3587"/>
      <c r="D8" s="3607"/>
      <c r="E8" s="131" t="s">
        <v>1273</v>
      </c>
      <c r="F8" s="1757"/>
      <c r="G8" s="1757"/>
      <c r="H8" s="1757"/>
      <c r="I8" s="1373"/>
    </row>
    <row r="9" spans="1:12" ht="12.75">
      <c r="A9" s="3584"/>
      <c r="B9" s="3571"/>
      <c r="C9" s="3589"/>
      <c r="D9" s="3607"/>
      <c r="E9" s="131" t="s">
        <v>1274</v>
      </c>
      <c r="F9" s="1757"/>
      <c r="G9" s="1757"/>
      <c r="H9" s="1757"/>
      <c r="I9" s="1373"/>
    </row>
    <row r="10" spans="1:12" ht="12.75">
      <c r="A10" s="3584" t="s">
        <v>1275</v>
      </c>
      <c r="B10" s="3571">
        <v>15</v>
      </c>
      <c r="C10" s="3587"/>
      <c r="D10" s="3607"/>
      <c r="E10" s="131" t="s">
        <v>1276</v>
      </c>
      <c r="F10" s="1757"/>
      <c r="G10" s="1757"/>
      <c r="H10" s="1757"/>
      <c r="I10" s="1373"/>
    </row>
    <row r="11" spans="1:12" ht="12.75">
      <c r="A11" s="3584"/>
      <c r="B11" s="3571"/>
      <c r="C11" s="3589"/>
      <c r="D11" s="3607"/>
      <c r="E11" s="131" t="s">
        <v>1277</v>
      </c>
      <c r="F11" s="1757"/>
      <c r="G11" s="1757"/>
      <c r="H11" s="1757"/>
      <c r="I11" s="1373"/>
    </row>
    <row r="12" spans="1:12" ht="12.75">
      <c r="A12" s="3584" t="s">
        <v>1278</v>
      </c>
      <c r="B12" s="3571">
        <v>15</v>
      </c>
      <c r="C12" s="3587"/>
      <c r="D12" s="3607"/>
      <c r="E12" s="131" t="s">
        <v>1279</v>
      </c>
      <c r="F12" s="1757"/>
      <c r="G12" s="1757"/>
      <c r="H12" s="1757"/>
      <c r="I12" s="1373"/>
    </row>
    <row r="13" spans="1:12" ht="12.75">
      <c r="A13" s="3584"/>
      <c r="B13" s="3571"/>
      <c r="C13" s="3589"/>
      <c r="D13" s="3607"/>
      <c r="E13" s="131" t="s">
        <v>1280</v>
      </c>
      <c r="F13" s="1757"/>
      <c r="G13" s="1757"/>
      <c r="H13" s="1757"/>
      <c r="I13" s="1373"/>
    </row>
    <row r="14" spans="1:12" ht="12.75">
      <c r="A14" s="3584" t="s">
        <v>1281</v>
      </c>
      <c r="B14" s="3571">
        <v>30</v>
      </c>
      <c r="C14" s="3587"/>
      <c r="D14" s="3607"/>
      <c r="E14" s="131" t="s">
        <v>1282</v>
      </c>
      <c r="F14" s="1757"/>
      <c r="G14" s="1757"/>
      <c r="H14" s="1757"/>
      <c r="I14" s="1373"/>
    </row>
    <row r="15" spans="1:12" ht="12.75">
      <c r="A15" s="3584"/>
      <c r="B15" s="3571"/>
      <c r="C15" s="3588"/>
      <c r="D15" s="3607"/>
      <c r="E15" s="131" t="s">
        <v>1283</v>
      </c>
      <c r="F15" s="1757"/>
      <c r="G15" s="1757"/>
      <c r="H15" s="1757"/>
      <c r="I15" s="1373"/>
    </row>
    <row r="16" spans="1:12" ht="12.75">
      <c r="A16" s="3584"/>
      <c r="B16" s="3571"/>
      <c r="C16" s="3589"/>
      <c r="D16" s="3607"/>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4" t="s">
        <v>2131</v>
      </c>
      <c r="F18" s="3595"/>
      <c r="G18" s="3595"/>
      <c r="H18" s="3595"/>
      <c r="I18" s="3595"/>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8" t="s">
        <v>1299</v>
      </c>
      <c r="B24" s="1762" t="s">
        <v>1291</v>
      </c>
      <c r="C24" s="136">
        <f>IF(B30=0,0,D30)</f>
        <v>0</v>
      </c>
      <c r="D24" s="1769"/>
      <c r="E24" s="129"/>
      <c r="F24" s="129"/>
      <c r="G24" s="129"/>
      <c r="H24" s="129"/>
      <c r="I24" s="129"/>
    </row>
    <row r="25" spans="1:36" ht="14.25">
      <c r="A25" s="357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8" t="s">
        <v>1312</v>
      </c>
      <c r="B36" s="1787" t="s">
        <v>1313</v>
      </c>
      <c r="C36" s="145"/>
      <c r="D36" s="1788"/>
      <c r="E36" s="1789"/>
      <c r="F36" s="1790"/>
      <c r="G36" s="129"/>
      <c r="H36" s="129"/>
      <c r="I36" s="129"/>
    </row>
    <row r="37" spans="1:15" ht="15.75" thickBot="1">
      <c r="A37" s="3599"/>
      <c r="B37" s="1674" t="s">
        <v>1314</v>
      </c>
      <c r="C37" s="147"/>
      <c r="D37" s="1139"/>
      <c r="E37" s="1139"/>
      <c r="F37" s="1790"/>
      <c r="G37" s="129"/>
      <c r="H37" s="129"/>
      <c r="I37" s="129"/>
    </row>
    <row r="38" spans="1:15" ht="15.75" thickBot="1">
      <c r="A38" s="360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5" t="s">
        <v>1326</v>
      </c>
      <c r="B45" s="3576"/>
      <c r="C45" s="3577"/>
      <c r="D45" s="155" t="e">
        <f ca="1">ROUND(H101*F45,0)</f>
        <v>#REF!</v>
      </c>
      <c r="E45" s="156" t="s">
        <v>1327</v>
      </c>
      <c r="F45" s="157">
        <v>1</v>
      </c>
      <c r="G45" s="158" t="s">
        <v>1328</v>
      </c>
      <c r="H45" s="129"/>
      <c r="I45" s="129"/>
      <c r="J45" s="3653" t="s">
        <v>1329</v>
      </c>
      <c r="K45" s="3653"/>
      <c r="L45" s="3653"/>
      <c r="M45" s="3653"/>
      <c r="N45" s="3653"/>
      <c r="O45" s="3653"/>
    </row>
    <row r="46" spans="1:15" ht="14.25" customHeight="1">
      <c r="A46" s="3572" t="s">
        <v>1330</v>
      </c>
      <c r="B46" s="3573"/>
      <c r="C46" s="3573"/>
      <c r="D46" s="3573"/>
      <c r="E46" s="3573"/>
      <c r="F46" s="3573"/>
      <c r="G46" s="3574"/>
      <c r="H46" s="1806"/>
      <c r="I46" s="159"/>
      <c r="J46" s="2523">
        <v>1</v>
      </c>
      <c r="K46" s="3634" t="s">
        <v>1331</v>
      </c>
      <c r="L46" s="3634"/>
      <c r="M46" s="3654"/>
      <c r="N46" s="3654"/>
      <c r="O46" s="3654"/>
    </row>
    <row r="47" spans="1:15" ht="12" customHeight="1">
      <c r="A47" s="160" t="s">
        <v>1332</v>
      </c>
      <c r="B47" s="161"/>
      <c r="C47" s="162"/>
      <c r="D47" s="1087" t="s">
        <v>1333</v>
      </c>
      <c r="E47" s="302" t="s">
        <v>1334</v>
      </c>
      <c r="F47" s="163" t="s">
        <v>1335</v>
      </c>
      <c r="G47" s="2546" t="s">
        <v>1336</v>
      </c>
      <c r="H47" s="2547"/>
      <c r="I47" s="159"/>
      <c r="J47" s="2523">
        <v>2</v>
      </c>
      <c r="K47" s="3634" t="s">
        <v>1337</v>
      </c>
      <c r="L47" s="3634"/>
      <c r="M47" s="3655">
        <f>'数据-取费表'!B2</f>
        <v>45817</v>
      </c>
      <c r="N47" s="3655"/>
      <c r="O47" s="3655"/>
    </row>
    <row r="48" spans="1:15" ht="25.5">
      <c r="A48" s="3603" t="s">
        <v>1338</v>
      </c>
      <c r="B48" s="3586"/>
      <c r="C48" s="3586"/>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4" t="s">
        <v>1340</v>
      </c>
      <c r="L48" s="3634"/>
      <c r="M48" s="3656" t="e">
        <f ca="1">H101</f>
        <v>#REF!</v>
      </c>
      <c r="N48" s="3656"/>
      <c r="O48" s="3656"/>
    </row>
    <row r="49" spans="1:35" ht="25.5" customHeight="1">
      <c r="A49" s="2333" t="s">
        <v>1341</v>
      </c>
      <c r="B49" s="3570" t="s">
        <v>1342</v>
      </c>
      <c r="C49" s="3570"/>
      <c r="D49" s="1590">
        <v>0</v>
      </c>
      <c r="E49" s="324" t="s">
        <v>1343</v>
      </c>
      <c r="F49" s="2424" t="s">
        <v>28</v>
      </c>
      <c r="G49" s="3640"/>
      <c r="H49" s="2310" t="s">
        <v>2134</v>
      </c>
      <c r="I49" s="2311"/>
      <c r="J49" s="2523">
        <v>4</v>
      </c>
      <c r="K49" s="3634" t="str">
        <f>IF(项目基本情况!E8="房地产抵押价值","房地产抵押价值","抵押担保权已注销时的房地产抵押价值")</f>
        <v>房地产抵押价值</v>
      </c>
      <c r="L49" s="3634"/>
      <c r="M49" s="3656" t="str">
        <f ca="1">IF(项目基本情况!E8="房地产抵押价值",H107,H109)</f>
        <v>——</v>
      </c>
      <c r="N49" s="3656"/>
      <c r="O49" s="3656"/>
    </row>
    <row r="50" spans="1:35" ht="25.5" customHeight="1">
      <c r="A50" s="2551"/>
      <c r="B50" s="3570" t="s">
        <v>1344</v>
      </c>
      <c r="C50" s="3570"/>
      <c r="D50" s="2552"/>
      <c r="E50" s="332"/>
      <c r="F50" s="2424"/>
      <c r="G50" s="3641"/>
      <c r="H50" s="2312" t="s">
        <v>2135</v>
      </c>
      <c r="I50" s="2311"/>
      <c r="J50" s="3653" t="s">
        <v>1345</v>
      </c>
      <c r="K50" s="3653"/>
      <c r="L50" s="3653"/>
      <c r="M50" s="3653"/>
      <c r="N50" s="3653"/>
      <c r="O50" s="3653"/>
    </row>
    <row r="51" spans="1:35" ht="20.45" customHeight="1">
      <c r="A51" s="2553"/>
      <c r="B51" s="3570" t="s">
        <v>1346</v>
      </c>
      <c r="C51" s="3570"/>
      <c r="D51" s="1087"/>
      <c r="E51" s="327"/>
      <c r="F51" s="2424"/>
      <c r="G51" s="3642"/>
      <c r="H51" s="2312" t="s">
        <v>2136</v>
      </c>
      <c r="I51" s="2311"/>
      <c r="J51" s="2524" t="s">
        <v>1347</v>
      </c>
      <c r="K51" s="3634" t="s">
        <v>1348</v>
      </c>
      <c r="L51" s="3634"/>
      <c r="M51" s="2524" t="s">
        <v>1349</v>
      </c>
      <c r="N51" s="2524" t="s">
        <v>1350</v>
      </c>
      <c r="O51" s="2524" t="s">
        <v>1351</v>
      </c>
    </row>
    <row r="52" spans="1:35" ht="24" customHeight="1">
      <c r="A52" s="2335" t="s">
        <v>1352</v>
      </c>
      <c r="B52" s="3570" t="s">
        <v>1353</v>
      </c>
      <c r="C52" s="3570"/>
      <c r="D52" s="1087" t="e">
        <f ca="1">ROUND(D45*'数据-取费表'!B41/(1+'数据-取费表'!C42),0)</f>
        <v>#REF!</v>
      </c>
      <c r="E52" s="2334" t="s">
        <v>1354</v>
      </c>
      <c r="F52" s="2554">
        <f>'数据-取费表'!B41</f>
        <v>0</v>
      </c>
      <c r="G52" s="2555"/>
      <c r="H52" s="2544"/>
      <c r="I52" s="1807"/>
      <c r="J52" s="2523">
        <v>1</v>
      </c>
      <c r="K52" s="3635" t="s">
        <v>1355</v>
      </c>
      <c r="L52" s="3635"/>
      <c r="M52" s="2525" t="b">
        <f>D48</f>
        <v>0</v>
      </c>
      <c r="N52" s="2523" t="str">
        <f>E48</f>
        <v>销售额×税（费）率</v>
      </c>
      <c r="O52" s="2526">
        <f>F48</f>
        <v>0</v>
      </c>
    </row>
    <row r="53" spans="1:35" ht="12" customHeight="1">
      <c r="A53" s="2335" t="s">
        <v>1356</v>
      </c>
      <c r="B53" s="3596" t="s">
        <v>2291</v>
      </c>
      <c r="C53" s="3597"/>
      <c r="D53" s="1087" t="e">
        <f ca="1">ROUND(D45*'数据-取费表'!B41/(1+'数据-取费表'!C42),0)</f>
        <v>#REF!</v>
      </c>
      <c r="E53" s="2334" t="s">
        <v>1354</v>
      </c>
      <c r="F53" s="2554">
        <f>'数据-取费表'!B41</f>
        <v>0</v>
      </c>
      <c r="G53" s="2555"/>
      <c r="H53" s="2544"/>
      <c r="I53" s="1807"/>
      <c r="J53" s="2523">
        <v>2</v>
      </c>
      <c r="K53" s="3635" t="s">
        <v>1357</v>
      </c>
      <c r="L53" s="3635"/>
      <c r="M53" s="2525" t="e">
        <f t="shared" ref="M53:O54" ca="1" si="0">D55</f>
        <v>#REF!</v>
      </c>
      <c r="N53" s="2523" t="str">
        <f t="shared" si="0"/>
        <v>销售额×税（费）率</v>
      </c>
      <c r="O53" s="2526" t="str">
        <f t="shared" si="0"/>
        <v>免征</v>
      </c>
    </row>
    <row r="54" spans="1:35" ht="12" customHeight="1">
      <c r="A54" s="2335" t="s">
        <v>1358</v>
      </c>
      <c r="B54" s="3596" t="s">
        <v>2292</v>
      </c>
      <c r="C54" s="3597"/>
      <c r="D54" s="1087" t="e">
        <f ca="1">C68</f>
        <v>#REF!</v>
      </c>
      <c r="E54" s="327" t="s">
        <v>1359</v>
      </c>
      <c r="F54" s="2554">
        <f>'数据-取费表'!B41</f>
        <v>0</v>
      </c>
      <c r="G54" s="2555"/>
      <c r="H54" s="2556"/>
      <c r="I54" s="1807"/>
      <c r="J54" s="2523">
        <v>3</v>
      </c>
      <c r="K54" s="3635" t="s">
        <v>1360</v>
      </c>
      <c r="L54" s="3635"/>
      <c r="M54" s="2525" t="e">
        <f t="shared" ca="1" si="0"/>
        <v>#REF!</v>
      </c>
      <c r="N54" s="2523" t="str">
        <f t="shared" si="0"/>
        <v>增值额×税（费）率</v>
      </c>
      <c r="O54" s="2527" t="str">
        <f t="shared" si="0"/>
        <v>免征</v>
      </c>
    </row>
    <row r="55" spans="1:35" ht="24" customHeight="1">
      <c r="A55" s="3585" t="s">
        <v>1361</v>
      </c>
      <c r="B55" s="3586"/>
      <c r="C55" s="3586"/>
      <c r="D55" s="2324" t="e">
        <f ca="1">IF(H55="个人住宅",0,ROUND(D45*I55,0))</f>
        <v>#REF!</v>
      </c>
      <c r="E55" s="2334" t="s">
        <v>1362</v>
      </c>
      <c r="F55" s="2554" t="str">
        <f>IF(H55="正常",I55,"免征")</f>
        <v>免征</v>
      </c>
      <c r="G55" s="2555"/>
      <c r="H55" s="2550"/>
      <c r="I55" s="165">
        <f>'数据-取费表'!B49</f>
        <v>0</v>
      </c>
      <c r="J55" s="2523">
        <f>IF(H59="非个人房产","",4)</f>
        <v>4</v>
      </c>
      <c r="K55" s="3635" t="str">
        <f>IF(H59="非个人房产","——","个人所得税")</f>
        <v>个人所得税</v>
      </c>
      <c r="L55" s="3635"/>
      <c r="M55" s="2528" t="e">
        <f ca="1">D59</f>
        <v>#REF!</v>
      </c>
      <c r="N55" s="2040" t="str">
        <f>E59</f>
        <v>差额计税</v>
      </c>
      <c r="O55" s="2529">
        <f>F59</f>
        <v>0.01</v>
      </c>
    </row>
    <row r="56" spans="1:35" ht="24.75">
      <c r="A56" s="3585" t="s">
        <v>1363</v>
      </c>
      <c r="B56" s="3586"/>
      <c r="C56" s="3586"/>
      <c r="D56" s="2324" t="e">
        <f ca="1">IF(H56="个人住宅",D57,D58)</f>
        <v>#REF!</v>
      </c>
      <c r="E56" s="2334" t="s">
        <v>1364</v>
      </c>
      <c r="F56" s="2554" t="str">
        <f>IF(H56="正常",F58,"免征")</f>
        <v>免征</v>
      </c>
      <c r="G56" s="2557" t="s">
        <v>1365</v>
      </c>
      <c r="H56" s="2558"/>
      <c r="I56" s="1808"/>
      <c r="J56" s="2523" t="str">
        <f>IF(项目基本情况!K6="上海银行",IF(J55="",4,J55+1),"")</f>
        <v/>
      </c>
      <c r="K56" s="3658" t="str">
        <f>IF(项目基本情况!K6="上海银行","其他处置费用","")</f>
        <v/>
      </c>
      <c r="L56" s="3659"/>
      <c r="M56" s="2525" t="str">
        <f>IF(项目基本情况!K6="上海银行",M69,"")</f>
        <v/>
      </c>
      <c r="N56" s="3658" t="str">
        <f>IF(项目基本情况!K6="上海银行","包含处置中涉及的律师、诉讼、拍卖、评估等费用","")</f>
        <v/>
      </c>
      <c r="O56" s="3661"/>
    </row>
    <row r="57" spans="1:35" ht="12.75">
      <c r="A57" s="2335" t="s">
        <v>1341</v>
      </c>
      <c r="B57" s="3596" t="s">
        <v>1366</v>
      </c>
      <c r="C57" s="3597"/>
      <c r="D57" s="1590">
        <v>0</v>
      </c>
      <c r="E57" s="324" t="s">
        <v>1343</v>
      </c>
      <c r="F57" s="302"/>
      <c r="G57" s="2555"/>
      <c r="H57" s="2559"/>
      <c r="I57" s="1808"/>
      <c r="J57" s="3635">
        <f>IF(AND(J55="",J56=""),4,IF(项目基本情况!K6="上海银行",结果表!J56+1,结果表!J55+1))</f>
        <v>5</v>
      </c>
      <c r="K57" s="3635" t="s">
        <v>1367</v>
      </c>
      <c r="L57" s="2530" t="s">
        <v>1368</v>
      </c>
      <c r="M57" s="2531"/>
      <c r="N57" s="2532">
        <f ca="1">SUMIF(M52:M56,"&lt;9e307")</f>
        <v>0</v>
      </c>
      <c r="O57" s="2533"/>
      <c r="P57" s="2689" t="e">
        <f ca="1">N57/M49</f>
        <v>#VALUE!</v>
      </c>
    </row>
    <row r="58" spans="1:35" ht="24.75">
      <c r="A58" s="2335" t="s">
        <v>1352</v>
      </c>
      <c r="B58" s="3596" t="s">
        <v>1369</v>
      </c>
      <c r="C58" s="3570"/>
      <c r="D58" s="2324" t="e">
        <f ca="1">IF(H58="转让取得",C81,C97)</f>
        <v>#REF!</v>
      </c>
      <c r="E58" s="2334" t="s">
        <v>1364</v>
      </c>
      <c r="F58" s="302" t="s">
        <v>28</v>
      </c>
      <c r="G58" s="2555"/>
      <c r="H58" s="2558"/>
      <c r="I58" s="1808"/>
      <c r="J58" s="3635"/>
      <c r="K58" s="3635"/>
      <c r="L58" s="2530" t="s">
        <v>1370</v>
      </c>
      <c r="M58" s="2534"/>
      <c r="N58" s="2535" t="str">
        <f ca="1">NUMBERSTRING(INT(N57*10000),2)&amp;"元整"</f>
        <v>零元整</v>
      </c>
      <c r="O58" s="2536"/>
    </row>
    <row r="59" spans="1:35" ht="24.75" thickBot="1">
      <c r="A59" s="3638" t="s">
        <v>1371</v>
      </c>
      <c r="B59" s="3639"/>
      <c r="C59" s="363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6">
        <f>J57+1</f>
        <v>6</v>
      </c>
      <c r="K59" s="3635" t="s">
        <v>1372</v>
      </c>
      <c r="L59" s="2523" t="s">
        <v>1368</v>
      </c>
      <c r="M59" s="2537"/>
      <c r="N59" s="2538" t="e">
        <f ca="1">M49-N57</f>
        <v>#VALUE!</v>
      </c>
      <c r="O59" s="2539"/>
    </row>
    <row r="60" spans="1:35" ht="12" customHeight="1">
      <c r="A60" s="1809"/>
      <c r="B60" s="1747"/>
      <c r="C60" s="1747"/>
      <c r="D60" s="1747"/>
      <c r="E60" s="1578"/>
      <c r="F60" s="1808"/>
      <c r="G60" s="1808"/>
      <c r="H60" s="1810"/>
      <c r="I60" s="129"/>
      <c r="J60" s="3637"/>
      <c r="K60" s="3635"/>
      <c r="L60" s="2530" t="s">
        <v>1370</v>
      </c>
      <c r="M60" s="2534"/>
      <c r="N60" s="2535" t="e">
        <f ca="1">NUMBERSTRING(INT(N59*10000),2)&amp;"元整"</f>
        <v>#VALUE!</v>
      </c>
      <c r="O60" s="2536"/>
    </row>
    <row r="61" spans="1:35" ht="13.5" thickBot="1">
      <c r="A61" s="3583" t="s">
        <v>1373</v>
      </c>
      <c r="B61" s="3583"/>
      <c r="C61" s="3583"/>
      <c r="D61" s="3583"/>
      <c r="E61" s="3583"/>
      <c r="F61" s="1808"/>
      <c r="G61" s="1808"/>
      <c r="H61" s="1810"/>
      <c r="I61" s="129"/>
      <c r="J61" s="2523">
        <f>J59+1</f>
        <v>7</v>
      </c>
      <c r="K61" s="3635" t="s">
        <v>1374</v>
      </c>
      <c r="L61" s="3635"/>
      <c r="M61" s="2540"/>
      <c r="N61" s="2541" t="e">
        <f ca="1">ROUND(N59*10000/'数据-汇总表'!E3,0)</f>
        <v>#VALUE!</v>
      </c>
      <c r="O61" s="2542"/>
    </row>
    <row r="62" spans="1:35" ht="12.75">
      <c r="A62" s="3601" t="s">
        <v>1375</v>
      </c>
      <c r="B62" s="3602"/>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60"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0"/>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60"/>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60"/>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0"/>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60"/>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60"/>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2" t="s">
        <v>1394</v>
      </c>
      <c r="B70" s="3623"/>
      <c r="C70" s="3623"/>
      <c r="D70" s="3623"/>
      <c r="E70" s="3623"/>
      <c r="F70" s="3623"/>
      <c r="G70" s="3623"/>
      <c r="H70" s="3623"/>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1375</v>
      </c>
      <c r="B71" s="3602"/>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6" t="s">
        <v>1402</v>
      </c>
      <c r="F76" s="3570"/>
      <c r="G76" s="3570"/>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80" t="s">
        <v>1406</v>
      </c>
      <c r="F78" s="3581"/>
      <c r="G78" s="3581"/>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2" t="s">
        <v>2129</v>
      </c>
      <c r="H90" s="366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0" t="s">
        <v>1419</v>
      </c>
      <c r="F91" s="3581"/>
      <c r="G91" s="358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0" t="s">
        <v>1422</v>
      </c>
      <c r="F92" s="3581"/>
      <c r="G92" s="3581"/>
      <c r="H92" s="359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80" t="s">
        <v>1406</v>
      </c>
      <c r="F93" s="3581"/>
      <c r="G93" s="3581"/>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1" t="s">
        <v>1426</v>
      </c>
      <c r="F94" s="3592"/>
      <c r="G94" s="3592"/>
      <c r="H94" s="359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0" t="s">
        <v>1428</v>
      </c>
      <c r="B100" s="3561"/>
      <c r="C100" s="3561"/>
      <c r="D100" s="3582"/>
      <c r="E100" s="3561" t="s">
        <v>1429</v>
      </c>
      <c r="F100" s="3561"/>
      <c r="G100" s="3561"/>
      <c r="H100" s="3582"/>
      <c r="I100" s="129"/>
    </row>
    <row r="101" spans="1:35" ht="18.75" customHeight="1">
      <c r="A101" s="3643" t="s">
        <v>1430</v>
      </c>
      <c r="B101" s="3644"/>
      <c r="C101" s="2585">
        <f>C4</f>
        <v>0</v>
      </c>
      <c r="D101" s="2586">
        <f>D4</f>
        <v>0</v>
      </c>
      <c r="E101" s="3657" t="s">
        <v>1431</v>
      </c>
      <c r="F101" s="3614"/>
      <c r="G101" s="1827" t="s">
        <v>1432</v>
      </c>
      <c r="H101" s="2595" t="e">
        <f ca="1">H118</f>
        <v>#REF!</v>
      </c>
      <c r="I101" s="129"/>
    </row>
    <row r="102" spans="1:35" ht="18.75" customHeight="1">
      <c r="A102" s="3616" t="s">
        <v>1433</v>
      </c>
      <c r="B102" s="2584" t="s">
        <v>1432</v>
      </c>
      <c r="C102" s="2585" t="e">
        <f ca="1">IF(D32="楼面单价",ROUND(C19,0),C19)</f>
        <v>#REF!</v>
      </c>
      <c r="D102" s="2586" t="e">
        <f ca="1">IF(D32="楼面单价",ROUND(D19,0),D19)</f>
        <v>#REF!</v>
      </c>
      <c r="E102" s="3657"/>
      <c r="F102" s="3614"/>
      <c r="G102" s="1827" t="s">
        <v>1434</v>
      </c>
      <c r="H102" s="2555" t="e">
        <f ca="1">I118</f>
        <v>#REF!</v>
      </c>
      <c r="I102" s="129"/>
    </row>
    <row r="103" spans="1:35" ht="42.75" customHeight="1">
      <c r="A103" s="3616"/>
      <c r="B103" s="2584" t="s">
        <v>1434</v>
      </c>
      <c r="C103" s="2587" t="e">
        <f ca="1">C20</f>
        <v>#REF!</v>
      </c>
      <c r="D103" s="2588" t="e">
        <f ca="1">D20</f>
        <v>#REF!</v>
      </c>
      <c r="E103" s="3651" t="s">
        <v>1435</v>
      </c>
      <c r="F103" s="3652"/>
      <c r="G103" s="1828" t="s">
        <v>1436</v>
      </c>
      <c r="H103" s="2595">
        <f>IF(D36="正常操作",H104+H105+H106,H105+H106)</f>
        <v>0</v>
      </c>
      <c r="I103" s="129"/>
    </row>
    <row r="104" spans="1:35" ht="18.75" customHeight="1">
      <c r="A104" s="361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3" t="str">
        <f>IF(项目基本情况!E8="已注销","——","3.房地产抵押价值")</f>
        <v>3.房地产抵押价值</v>
      </c>
      <c r="F107" s="3614"/>
      <c r="G107" s="1827" t="s">
        <v>1432</v>
      </c>
      <c r="H107" s="2595" t="e">
        <f ca="1">IF(E107="——","——",H101-H103)</f>
        <v>#REF!</v>
      </c>
      <c r="I107" s="129"/>
    </row>
    <row r="108" spans="1:35" ht="18.75" customHeight="1">
      <c r="A108" s="129"/>
      <c r="B108" s="129"/>
      <c r="C108" s="129"/>
      <c r="D108" s="129"/>
      <c r="E108" s="3613"/>
      <c r="F108" s="3614"/>
      <c r="G108" s="1827" t="s">
        <v>1434</v>
      </c>
      <c r="H108" s="2555">
        <f ca="1">IF(H107=H101,H102,ROUND(H107*10000/'数据-汇总表'!E3,0))</f>
        <v>0</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614"/>
      <c r="G109" s="1827" t="s">
        <v>1432</v>
      </c>
      <c r="H109" s="2598" t="str">
        <f>IF(E109="——","——",H101-H105-H106)</f>
        <v>——</v>
      </c>
      <c r="I109" s="129"/>
    </row>
    <row r="110" spans="1:35" ht="18.75" customHeight="1">
      <c r="A110" s="129"/>
      <c r="B110" s="129"/>
      <c r="C110" s="129"/>
      <c r="D110" s="129"/>
      <c r="E110" s="3613"/>
      <c r="F110" s="3614"/>
      <c r="G110" s="1827" t="s">
        <v>1434</v>
      </c>
      <c r="H110" s="2555"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v>
      </c>
      <c r="F111" s="3615"/>
      <c r="G111" s="1827" t="s">
        <v>1432</v>
      </c>
      <c r="H111" s="2595" t="str">
        <f>IF(E111="——","——",N59)</f>
        <v>——</v>
      </c>
      <c r="I111" s="129"/>
    </row>
    <row r="112" spans="1:35" ht="18.75" customHeight="1" thickBot="1">
      <c r="A112" s="129"/>
      <c r="B112" s="129"/>
      <c r="C112" s="129"/>
      <c r="D112" s="129"/>
      <c r="E112" s="3646"/>
      <c r="F112" s="3647"/>
      <c r="G112" s="1830" t="s">
        <v>1434</v>
      </c>
      <c r="H112" s="2599" t="str">
        <f>IF(E111="——","——",N61)</f>
        <v>——</v>
      </c>
      <c r="I112" s="129"/>
    </row>
    <row r="113" spans="1:27" ht="18.75" customHeight="1">
      <c r="A113" s="129"/>
      <c r="B113" s="129"/>
      <c r="C113" s="129"/>
      <c r="D113" s="129"/>
      <c r="E113" s="3618" t="s">
        <v>1440</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4" t="s">
        <v>1443</v>
      </c>
      <c r="B116" s="3619" t="s">
        <v>1444</v>
      </c>
      <c r="C116" s="3619" t="s">
        <v>1445</v>
      </c>
      <c r="D116" s="3632" t="s">
        <v>1446</v>
      </c>
      <c r="E116" s="3633"/>
      <c r="F116" s="3627" t="s">
        <v>1447</v>
      </c>
      <c r="G116" s="3627"/>
      <c r="H116" s="3584" t="s">
        <v>1448</v>
      </c>
      <c r="I116" s="3584"/>
    </row>
    <row r="117" spans="1:27" ht="18.75" customHeight="1">
      <c r="A117" s="3584"/>
      <c r="B117" s="3620"/>
      <c r="C117" s="3620"/>
      <c r="D117" s="2329" t="s">
        <v>1449</v>
      </c>
      <c r="E117" s="2329" t="s">
        <v>1450</v>
      </c>
      <c r="F117" s="2329" t="s">
        <v>1449</v>
      </c>
      <c r="G117" s="2329" t="s">
        <v>1451</v>
      </c>
      <c r="H117" s="2329" t="s">
        <v>1449</v>
      </c>
      <c r="I117" s="2329" t="s">
        <v>1451</v>
      </c>
    </row>
    <row r="118" spans="1:27" ht="24.75" customHeight="1">
      <c r="A118" s="2600" t="str">
        <f>项目基本情况!S2</f>
        <v>北京市昌平区双营西路78号院2号楼17层1714办公用房房地产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624" t="e">
        <f ca="1">NUMBERSTRING(INT(D118*10000),2)&amp;"元整"</f>
        <v>#REF!</v>
      </c>
      <c r="E119" s="3626"/>
      <c r="F119" s="3624" t="e">
        <f ca="1">NUMBERSTRING(INT(F118*10000),2)&amp;"元整"</f>
        <v>#REF!</v>
      </c>
      <c r="G119" s="3626"/>
      <c r="H119" s="3624" t="e">
        <f ca="1">NUMBERSTRING(INT(H118*10000),2)&amp;"元整"</f>
        <v>#REF!</v>
      </c>
      <c r="I119" s="3626"/>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4" t="s">
        <v>1452</v>
      </c>
      <c r="B121" s="3625"/>
      <c r="C121" s="3626"/>
      <c r="D121" s="3624" t="str">
        <f>IF(D120=0,"零元整",NUMBERSTRING(INT(D120*10000),2)&amp;"元整")</f>
        <v>零元整</v>
      </c>
      <c r="E121" s="3625"/>
      <c r="F121" s="3625"/>
      <c r="G121" s="3625"/>
      <c r="H121" s="3625"/>
      <c r="I121" s="3626"/>
      <c r="AA121" s="725"/>
    </row>
    <row r="122" spans="1:27" ht="18.75" customHeight="1">
      <c r="A122" s="3615" t="str">
        <f>IF(项目基本情况!B9="房地产市场价值","",MID(E107,3,LEN(E107)-2))</f>
        <v>房地产抵押价值</v>
      </c>
      <c r="B122" s="3615"/>
      <c r="C122" s="3615"/>
      <c r="D122" s="3648" t="e">
        <f ca="1">H107</f>
        <v>#REF!</v>
      </c>
      <c r="E122" s="3649"/>
      <c r="F122" s="3649"/>
      <c r="G122" s="3649"/>
      <c r="H122" s="3649"/>
      <c r="I122" s="3650"/>
      <c r="AA122" s="725"/>
    </row>
    <row r="123" spans="1:27" ht="18.75" customHeight="1">
      <c r="A123" s="3584" t="s">
        <v>1452</v>
      </c>
      <c r="B123" s="3584"/>
      <c r="C123" s="3584"/>
      <c r="D123" s="3624" t="e">
        <f ca="1">NUMBERSTRING(INT(D122*10000),2)&amp;"元整"</f>
        <v>#REF!</v>
      </c>
      <c r="E123" s="3625"/>
      <c r="F123" s="3625"/>
      <c r="G123" s="3625"/>
      <c r="H123" s="3625"/>
      <c r="I123" s="3626"/>
      <c r="AA123" s="725"/>
    </row>
    <row r="124" spans="1:27" ht="18.75" customHeight="1">
      <c r="A124" s="3615" t="str">
        <f>IF(项目基本情况!B9="房地产市场价值","",MID(E109,3,LEN(E109)-2))</f>
        <v/>
      </c>
      <c r="B124" s="3615"/>
      <c r="C124" s="3615"/>
      <c r="D124" s="3648" t="str">
        <f>H109</f>
        <v>——</v>
      </c>
      <c r="E124" s="3649"/>
      <c r="F124" s="3649"/>
      <c r="G124" s="3649"/>
      <c r="H124" s="3649"/>
      <c r="I124" s="3650"/>
      <c r="AA124" s="725"/>
    </row>
    <row r="125" spans="1:27" ht="18.75" customHeight="1">
      <c r="A125" s="3584" t="s">
        <v>1452</v>
      </c>
      <c r="B125" s="3584"/>
      <c r="C125" s="3584"/>
      <c r="D125" s="3624" t="e">
        <f>NUMBERSTRING(INT(D124*10000),2)&amp;"元整"</f>
        <v>#VALUE!</v>
      </c>
      <c r="E125" s="3625"/>
      <c r="F125" s="3625"/>
      <c r="G125" s="3625"/>
      <c r="H125" s="3625"/>
      <c r="I125" s="3626"/>
      <c r="AA125" s="725"/>
    </row>
    <row r="126" spans="1:27" ht="18.75" customHeight="1">
      <c r="A126" s="3615" t="str">
        <f>IF(项目基本情况!B9="房地产市场价值","",MID(E111,3,LEN(E111)-2))</f>
        <v/>
      </c>
      <c r="B126" s="3615"/>
      <c r="C126" s="3615"/>
      <c r="D126" s="3648" t="str">
        <f>H111</f>
        <v>——</v>
      </c>
      <c r="E126" s="3649"/>
      <c r="F126" s="3649"/>
      <c r="G126" s="3649"/>
      <c r="H126" s="3649"/>
      <c r="I126" s="3650"/>
      <c r="AA126" s="725"/>
    </row>
    <row r="127" spans="1:27" ht="18.75" customHeight="1">
      <c r="A127" s="3584" t="s">
        <v>1452</v>
      </c>
      <c r="B127" s="3584"/>
      <c r="C127" s="3584"/>
      <c r="D127" s="3624" t="e">
        <f>NUMBERSTRING(INT(D126*10000),2)&amp;"元整"</f>
        <v>#VALUE!</v>
      </c>
      <c r="E127" s="3625"/>
      <c r="F127" s="3625"/>
      <c r="G127" s="3625"/>
      <c r="H127" s="3625"/>
      <c r="I127" s="3626"/>
      <c r="AA127" s="725"/>
    </row>
    <row r="128" spans="1:27" ht="21.75" customHeight="1">
      <c r="A128" s="3631" t="s">
        <v>1453</v>
      </c>
      <c r="B128" s="3631"/>
      <c r="C128" s="3631"/>
      <c r="D128" s="3631"/>
      <c r="E128" s="3631"/>
      <c r="F128" s="3631"/>
      <c r="G128" s="3631"/>
      <c r="H128" s="3631"/>
      <c r="I128" s="363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7" t="str">
        <f>项目基本情况!B1</f>
        <v>北京市昌平区双营西路78号院2号楼17层1714办公用房房地产抵押价值预评估</v>
      </c>
      <c r="C37" s="3477"/>
      <c r="D37" s="3477"/>
      <c r="E37" s="3477"/>
      <c r="F37" s="3477"/>
      <c r="G37" s="3477"/>
      <c r="H37" s="3477"/>
      <c r="I37" s="347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4" t="s">
        <v>1544</v>
      </c>
    </row>
    <row r="43" spans="1:7" ht="13.5" customHeight="1">
      <c r="A43" s="780" t="s">
        <v>347</v>
      </c>
      <c r="B43" s="215" t="s">
        <v>1545</v>
      </c>
      <c r="C43" s="238" t="e">
        <f ca="1">ROUND(IF('数据-取费表'!B22&lt;=1,C39*F22*'数据-取费表'!B21/2,C39*(POWER((1+F22),'数据-取费表'!B21/2)-1)),0)</f>
        <v>#VALUE!</v>
      </c>
      <c r="D43" s="238"/>
      <c r="E43" s="238"/>
      <c r="F43" s="239"/>
      <c r="G43" s="3665"/>
    </row>
    <row r="44" spans="1:7" ht="13.5" customHeight="1">
      <c r="A44" s="780" t="s">
        <v>348</v>
      </c>
      <c r="B44" s="215" t="s">
        <v>1546</v>
      </c>
      <c r="C44" s="238" t="e">
        <f ca="1">ROUND(IF('数据-取费表'!B22&lt;=1,C40*F22*'数据-取费表'!B21/2,C40*(POWER((1+F22),'数据-取费表'!B21/2)-1)),4)</f>
        <v>#VALUE!</v>
      </c>
      <c r="D44" s="238"/>
      <c r="E44" s="238"/>
      <c r="F44" s="239"/>
      <c r="G44" s="3666"/>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3"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4" t="s">
        <v>1591</v>
      </c>
    </row>
    <row r="43" spans="1:7" ht="13.5" customHeight="1">
      <c r="A43" s="780" t="s">
        <v>347</v>
      </c>
      <c r="B43" s="215" t="s">
        <v>1545</v>
      </c>
      <c r="C43" s="238" t="e">
        <f ca="1">ROUND(IF('数据-取费表'!B22&lt;=1,C39*F22*'数据-取费表'!B20/2,C39*(POWER((1+F22),'数据-取费表'!B20/2)-1)),0)</f>
        <v>#VALUE!</v>
      </c>
      <c r="D43" s="238"/>
      <c r="E43" s="238"/>
      <c r="F43" s="239"/>
      <c r="G43" s="3665"/>
    </row>
    <row r="44" spans="1:7" ht="13.5" customHeight="1">
      <c r="A44" s="780" t="s">
        <v>348</v>
      </c>
      <c r="B44" s="215" t="s">
        <v>1546</v>
      </c>
      <c r="C44" s="238" t="e">
        <f ca="1">ROUND(IF('数据-取费表'!B22&lt;=1,C40*F22*'数据-取费表'!B20/2,C40*(POWER((1+F22),'数据-取费表'!B20/2)-1)),4)</f>
        <v>#VALUE!</v>
      </c>
      <c r="D44" s="238"/>
      <c r="E44" s="238"/>
      <c r="F44" s="239"/>
      <c r="G44" s="3666"/>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6</v>
      </c>
    </row>
    <row r="2" spans="1:33" ht="18" customHeight="1">
      <c r="A2" s="201" t="s">
        <v>1462</v>
      </c>
      <c r="B2" s="204" t="e">
        <f ca="1">C32</f>
        <v>#VALUE!</v>
      </c>
      <c r="C2" s="276" t="s">
        <v>1595</v>
      </c>
      <c r="D2" s="276"/>
      <c r="E2" s="2805"/>
      <c r="F2" s="2805"/>
      <c r="G2" s="2805"/>
      <c r="H2" s="2805"/>
      <c r="I2" s="2805"/>
      <c r="J2" s="2805"/>
      <c r="K2" s="2805"/>
    </row>
    <row r="3" spans="1:33" ht="18" customHeight="1" thickBot="1">
      <c r="A3" s="203" t="s">
        <v>1464</v>
      </c>
      <c r="B3" s="204" t="e">
        <f ca="1">ROUND(B2*10000/IF(C1="",'数据-汇总表'!E3,INDIRECT("'数据-取费表'!K"&amp;$K$1)),0)</f>
        <v>#VALUE!</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9" t="s">
        <v>694</v>
      </c>
      <c r="C6" s="1074">
        <f ca="1">ROUND(F6*F8*F7*(1-F9)/10000,0)</f>
        <v>0</v>
      </c>
      <c r="D6" s="155" t="s">
        <v>2109</v>
      </c>
      <c r="E6" s="302" t="s">
        <v>696</v>
      </c>
      <c r="F6" s="303">
        <f ca="1">INDIRECT("'数据-取费表'!u"&amp;$G$1)</f>
        <v>0</v>
      </c>
      <c r="G6" s="1384"/>
      <c r="H6" s="1069" t="s">
        <v>398</v>
      </c>
      <c r="I6" s="3669" t="s">
        <v>694</v>
      </c>
      <c r="J6" s="301">
        <f ca="1">ROUND(M6*M8*M7*(1-M9)/10000,0)</f>
        <v>0</v>
      </c>
      <c r="K6" s="155" t="s">
        <v>2108</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0</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ROUND(C29*F36,2)</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ROUND(C13*F37,2)</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#VALUE!</v>
      </c>
      <c r="C2" s="1387" t="s">
        <v>879</v>
      </c>
      <c r="D2" s="1471" t="e">
        <f ca="1">C40+J29+L46</f>
        <v>#VALUE!</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9" t="s">
        <v>694</v>
      </c>
      <c r="C6" s="1074">
        <f ca="1">ROUND(F6*F8*F7*(1-F9),0)</f>
        <v>0</v>
      </c>
      <c r="D6" s="155" t="s">
        <v>2106</v>
      </c>
      <c r="E6" s="302" t="s">
        <v>696</v>
      </c>
      <c r="F6" s="303">
        <f ca="1">INDIRECT("'数据-取费表'!u"&amp;$G$1)</f>
        <v>0</v>
      </c>
      <c r="G6" s="1384"/>
      <c r="H6" s="1069" t="s">
        <v>398</v>
      </c>
      <c r="I6" s="3669" t="s">
        <v>694</v>
      </c>
      <c r="J6" s="301">
        <f ca="1">ROUND(M6*M8*M7*(1-M9),0)</f>
        <v>0</v>
      </c>
      <c r="K6" s="1376" t="s">
        <v>2107</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0</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ROUND(C29*F36,0)</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ROUND(C13*F37,0)</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t="e">
        <f ca="1">ROUND((C68-C40)/10000,4)</f>
        <v>#VALUE!</v>
      </c>
      <c r="D45" s="3431" t="s">
        <v>3353</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678" t="s">
        <v>2317</v>
      </c>
      <c r="K2" s="3679"/>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80" t="s">
        <v>2327</v>
      </c>
      <c r="K3" s="3681"/>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80" t="s">
        <v>2329</v>
      </c>
      <c r="K4" s="3681"/>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86" t="s">
        <v>2333</v>
      </c>
      <c r="B6" s="3687"/>
      <c r="C6" s="3688"/>
      <c r="D6" s="2869"/>
      <c r="E6" s="2870"/>
      <c r="F6" s="2871"/>
      <c r="G6" s="2872"/>
      <c r="H6" s="2847"/>
      <c r="I6" s="2848"/>
      <c r="J6" s="3672">
        <v>1</v>
      </c>
      <c r="K6" s="3673"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72"/>
      <c r="K7" s="3674"/>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89" t="s">
        <v>2347</v>
      </c>
      <c r="C8" s="3690"/>
      <c r="D8" s="2888" t="s">
        <v>2348</v>
      </c>
      <c r="E8" s="2889" t="s">
        <v>2349</v>
      </c>
      <c r="F8" s="2890" t="s">
        <v>2350</v>
      </c>
      <c r="G8" s="2891"/>
      <c r="H8" s="2847"/>
      <c r="I8" s="2848"/>
      <c r="J8" s="3672"/>
      <c r="K8" s="3674"/>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89" t="s">
        <v>2353</v>
      </c>
      <c r="C9" s="3690"/>
      <c r="D9" s="2888">
        <f>ROUND(D6*E9,0)</f>
        <v>0</v>
      </c>
      <c r="E9" s="2892"/>
      <c r="F9" s="2893" t="s">
        <v>2354</v>
      </c>
      <c r="G9" s="2872"/>
      <c r="H9" s="2847"/>
      <c r="I9" s="2848"/>
      <c r="J9" s="3672"/>
      <c r="K9" s="3674"/>
      <c r="L9" s="2882" t="s">
        <v>2355</v>
      </c>
      <c r="M9" s="2883"/>
      <c r="N9" s="2859"/>
      <c r="O9" s="2884"/>
      <c r="P9" s="2884"/>
      <c r="Q9" s="2885">
        <v>365</v>
      </c>
      <c r="R9" s="2886">
        <f t="shared" si="0"/>
        <v>0</v>
      </c>
      <c r="S9" s="2840"/>
      <c r="T9" s="2840"/>
      <c r="U9" s="2840"/>
      <c r="V9" s="2848"/>
    </row>
    <row r="10" spans="1:22" s="2852" customFormat="1" ht="13.15" customHeight="1">
      <c r="A10" s="2887">
        <v>2</v>
      </c>
      <c r="B10" s="3689" t="s">
        <v>2356</v>
      </c>
      <c r="C10" s="3690"/>
      <c r="D10" s="2888">
        <f>ROUND(D6*E10,0)</f>
        <v>0</v>
      </c>
      <c r="E10" s="2892"/>
      <c r="F10" s="2893" t="s">
        <v>2357</v>
      </c>
      <c r="G10" s="2872"/>
      <c r="H10" s="2847"/>
      <c r="I10" s="2848"/>
      <c r="J10" s="3672"/>
      <c r="K10" s="3674"/>
      <c r="L10" s="2882" t="s">
        <v>2358</v>
      </c>
      <c r="M10" s="2883"/>
      <c r="N10" s="2859"/>
      <c r="O10" s="2884"/>
      <c r="P10" s="2884"/>
      <c r="Q10" s="2885">
        <v>365</v>
      </c>
      <c r="R10" s="2886">
        <f t="shared" si="0"/>
        <v>0</v>
      </c>
      <c r="S10" s="2840"/>
      <c r="T10" s="2840"/>
      <c r="U10" s="2840"/>
      <c r="V10" s="2848"/>
    </row>
    <row r="11" spans="1:22" s="2852" customFormat="1" ht="13.15" customHeight="1">
      <c r="A11" s="2887">
        <v>3</v>
      </c>
      <c r="B11" s="3689" t="s">
        <v>2359</v>
      </c>
      <c r="C11" s="3690"/>
      <c r="D11" s="2888">
        <f>D12+D14+D15+D16</f>
        <v>0</v>
      </c>
      <c r="E11" s="2894" t="e">
        <f>D11/D6</f>
        <v>#DIV/0!</v>
      </c>
      <c r="F11" s="2890"/>
      <c r="G11" s="2891"/>
      <c r="H11" s="2847"/>
      <c r="I11" s="2848"/>
      <c r="J11" s="3672"/>
      <c r="K11" s="3674"/>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82" t="s">
        <v>2362</v>
      </c>
      <c r="C12" s="3683"/>
      <c r="D12" s="2896">
        <f>ROUND(D13*1.2%*(1-30%),0)</f>
        <v>0</v>
      </c>
      <c r="E12" s="2897">
        <v>1.2E-2</v>
      </c>
      <c r="F12" s="2890" t="s">
        <v>2363</v>
      </c>
      <c r="G12" s="2891"/>
      <c r="H12" s="2847"/>
      <c r="I12" s="2848"/>
      <c r="J12" s="3672"/>
      <c r="K12" s="3674"/>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72"/>
      <c r="K13" s="3674"/>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82" t="s">
        <v>2368</v>
      </c>
      <c r="C14" s="3683"/>
      <c r="D14" s="2896">
        <f>ROUND(E14*B5/10000,0)</f>
        <v>0</v>
      </c>
      <c r="E14" s="2885"/>
      <c r="F14" s="2890" t="s">
        <v>2369</v>
      </c>
      <c r="G14" s="2891"/>
      <c r="H14" s="2847"/>
      <c r="I14" s="2848"/>
      <c r="J14" s="3672"/>
      <c r="K14" s="3675"/>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82" t="s">
        <v>2372</v>
      </c>
      <c r="C15" s="3683"/>
      <c r="D15" s="2896">
        <f>ROUND(D6*E15,0)</f>
        <v>0</v>
      </c>
      <c r="E15" s="2897">
        <v>5.5E-2</v>
      </c>
      <c r="F15" s="2890" t="s">
        <v>2373</v>
      </c>
      <c r="G15" s="2872"/>
      <c r="H15" s="2847"/>
      <c r="I15" s="2848"/>
      <c r="J15" s="3672">
        <v>2</v>
      </c>
      <c r="K15" s="3673"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82" t="s">
        <v>2381</v>
      </c>
      <c r="C16" s="3683"/>
      <c r="D16" s="2907">
        <f>D6*E16</f>
        <v>0</v>
      </c>
      <c r="E16" s="2908"/>
      <c r="F16" s="2893" t="s">
        <v>2382</v>
      </c>
      <c r="G16" s="2872"/>
      <c r="H16" s="2847"/>
      <c r="I16" s="2848"/>
      <c r="J16" s="3672"/>
      <c r="K16" s="3674"/>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84" t="s">
        <v>2384</v>
      </c>
      <c r="C17" s="3685"/>
      <c r="D17" s="2910">
        <f>ROUND(D6*E17,0)</f>
        <v>0</v>
      </c>
      <c r="E17" s="2911"/>
      <c r="F17" s="2912" t="s">
        <v>2385</v>
      </c>
      <c r="G17" s="2872"/>
      <c r="H17" s="2847"/>
      <c r="I17" s="2848"/>
      <c r="J17" s="3672"/>
      <c r="K17" s="3674"/>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72"/>
      <c r="K18" s="3674"/>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72"/>
      <c r="K19" s="3675"/>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2">
        <v>3</v>
      </c>
      <c r="K20" s="3673"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72"/>
      <c r="K21" s="3674"/>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72"/>
      <c r="K22" s="3674"/>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72"/>
      <c r="K23" s="3674"/>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72"/>
      <c r="K24" s="3675"/>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76">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7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78" t="s">
        <v>2317</v>
      </c>
      <c r="K32" s="3679"/>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80" t="s">
        <v>2327</v>
      </c>
      <c r="K33" s="3681"/>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80" t="s">
        <v>2329</v>
      </c>
      <c r="K34" s="368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72">
        <v>1</v>
      </c>
      <c r="K36" s="3673"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72"/>
      <c r="K37" s="3674"/>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2"/>
      <c r="K38" s="3674"/>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72"/>
      <c r="K39" s="3674"/>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72"/>
      <c r="K40" s="3675"/>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6">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7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6"/>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91" t="s">
        <v>1654</v>
      </c>
      <c r="C5" s="3692"/>
      <c r="D5" s="2707"/>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8"/>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11" t="s">
        <v>1667</v>
      </c>
      <c r="D4" s="3712"/>
      <c r="E4" s="3713" t="s">
        <v>1668</v>
      </c>
      <c r="F4" s="3714"/>
      <c r="G4" s="3711" t="s">
        <v>1669</v>
      </c>
      <c r="H4" s="3712"/>
      <c r="I4" s="3711" t="s">
        <v>1670</v>
      </c>
      <c r="J4" s="3712"/>
      <c r="K4" s="1889" t="s">
        <v>1671</v>
      </c>
      <c r="L4" s="2714"/>
      <c r="M4" s="2715"/>
      <c r="N4" s="2715"/>
      <c r="O4" s="2715"/>
      <c r="P4" s="3715" t="s">
        <v>1672</v>
      </c>
      <c r="Q4" s="3716"/>
      <c r="R4" s="3721" t="s">
        <v>1668</v>
      </c>
      <c r="S4" s="3722"/>
      <c r="T4" s="3721" t="s">
        <v>1669</v>
      </c>
      <c r="U4" s="3722"/>
      <c r="V4" s="3727" t="s">
        <v>1670</v>
      </c>
      <c r="W4" s="3727"/>
      <c r="X4" s="1355"/>
      <c r="Y4" s="3721" t="s">
        <v>1672</v>
      </c>
      <c r="Z4" s="3722"/>
      <c r="AA4" s="3708" t="s">
        <v>1668</v>
      </c>
      <c r="AB4" s="3708" t="s">
        <v>1669</v>
      </c>
      <c r="AC4" s="3708" t="s">
        <v>1670</v>
      </c>
    </row>
    <row r="5" spans="1:29" ht="15">
      <c r="A5" s="358"/>
      <c r="B5" s="359"/>
      <c r="C5" s="3730" t="s">
        <v>1673</v>
      </c>
      <c r="D5" s="3731"/>
      <c r="E5" s="3737" t="s">
        <v>1674</v>
      </c>
      <c r="F5" s="3738"/>
      <c r="G5" s="3730" t="s">
        <v>1675</v>
      </c>
      <c r="H5" s="3731"/>
      <c r="I5" s="3730" t="s">
        <v>1676</v>
      </c>
      <c r="J5" s="3731"/>
      <c r="K5" s="1890"/>
      <c r="L5" s="2714"/>
      <c r="M5" s="2715"/>
      <c r="N5" s="2715"/>
      <c r="O5" s="2715"/>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1890" t="s">
        <v>1678</v>
      </c>
      <c r="L6" s="2714"/>
      <c r="M6" s="2715"/>
      <c r="N6" s="2715"/>
      <c r="O6" s="2715"/>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45817</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32" t="s">
        <v>1680</v>
      </c>
      <c r="Q7" s="3734"/>
      <c r="R7" s="701" t="s">
        <v>20</v>
      </c>
      <c r="S7" s="702">
        <f t="shared" ref="S7:S15" si="0">F7</f>
        <v>0</v>
      </c>
      <c r="T7" s="701" t="s">
        <v>20</v>
      </c>
      <c r="U7" s="702">
        <f t="shared" ref="U7:U15" si="1">H7</f>
        <v>0</v>
      </c>
      <c r="V7" s="701" t="s">
        <v>20</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32" t="s">
        <v>1683</v>
      </c>
      <c r="Q8" s="3733"/>
      <c r="R8" s="701" t="s">
        <v>20</v>
      </c>
      <c r="S8" s="702">
        <f t="shared" si="0"/>
        <v>100</v>
      </c>
      <c r="T8" s="701" t="s">
        <v>20</v>
      </c>
      <c r="U8" s="702">
        <f t="shared" si="1"/>
        <v>100</v>
      </c>
      <c r="V8" s="701" t="s">
        <v>20</v>
      </c>
      <c r="W8" s="702">
        <f t="shared" si="2"/>
        <v>100</v>
      </c>
      <c r="X8" s="703"/>
      <c r="Y8" s="3732" t="s">
        <v>1683</v>
      </c>
      <c r="Z8" s="373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7"/>
      <c r="Q11" s="1343" t="str">
        <f t="shared" si="6"/>
        <v>容积率</v>
      </c>
      <c r="R11" s="701" t="s">
        <v>18</v>
      </c>
      <c r="S11" s="702" t="e">
        <f t="shared" si="0"/>
        <v>#N/A</v>
      </c>
      <c r="T11" s="701" t="s">
        <v>18</v>
      </c>
      <c r="U11" s="702" t="e">
        <f t="shared" si="1"/>
        <v>#N/A</v>
      </c>
      <c r="V11" s="701" t="s">
        <v>18</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07"/>
      <c r="Q12" s="1343">
        <f t="shared" si="6"/>
        <v>111</v>
      </c>
      <c r="R12" s="701" t="s">
        <v>18</v>
      </c>
      <c r="S12" s="702">
        <f t="shared" si="0"/>
        <v>100</v>
      </c>
      <c r="T12" s="701" t="s">
        <v>18</v>
      </c>
      <c r="U12" s="702">
        <f t="shared" si="1"/>
        <v>100</v>
      </c>
      <c r="V12" s="701" t="s">
        <v>18</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07"/>
      <c r="Q13" s="1343">
        <f t="shared" si="6"/>
        <v>111</v>
      </c>
      <c r="R13" s="701" t="s">
        <v>18</v>
      </c>
      <c r="S13" s="702">
        <f t="shared" si="0"/>
        <v>100</v>
      </c>
      <c r="T13" s="701" t="s">
        <v>18</v>
      </c>
      <c r="U13" s="702">
        <f t="shared" si="1"/>
        <v>100</v>
      </c>
      <c r="V13" s="701" t="s">
        <v>18</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07"/>
      <c r="Q14" s="1343">
        <f t="shared" si="6"/>
        <v>111</v>
      </c>
      <c r="R14" s="701" t="s">
        <v>18</v>
      </c>
      <c r="S14" s="702">
        <f t="shared" si="0"/>
        <v>100</v>
      </c>
      <c r="T14" s="701" t="s">
        <v>18</v>
      </c>
      <c r="U14" s="702">
        <f t="shared" si="1"/>
        <v>100</v>
      </c>
      <c r="V14" s="701" t="s">
        <v>18</v>
      </c>
      <c r="W14" s="702">
        <f t="shared" si="2"/>
        <v>100</v>
      </c>
      <c r="X14" s="703"/>
      <c r="Y14" s="357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27" t="s">
        <v>1772</v>
      </c>
      <c r="AC4" s="3708" t="s">
        <v>1773</v>
      </c>
    </row>
    <row r="5" spans="1:29"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27"/>
      <c r="AC5" s="3709"/>
    </row>
    <row r="6" spans="1:29" ht="15.75" thickBot="1">
      <c r="A6" s="360"/>
      <c r="B6" s="361"/>
      <c r="C6" s="3728" t="s">
        <v>1677</v>
      </c>
      <c r="D6" s="3729"/>
      <c r="E6" s="3735" t="s">
        <v>1677</v>
      </c>
      <c r="F6" s="3736"/>
      <c r="G6" s="3728" t="s">
        <v>1677</v>
      </c>
      <c r="H6" s="3729"/>
      <c r="I6" s="3728" t="s">
        <v>1677</v>
      </c>
      <c r="J6" s="3729"/>
      <c r="K6" s="559" t="s">
        <v>1678</v>
      </c>
      <c r="L6" s="2714"/>
      <c r="M6" s="2715"/>
      <c r="N6" s="2715"/>
      <c r="O6" s="2715"/>
      <c r="P6" s="3719"/>
      <c r="Q6" s="3720"/>
      <c r="R6" s="3723"/>
      <c r="S6" s="3724"/>
      <c r="T6" s="3725"/>
      <c r="U6" s="3726"/>
      <c r="V6" s="3727"/>
      <c r="W6" s="3727"/>
      <c r="X6" s="1355"/>
      <c r="Y6" s="3725"/>
      <c r="Z6" s="3726"/>
      <c r="AA6" s="3710"/>
      <c r="AB6" s="3727"/>
      <c r="AC6" s="3710"/>
    </row>
    <row r="7" spans="1:29" s="108" customFormat="1" ht="15.75" thickBot="1">
      <c r="A7" s="362" t="s">
        <v>1679</v>
      </c>
      <c r="B7" s="363"/>
      <c r="C7" s="364">
        <f>'数据-取费表'!B2</f>
        <v>45817</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32" t="s">
        <v>1683</v>
      </c>
      <c r="Q8" s="3733"/>
      <c r="R8" s="701" t="s">
        <v>14</v>
      </c>
      <c r="S8" s="702">
        <f t="shared" si="0"/>
        <v>100</v>
      </c>
      <c r="T8" s="701" t="s">
        <v>14</v>
      </c>
      <c r="U8" s="702">
        <f t="shared" si="1"/>
        <v>100</v>
      </c>
      <c r="V8" s="701" t="s">
        <v>14</v>
      </c>
      <c r="W8" s="702">
        <f t="shared" si="2"/>
        <v>100</v>
      </c>
      <c r="X8" s="703"/>
      <c r="Y8" s="3732" t="s">
        <v>1683</v>
      </c>
      <c r="Z8" s="373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7"/>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7"/>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7"/>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7"/>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6" t="str">
        <f>A47</f>
        <v>成交单价（元/平方米）</v>
      </c>
      <c r="Q47" s="3696"/>
      <c r="R47" s="3727">
        <f>E47</f>
        <v>0</v>
      </c>
      <c r="S47" s="3727"/>
      <c r="T47" s="3727">
        <f>G47</f>
        <v>0</v>
      </c>
      <c r="U47" s="3727"/>
      <c r="V47" s="3727">
        <f>I47</f>
        <v>0</v>
      </c>
      <c r="W47" s="372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45" t="s">
        <v>1775</v>
      </c>
      <c r="Q4" s="3746"/>
      <c r="R4" s="3749" t="s">
        <v>1771</v>
      </c>
      <c r="S4" s="3750"/>
      <c r="T4" s="3749" t="s">
        <v>1772</v>
      </c>
      <c r="U4" s="3750"/>
      <c r="V4" s="3751" t="s">
        <v>1773</v>
      </c>
      <c r="W4" s="3751"/>
      <c r="X4" s="1958"/>
      <c r="Y4" s="3749" t="s">
        <v>1775</v>
      </c>
      <c r="Z4" s="3750"/>
      <c r="AA4" s="3753" t="s">
        <v>1771</v>
      </c>
      <c r="AB4" s="3753" t="s">
        <v>1772</v>
      </c>
      <c r="AC4" s="3742" t="s">
        <v>1773</v>
      </c>
    </row>
    <row r="5" spans="1:29" ht="15">
      <c r="A5" s="358"/>
      <c r="B5" s="359"/>
      <c r="C5" s="3730" t="s">
        <v>1673</v>
      </c>
      <c r="D5" s="3731"/>
      <c r="E5" s="3737" t="s">
        <v>1674</v>
      </c>
      <c r="F5" s="3738"/>
      <c r="G5" s="3730" t="s">
        <v>1675</v>
      </c>
      <c r="H5" s="3731"/>
      <c r="I5" s="3730" t="s">
        <v>1676</v>
      </c>
      <c r="J5" s="3731"/>
      <c r="K5" s="559"/>
      <c r="L5" s="2714"/>
      <c r="M5" s="2715"/>
      <c r="N5" s="2715"/>
      <c r="O5" s="2715"/>
      <c r="P5" s="3747"/>
      <c r="Q5" s="3718"/>
      <c r="R5" s="3723"/>
      <c r="S5" s="3724"/>
      <c r="T5" s="3723"/>
      <c r="U5" s="3724"/>
      <c r="V5" s="3727"/>
      <c r="W5" s="3727"/>
      <c r="X5" s="1355"/>
      <c r="Y5" s="3723"/>
      <c r="Z5" s="3724"/>
      <c r="AA5" s="3709"/>
      <c r="AB5" s="3709"/>
      <c r="AC5" s="3743"/>
    </row>
    <row r="6" spans="1:29" ht="15.75" thickBot="1">
      <c r="A6" s="360"/>
      <c r="B6" s="361"/>
      <c r="C6" s="3728" t="s">
        <v>1677</v>
      </c>
      <c r="D6" s="3729"/>
      <c r="E6" s="3735" t="s">
        <v>1677</v>
      </c>
      <c r="F6" s="3736"/>
      <c r="G6" s="3728" t="s">
        <v>1677</v>
      </c>
      <c r="H6" s="3729"/>
      <c r="I6" s="3728" t="s">
        <v>1677</v>
      </c>
      <c r="J6" s="3729"/>
      <c r="K6" s="559" t="s">
        <v>1678</v>
      </c>
      <c r="L6" s="2714"/>
      <c r="M6" s="2715"/>
      <c r="N6" s="2715"/>
      <c r="O6" s="2715"/>
      <c r="P6" s="3748"/>
      <c r="Q6" s="3720"/>
      <c r="R6" s="3723"/>
      <c r="S6" s="3724"/>
      <c r="T6" s="3725"/>
      <c r="U6" s="3726"/>
      <c r="V6" s="3727"/>
      <c r="W6" s="3727"/>
      <c r="X6" s="1355"/>
      <c r="Y6" s="3725"/>
      <c r="Z6" s="3726"/>
      <c r="AA6" s="3710"/>
      <c r="AB6" s="3710"/>
      <c r="AC6" s="3744"/>
    </row>
    <row r="7" spans="1:29" s="108" customFormat="1" ht="15.75" thickBot="1">
      <c r="A7" s="362" t="s">
        <v>1679</v>
      </c>
      <c r="B7" s="363"/>
      <c r="C7" s="364">
        <f>'数据-取费表'!B2</f>
        <v>45817</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2" t="s">
        <v>1683</v>
      </c>
      <c r="Q8" s="3733"/>
      <c r="R8" s="701" t="s">
        <v>14</v>
      </c>
      <c r="S8" s="702">
        <f t="shared" si="0"/>
        <v>100</v>
      </c>
      <c r="T8" s="701" t="s">
        <v>14</v>
      </c>
      <c r="U8" s="702">
        <f t="shared" si="1"/>
        <v>100</v>
      </c>
      <c r="V8" s="701" t="s">
        <v>14</v>
      </c>
      <c r="W8" s="702">
        <f t="shared" si="2"/>
        <v>100</v>
      </c>
      <c r="X8" s="703"/>
      <c r="Y8" s="3732" t="s">
        <v>1683</v>
      </c>
      <c r="Z8" s="373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7"/>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07"/>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07"/>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07"/>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707"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707"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受贵公司委托，我公司对北京市昌平区双营西路78号院2号楼17层1714办公用房房地产抵押价值进行了预评估。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双营西路78号院2号楼17层1714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2025年6月9日（评估专业人员实地查勘之日）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913"/>
      <c r="M4" s="914"/>
      <c r="N4" s="914"/>
      <c r="O4" s="914"/>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913"/>
      <c r="M5" s="914"/>
      <c r="N5" s="914"/>
      <c r="O5" s="914"/>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559" t="s">
        <v>1678</v>
      </c>
      <c r="L6" s="913"/>
      <c r="M6" s="914"/>
      <c r="N6" s="914"/>
      <c r="O6" s="914"/>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45817</v>
      </c>
      <c r="D7" s="365">
        <v>100</v>
      </c>
      <c r="E7" s="366"/>
      <c r="F7" s="367">
        <f>SUMIF(52:52,YEAR(E7)&amp;"-"&amp;MONTH(E7),53:53)</f>
        <v>0</v>
      </c>
      <c r="G7" s="366"/>
      <c r="H7" s="365">
        <f>SUMIF(52:52,YEAR(G7)&amp;"-"&amp;MONTH(G7),53:53)</f>
        <v>0</v>
      </c>
      <c r="I7" s="366"/>
      <c r="J7" s="365">
        <f>SUMIF(52:52,YEAR(I7)&amp;"-"&amp;MONTH(I7),53:53)</f>
        <v>0</v>
      </c>
      <c r="K7" s="560"/>
      <c r="L7" s="915"/>
      <c r="M7" s="916"/>
      <c r="N7" s="916"/>
      <c r="O7" s="916"/>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2" t="s">
        <v>1683</v>
      </c>
      <c r="Q8" s="3733"/>
      <c r="R8" s="701" t="s">
        <v>14</v>
      </c>
      <c r="S8" s="702">
        <f t="shared" si="0"/>
        <v>100</v>
      </c>
      <c r="T8" s="701" t="s">
        <v>14</v>
      </c>
      <c r="U8" s="702">
        <f t="shared" si="1"/>
        <v>100</v>
      </c>
      <c r="V8" s="701" t="s">
        <v>14</v>
      </c>
      <c r="W8" s="702">
        <f t="shared" si="2"/>
        <v>100</v>
      </c>
      <c r="X8" s="703"/>
      <c r="Y8" s="3732" t="s">
        <v>1683</v>
      </c>
      <c r="Z8" s="373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4"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559" t="s">
        <v>1678</v>
      </c>
      <c r="L6" s="2714"/>
      <c r="M6" s="2715"/>
      <c r="N6" s="2715"/>
      <c r="O6" s="2715"/>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45817</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32" t="s">
        <v>1680</v>
      </c>
      <c r="Q7" s="3734"/>
      <c r="R7" s="701" t="s">
        <v>14</v>
      </c>
      <c r="S7" s="702">
        <f t="shared" ref="S7:S14" si="0">F7</f>
        <v>0</v>
      </c>
      <c r="T7" s="701" t="s">
        <v>14</v>
      </c>
      <c r="U7" s="702">
        <f t="shared" ref="U7:U14" si="1">H7</f>
        <v>0</v>
      </c>
      <c r="V7" s="701" t="s">
        <v>14</v>
      </c>
      <c r="W7" s="702">
        <f t="shared" ref="W7:W14"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32" t="s">
        <v>1683</v>
      </c>
      <c r="Q8" s="3733"/>
      <c r="R8" s="701" t="s">
        <v>14</v>
      </c>
      <c r="S8" s="702">
        <f t="shared" si="0"/>
        <v>100</v>
      </c>
      <c r="T8" s="701" t="s">
        <v>14</v>
      </c>
      <c r="U8" s="702">
        <f t="shared" si="1"/>
        <v>100</v>
      </c>
      <c r="V8" s="701" t="s">
        <v>14</v>
      </c>
      <c r="W8" s="702">
        <f t="shared" si="2"/>
        <v>100</v>
      </c>
      <c r="X8" s="703"/>
      <c r="Y8" s="3732" t="s">
        <v>1683</v>
      </c>
      <c r="Z8" s="373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3" t="str">
        <f>A39</f>
        <v>估价对象XX用房的比较价值（楼面单价，元/平方米）</v>
      </c>
      <c r="Q39" s="3694"/>
      <c r="R39" s="3755" t="e">
        <f>IF(F1="售价",ROUND(IF(D38="简单平均",AVERAGE(R38:W38),R38*F38+T38*H38+V38*J38),0),ROUND(IF(D38="简单平均",AVERAGE(R38:V38),R38*F38+T38*H38+V38*J38),1))</f>
        <v>#DIV/0!</v>
      </c>
      <c r="S39" s="3755"/>
      <c r="T39" s="3755"/>
      <c r="U39" s="3755"/>
      <c r="V39" s="3755"/>
      <c r="W39" s="3755"/>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559" t="s">
        <v>1678</v>
      </c>
      <c r="L6" s="2714"/>
      <c r="M6" s="2715"/>
      <c r="N6" s="2715"/>
      <c r="O6" s="2715"/>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45817</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32" t="s">
        <v>1680</v>
      </c>
      <c r="Q7" s="3734"/>
      <c r="R7" s="701" t="s">
        <v>14</v>
      </c>
      <c r="S7" s="702">
        <f t="shared" ref="S7:S14" si="0">F7</f>
        <v>0</v>
      </c>
      <c r="T7" s="701" t="s">
        <v>14</v>
      </c>
      <c r="U7" s="702">
        <f t="shared" ref="U7:U14" si="1">H7</f>
        <v>0</v>
      </c>
      <c r="V7" s="701" t="s">
        <v>14</v>
      </c>
      <c r="W7" s="702">
        <f t="shared" ref="W7:W14"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32" t="s">
        <v>1683</v>
      </c>
      <c r="Q8" s="3733"/>
      <c r="R8" s="701" t="s">
        <v>14</v>
      </c>
      <c r="S8" s="702">
        <f t="shared" si="0"/>
        <v>100</v>
      </c>
      <c r="T8" s="701" t="s">
        <v>14</v>
      </c>
      <c r="U8" s="702">
        <f t="shared" si="1"/>
        <v>100</v>
      </c>
      <c r="V8" s="701" t="s">
        <v>14</v>
      </c>
      <c r="W8" s="702">
        <f t="shared" si="2"/>
        <v>100</v>
      </c>
      <c r="X8" s="703"/>
      <c r="Y8" s="3732" t="s">
        <v>1683</v>
      </c>
      <c r="Z8" s="373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5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3" t="str">
        <f>A37</f>
        <v>估价对象XX用房的比较价值（楼面单价，元/平方米）</v>
      </c>
      <c r="Q37" s="3694"/>
      <c r="R37" s="3755" t="e">
        <f>IF(F1="售价",ROUND(IF(D36="简单平均",AVERAGE(R36:W36),R36*F36+T36*H36+V36*J36),0),ROUND(IF(D36="简单平均",AVERAGE(R36:V36),R36*F36+T36*H36+V36*J36),1))</f>
        <v>#DIV/0!</v>
      </c>
      <c r="S37" s="3755"/>
      <c r="T37" s="3755"/>
      <c r="U37" s="3755"/>
      <c r="V37" s="3755"/>
      <c r="W37" s="3755"/>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30"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09"/>
      <c r="AC5" s="3709"/>
    </row>
    <row r="6" spans="1:30" ht="15.75" thickBot="1">
      <c r="A6" s="360"/>
      <c r="B6" s="361"/>
      <c r="C6" s="3728" t="s">
        <v>1677</v>
      </c>
      <c r="D6" s="3729"/>
      <c r="E6" s="3735" t="s">
        <v>1677</v>
      </c>
      <c r="F6" s="3736"/>
      <c r="G6" s="3728" t="s">
        <v>1677</v>
      </c>
      <c r="H6" s="3729"/>
      <c r="I6" s="3728" t="s">
        <v>1677</v>
      </c>
      <c r="J6" s="3729"/>
      <c r="K6" s="559" t="s">
        <v>1678</v>
      </c>
      <c r="L6" s="2714"/>
      <c r="M6" s="2715"/>
      <c r="N6" s="2715"/>
      <c r="O6" s="2715"/>
      <c r="P6" s="3719"/>
      <c r="Q6" s="3720"/>
      <c r="R6" s="3723"/>
      <c r="S6" s="3724"/>
      <c r="T6" s="3725"/>
      <c r="U6" s="3726"/>
      <c r="V6" s="3727"/>
      <c r="W6" s="3727"/>
      <c r="X6" s="1355"/>
      <c r="Y6" s="3725"/>
      <c r="Z6" s="3726"/>
      <c r="AA6" s="3710"/>
      <c r="AB6" s="3710"/>
      <c r="AC6" s="3710"/>
    </row>
    <row r="7" spans="1:30" s="108" customFormat="1" ht="15.75" thickBot="1">
      <c r="A7" s="362" t="s">
        <v>1679</v>
      </c>
      <c r="B7" s="363"/>
      <c r="C7" s="364">
        <f>'数据-取费表'!B2</f>
        <v>45817</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32" t="s">
        <v>1683</v>
      </c>
      <c r="Q8" s="3733"/>
      <c r="R8" s="701" t="s">
        <v>14</v>
      </c>
      <c r="S8" s="702">
        <f t="shared" si="0"/>
        <v>0</v>
      </c>
      <c r="T8" s="701" t="s">
        <v>14</v>
      </c>
      <c r="U8" s="702">
        <f t="shared" si="1"/>
        <v>0</v>
      </c>
      <c r="V8" s="701" t="s">
        <v>14</v>
      </c>
      <c r="W8" s="702">
        <f t="shared" si="2"/>
        <v>0</v>
      </c>
      <c r="X8" s="703"/>
      <c r="Y8" s="3732" t="s">
        <v>1683</v>
      </c>
      <c r="Z8" s="373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96"/>
      <c r="Q10" s="1343" t="str">
        <f t="shared" si="6"/>
        <v>土地使用年限（年）</v>
      </c>
      <c r="R10" s="701" t="s">
        <v>14</v>
      </c>
      <c r="S10" s="702" t="e">
        <f t="shared" si="0"/>
        <v>#DIV/0!</v>
      </c>
      <c r="T10" s="701" t="s">
        <v>14</v>
      </c>
      <c r="U10" s="702" t="e">
        <f t="shared" si="1"/>
        <v>#DIV/0!</v>
      </c>
      <c r="V10" s="701" t="s">
        <v>14</v>
      </c>
      <c r="W10" s="702" t="e">
        <f t="shared" si="2"/>
        <v>#DIV/0!</v>
      </c>
      <c r="X10" s="703"/>
      <c r="Y10" s="357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6"/>
      <c r="Q12" s="1343" t="str">
        <f t="shared" si="6"/>
        <v>配建</v>
      </c>
      <c r="R12" s="701" t="s">
        <v>14</v>
      </c>
      <c r="S12" s="702">
        <f t="shared" si="0"/>
        <v>100</v>
      </c>
      <c r="T12" s="701" t="s">
        <v>14</v>
      </c>
      <c r="U12" s="702">
        <f t="shared" si="1"/>
        <v>100</v>
      </c>
      <c r="V12" s="701" t="s">
        <v>14</v>
      </c>
      <c r="W12" s="702">
        <f t="shared" si="2"/>
        <v>100</v>
      </c>
      <c r="X12" s="703"/>
      <c r="Y12" s="357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4"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96" t="str">
        <f>A46</f>
        <v>成交单价</v>
      </c>
      <c r="Q46" s="3696"/>
      <c r="R46" s="3727">
        <f>E46</f>
        <v>0</v>
      </c>
      <c r="S46" s="3727"/>
      <c r="T46" s="3727">
        <f>G46</f>
        <v>0</v>
      </c>
      <c r="U46" s="3727"/>
      <c r="V46" s="3727">
        <f>I46</f>
        <v>0</v>
      </c>
      <c r="W46" s="372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96" t="str">
        <f>A47</f>
        <v>比较价值（元/平方米）</v>
      </c>
      <c r="Q47" s="3696"/>
      <c r="R47" s="3756" t="e">
        <f>ROUND(PRODUCT(R46,AA7:AA45),0)</f>
        <v>#DIV/0!</v>
      </c>
      <c r="S47" s="3756"/>
      <c r="T47" s="3756" t="e">
        <f>ROUND(PRODUCT(T46,AB7:AB45),0)</f>
        <v>#DIV/0!</v>
      </c>
      <c r="U47" s="3756"/>
      <c r="V47" s="3756" t="e">
        <f>ROUND(PRODUCT(V46,AC7:AC45),0)</f>
        <v>#DIV/0!</v>
      </c>
      <c r="W47" s="375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3" t="str">
        <f>A48</f>
        <v>估价对象XX用房的比较价值（楼面单价，元/平方米）</v>
      </c>
      <c r="Q48" s="3694"/>
      <c r="R48" s="3757" t="e">
        <f>ROUND(IF(D47="简单平均",AVERAGE(R47:W47),R47*F47+T47*H47+V47*J47),0)</f>
        <v>#DIV/0!</v>
      </c>
      <c r="S48" s="3757"/>
      <c r="T48" s="3757"/>
      <c r="U48" s="3757"/>
      <c r="V48" s="3757"/>
      <c r="W48" s="3757"/>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11" t="s">
        <v>1887</v>
      </c>
      <c r="H55" s="3758"/>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0</v>
      </c>
      <c r="F56" s="886" t="e">
        <f t="shared" ref="F56:F64" si="15">ROUND(B56*E56/10000,0)</f>
        <v>#DIV/0!</v>
      </c>
      <c r="G56" s="3707"/>
      <c r="H56" s="369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09"/>
      <c r="AC5" s="3709"/>
    </row>
    <row r="6" spans="1:29" ht="15.75" thickBot="1">
      <c r="A6" s="360"/>
      <c r="B6" s="361"/>
      <c r="C6" s="3759" t="s">
        <v>1919</v>
      </c>
      <c r="D6" s="3760"/>
      <c r="E6" s="3761" t="s">
        <v>1919</v>
      </c>
      <c r="F6" s="3762"/>
      <c r="G6" s="3759" t="s">
        <v>1919</v>
      </c>
      <c r="H6" s="3760"/>
      <c r="I6" s="3759" t="s">
        <v>1919</v>
      </c>
      <c r="J6" s="3760"/>
      <c r="K6" s="559" t="s">
        <v>1678</v>
      </c>
      <c r="L6" s="2714"/>
      <c r="M6" s="2715"/>
      <c r="N6" s="2715"/>
      <c r="O6" s="2715"/>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45817</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32" t="s">
        <v>1683</v>
      </c>
      <c r="Q8" s="3733"/>
      <c r="R8" s="701" t="s">
        <v>14</v>
      </c>
      <c r="S8" s="702">
        <f t="shared" si="0"/>
        <v>0</v>
      </c>
      <c r="T8" s="701" t="s">
        <v>14</v>
      </c>
      <c r="U8" s="702">
        <f t="shared" si="1"/>
        <v>0</v>
      </c>
      <c r="V8" s="701" t="s">
        <v>14</v>
      </c>
      <c r="W8" s="702">
        <f t="shared" si="2"/>
        <v>0</v>
      </c>
      <c r="X8" s="703"/>
      <c r="Y8" s="3732" t="s">
        <v>1683</v>
      </c>
      <c r="Z8" s="373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96"/>
      <c r="Q10" s="1343" t="str">
        <f t="shared" si="6"/>
        <v>土地使用年限（年）</v>
      </c>
      <c r="R10" s="701" t="s">
        <v>14</v>
      </c>
      <c r="S10" s="702" t="e">
        <f t="shared" si="0"/>
        <v>#DIV/0!</v>
      </c>
      <c r="T10" s="701" t="s">
        <v>14</v>
      </c>
      <c r="U10" s="702" t="e">
        <f t="shared" si="1"/>
        <v>#DIV/0!</v>
      </c>
      <c r="V10" s="701" t="s">
        <v>14</v>
      </c>
      <c r="W10" s="702" t="e">
        <f t="shared" si="2"/>
        <v>#DIV/0!</v>
      </c>
      <c r="X10" s="703"/>
      <c r="Y10" s="357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4"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96" t="str">
        <f>A41</f>
        <v>成交单价</v>
      </c>
      <c r="Q41" s="3696"/>
      <c r="R41" s="3727">
        <f>E41</f>
        <v>0</v>
      </c>
      <c r="S41" s="3727"/>
      <c r="T41" s="3727">
        <f>G41</f>
        <v>0</v>
      </c>
      <c r="U41" s="3727"/>
      <c r="V41" s="3727">
        <f>I41</f>
        <v>0</v>
      </c>
      <c r="W41" s="372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96" t="str">
        <f>A42</f>
        <v>比较价值（元/平方米）</v>
      </c>
      <c r="Q42" s="3696"/>
      <c r="R42" s="3756" t="e">
        <f>ROUND(PRODUCT(R41,AA7:AA40),0)</f>
        <v>#DIV/0!</v>
      </c>
      <c r="S42" s="3756"/>
      <c r="T42" s="3756" t="e">
        <f>ROUND(PRODUCT(T41,AB7:AB40),0)</f>
        <v>#DIV/0!</v>
      </c>
      <c r="U42" s="3756"/>
      <c r="V42" s="3756" t="e">
        <f>ROUND(PRODUCT(V41,AC7:AC40),0)</f>
        <v>#DIV/0!</v>
      </c>
      <c r="W42" s="375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3" t="str">
        <f>A43</f>
        <v>估价对象XX用房的比较价值（楼面单价，元/平方米）</v>
      </c>
      <c r="Q43" s="3694"/>
      <c r="R43" s="3757" t="e">
        <f>ROUND(IF(D42="简单平均",AVERAGE(R42:W42),R42*F42+T42*H42+V42*J42),0)</f>
        <v>#DIV/0!</v>
      </c>
      <c r="S43" s="3757"/>
      <c r="T43" s="3757"/>
      <c r="U43" s="3757"/>
      <c r="V43" s="3757"/>
      <c r="W43" s="3757"/>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11" t="s">
        <v>1887</v>
      </c>
      <c r="H50" s="3758"/>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0</v>
      </c>
      <c r="F51" s="639" t="e">
        <f t="shared" ref="F51:F60" si="15">ROUND(B51*E51/10000,0)</f>
        <v>#DIV/0!</v>
      </c>
      <c r="G51" s="3707"/>
      <c r="H51" s="369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6" t="s">
        <v>2084</v>
      </c>
      <c r="D1" s="3767"/>
      <c r="E1" s="3767"/>
      <c r="F1" s="3767"/>
      <c r="G1" s="3767"/>
      <c r="H1" s="3767"/>
      <c r="I1" s="3767"/>
      <c r="J1" s="3767"/>
      <c r="K1" s="3767"/>
      <c r="L1" s="3767"/>
      <c r="M1" s="3767"/>
      <c r="N1" s="3767"/>
      <c r="O1" s="3767"/>
      <c r="P1" s="3767"/>
      <c r="Q1" s="3767"/>
      <c r="R1" s="3767"/>
      <c r="S1" s="376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3" t="s">
        <v>27</v>
      </c>
      <c r="D22" s="3764"/>
      <c r="E22" s="3764"/>
      <c r="F22" s="3764"/>
      <c r="G22" s="3764"/>
      <c r="H22" s="3764"/>
      <c r="I22" s="3764"/>
      <c r="J22" s="3764"/>
      <c r="K22" s="3764"/>
      <c r="L22" s="3764"/>
      <c r="M22" s="3764"/>
      <c r="N22" s="3764"/>
      <c r="O22" s="3764"/>
      <c r="P22" s="3764"/>
      <c r="Q22" s="376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76"/>
      <c r="B4" s="3777"/>
      <c r="C4" s="3777"/>
      <c r="D4" s="3778"/>
      <c r="E4" s="3778"/>
      <c r="F4" s="3778"/>
      <c r="G4" s="3778"/>
      <c r="H4" s="3778"/>
      <c r="I4" s="3778"/>
      <c r="J4" s="377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73" t="s">
        <v>1960</v>
      </c>
      <c r="X8" s="377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75"/>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7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80" t="s">
        <v>3254</v>
      </c>
      <c r="B20" s="167" t="s">
        <v>1994</v>
      </c>
      <c r="C20" s="3324" t="e">
        <f>ROUND(IF(F21="与级别开发程度一致",0,(G21-E21)/C21),0)</f>
        <v>#DIV/0!</v>
      </c>
      <c r="D20" s="3340" t="s">
        <v>1998</v>
      </c>
      <c r="E20" s="3341"/>
      <c r="F20" s="3786" t="s">
        <v>1995</v>
      </c>
      <c r="G20" s="3787"/>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8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45817</v>
      </c>
      <c r="H23" s="3342" t="s">
        <v>3256</v>
      </c>
      <c r="I23" s="3343" t="str">
        <f>IF(H23="季度增幅（自定义）",SUMIF(N25:N28,E2,O25:O28),"")</f>
        <v/>
      </c>
      <c r="J23" s="3445" t="s">
        <v>3255</v>
      </c>
      <c r="K23" s="1125"/>
      <c r="L23" s="2055" t="s">
        <v>2004</v>
      </c>
      <c r="M23" s="1328">
        <f>ROUND(SUMIF(地价!B2:G2,E2,地价!B16:G16),0)</f>
        <v>0</v>
      </c>
      <c r="N23" s="2056" t="s">
        <v>2005</v>
      </c>
      <c r="O23" s="763">
        <f>ROUNDDOWN(DATEDIF(E23,G23,"M")/3,0)</f>
        <v>17</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t="e">
        <f ca="1">'数据-取费表'!B40</f>
        <v>#VALUE!</v>
      </c>
      <c r="M36" s="3357" t="e">
        <f ca="1">ROUND($L$36*(1+M31),3)</f>
        <v>#VALUE!</v>
      </c>
      <c r="N36" s="3357" t="e">
        <f ca="1">ROUND($L$36*(1+N31),3)</f>
        <v>#VALUE!</v>
      </c>
      <c r="O36" s="3357" t="e">
        <f ca="1">ROUND($L$36*(1+O31),3)</f>
        <v>#VALUE!</v>
      </c>
      <c r="P36" s="3357" t="e">
        <f ca="1">ROUND($L$36*(1+P31),3)</f>
        <v>#VALUE!</v>
      </c>
      <c r="Q36" s="3357"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3266</v>
      </c>
      <c r="L37" s="3356" t="e">
        <f ca="1">L36+K38</f>
        <v>#VALUE!</v>
      </c>
      <c r="M37" s="3357" t="e">
        <f ca="1">ROUND($L$37*(1+M31),3)</f>
        <v>#VALUE!</v>
      </c>
      <c r="N37" s="3357" t="e">
        <f t="shared" ref="N37:Q37" ca="1" si="3">ROUND($L$37*(1+N31),3)</f>
        <v>#VALUE!</v>
      </c>
      <c r="O37" s="3357" t="e">
        <f t="shared" ca="1" si="3"/>
        <v>#VALUE!</v>
      </c>
      <c r="P37" s="3357" t="e">
        <f t="shared" ca="1" si="3"/>
        <v>#VALUE!</v>
      </c>
      <c r="Q37" s="3357"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5"/>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82" t="s">
        <v>3294</v>
      </c>
      <c r="B103" s="3782"/>
      <c r="C103" s="3782"/>
      <c r="D103" s="3782"/>
      <c r="E103" s="3782"/>
      <c r="F103" s="3782"/>
      <c r="G103" s="3782"/>
      <c r="H103" s="3782"/>
      <c r="I103" s="3782"/>
      <c r="J103" s="3782"/>
      <c r="K103" s="3389"/>
      <c r="L103" s="3389"/>
      <c r="M103" s="3389"/>
      <c r="N103" s="3389"/>
    </row>
    <row r="104" spans="1:14">
      <c r="A104" s="3783" t="s">
        <v>3295</v>
      </c>
      <c r="B104" s="3783" t="s">
        <v>3296</v>
      </c>
      <c r="C104" s="3390" t="s">
        <v>3297</v>
      </c>
      <c r="D104" s="3391"/>
      <c r="E104" s="3391"/>
      <c r="F104" s="3391"/>
      <c r="G104" s="3391"/>
      <c r="H104" s="3391"/>
      <c r="I104" s="3391"/>
      <c r="J104" s="3392"/>
      <c r="K104" s="3393"/>
      <c r="L104" s="3393"/>
      <c r="M104" s="3393"/>
      <c r="N104" s="3393"/>
    </row>
    <row r="105" spans="1:14">
      <c r="A105" s="3783"/>
      <c r="B105" s="3783"/>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69"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0"/>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71"/>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2" t="s">
        <v>3311</v>
      </c>
      <c r="B113" s="3772"/>
      <c r="C113" s="3772"/>
      <c r="D113" s="3772"/>
      <c r="E113" s="3772"/>
      <c r="F113" s="3772"/>
      <c r="G113" s="3772"/>
      <c r="H113" s="3772"/>
      <c r="I113" s="3772"/>
      <c r="J113" s="377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97" t="s">
        <v>2607</v>
      </c>
      <c r="B20" s="3792" t="s">
        <v>2628</v>
      </c>
      <c r="C20" s="3102" t="s">
        <v>2439</v>
      </c>
      <c r="D20" s="3103"/>
      <c r="E20" s="3104">
        <v>1</v>
      </c>
      <c r="F20" s="3105" t="s">
        <v>2440</v>
      </c>
      <c r="G20" s="3105"/>
    </row>
    <row r="21" spans="1:13" ht="19.5" customHeight="1">
      <c r="A21" s="3798"/>
      <c r="B21" s="3791"/>
      <c r="C21" s="3106" t="s">
        <v>2441</v>
      </c>
      <c r="D21" s="3107"/>
      <c r="E21" s="3108">
        <v>1</v>
      </c>
      <c r="F21" s="3105" t="s">
        <v>2442</v>
      </c>
      <c r="G21" s="3105"/>
    </row>
    <row r="22" spans="1:13" ht="19.5" customHeight="1">
      <c r="A22" s="3798"/>
      <c r="B22" s="3791"/>
      <c r="C22" s="3106" t="s">
        <v>2443</v>
      </c>
      <c r="D22" s="3107"/>
      <c r="E22" s="3108">
        <v>0.9</v>
      </c>
      <c r="F22" s="3105" t="s">
        <v>2444</v>
      </c>
      <c r="G22" s="3105"/>
    </row>
    <row r="23" spans="1:13" ht="19.5" customHeight="1">
      <c r="A23" s="3798"/>
      <c r="B23" s="3791"/>
      <c r="C23" s="3106" t="s">
        <v>2445</v>
      </c>
      <c r="D23" s="3107"/>
      <c r="E23" s="3108">
        <v>0.9</v>
      </c>
      <c r="F23" s="3105" t="s">
        <v>2446</v>
      </c>
      <c r="G23" s="3105"/>
    </row>
    <row r="24" spans="1:13" ht="19.5" customHeight="1">
      <c r="A24" s="3798"/>
      <c r="B24" s="3791"/>
      <c r="C24" s="3106" t="s">
        <v>2447</v>
      </c>
      <c r="D24" s="3107"/>
      <c r="E24" s="3108">
        <v>0.8</v>
      </c>
      <c r="F24" s="3105" t="s">
        <v>2448</v>
      </c>
      <c r="G24" s="3105"/>
    </row>
    <row r="25" spans="1:13" ht="19.5" customHeight="1" thickBot="1">
      <c r="A25" s="3799"/>
      <c r="B25" s="3793"/>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94" t="s">
        <v>2631</v>
      </c>
      <c r="B27" s="3792" t="s">
        <v>2612</v>
      </c>
      <c r="C27" s="3102" t="s">
        <v>2452</v>
      </c>
      <c r="D27" s="3103"/>
      <c r="E27" s="3104">
        <v>1</v>
      </c>
      <c r="F27" s="3105" t="s">
        <v>2453</v>
      </c>
      <c r="G27" s="3105"/>
    </row>
    <row r="28" spans="1:13" ht="19.5" customHeight="1">
      <c r="A28" s="3795"/>
      <c r="B28" s="3791"/>
      <c r="C28" s="3106" t="s">
        <v>2454</v>
      </c>
      <c r="D28" s="3107"/>
      <c r="E28" s="3108">
        <v>1</v>
      </c>
      <c r="F28" s="3105" t="s">
        <v>2455</v>
      </c>
      <c r="G28" s="3105"/>
    </row>
    <row r="29" spans="1:13" ht="19.5" customHeight="1">
      <c r="A29" s="3795"/>
      <c r="B29" s="3791"/>
      <c r="C29" s="3106" t="s">
        <v>2456</v>
      </c>
      <c r="D29" s="3107"/>
      <c r="E29" s="3108">
        <v>0.8</v>
      </c>
      <c r="F29" s="3105" t="s">
        <v>2457</v>
      </c>
      <c r="G29" s="3105"/>
    </row>
    <row r="30" spans="1:13" ht="19.5" customHeight="1">
      <c r="A30" s="3795"/>
      <c r="B30" s="3791"/>
      <c r="C30" s="3106" t="s">
        <v>2458</v>
      </c>
      <c r="D30" s="3107"/>
      <c r="E30" s="3108">
        <v>0.8</v>
      </c>
      <c r="F30" s="3105" t="s">
        <v>2459</v>
      </c>
      <c r="G30" s="3105"/>
    </row>
    <row r="31" spans="1:13" ht="19.5" customHeight="1">
      <c r="A31" s="3795"/>
      <c r="B31" s="3791"/>
      <c r="C31" s="3106" t="s">
        <v>2460</v>
      </c>
      <c r="D31" s="3107"/>
      <c r="E31" s="3108">
        <v>0.8</v>
      </c>
      <c r="F31" s="3105" t="s">
        <v>2461</v>
      </c>
      <c r="G31" s="3105"/>
    </row>
    <row r="32" spans="1:13" ht="19.5" customHeight="1">
      <c r="A32" s="3795"/>
      <c r="B32" s="3791"/>
      <c r="C32" s="3106" t="s">
        <v>2462</v>
      </c>
      <c r="D32" s="3107"/>
      <c r="E32" s="3108">
        <v>0.7</v>
      </c>
      <c r="F32" s="3105" t="s">
        <v>2463</v>
      </c>
      <c r="G32" s="3105"/>
    </row>
    <row r="33" spans="1:7" ht="19.5" customHeight="1">
      <c r="A33" s="3795"/>
      <c r="B33" s="3791"/>
      <c r="C33" s="3106" t="s">
        <v>2464</v>
      </c>
      <c r="D33" s="3107"/>
      <c r="E33" s="3108">
        <v>0.8</v>
      </c>
      <c r="F33" s="3105" t="s">
        <v>2465</v>
      </c>
      <c r="G33" s="3105"/>
    </row>
    <row r="34" spans="1:7" ht="19.5" customHeight="1">
      <c r="A34" s="3795"/>
      <c r="B34" s="3791"/>
      <c r="C34" s="3106" t="s">
        <v>2466</v>
      </c>
      <c r="D34" s="3107"/>
      <c r="E34" s="3108">
        <v>0.6</v>
      </c>
      <c r="F34" s="3105" t="s">
        <v>2467</v>
      </c>
      <c r="G34" s="3105"/>
    </row>
    <row r="35" spans="1:7" ht="19.5" customHeight="1">
      <c r="A35" s="3795"/>
      <c r="B35" s="3791"/>
      <c r="C35" s="3106" t="s">
        <v>2468</v>
      </c>
      <c r="D35" s="3107"/>
      <c r="E35" s="3108">
        <v>0.2</v>
      </c>
      <c r="F35" s="3105" t="s">
        <v>2469</v>
      </c>
      <c r="G35" s="3105"/>
    </row>
    <row r="36" spans="1:7" ht="19.5" customHeight="1">
      <c r="A36" s="3795"/>
      <c r="B36" s="3791"/>
      <c r="C36" s="3106" t="s">
        <v>2470</v>
      </c>
      <c r="D36" s="3107"/>
      <c r="E36" s="3108">
        <v>0.2</v>
      </c>
      <c r="F36" s="3105" t="s">
        <v>2471</v>
      </c>
      <c r="G36" s="3105"/>
    </row>
    <row r="37" spans="1:7" ht="19.5" customHeight="1">
      <c r="A37" s="3795"/>
      <c r="B37" s="3789" t="s">
        <v>2632</v>
      </c>
      <c r="C37" s="3106" t="s">
        <v>2472</v>
      </c>
      <c r="D37" s="3107"/>
      <c r="E37" s="3108">
        <v>0.6</v>
      </c>
      <c r="F37" s="3105" t="s">
        <v>2473</v>
      </c>
      <c r="G37" s="3105"/>
    </row>
    <row r="38" spans="1:7" ht="19.5" customHeight="1">
      <c r="A38" s="3795"/>
      <c r="B38" s="3791"/>
      <c r="C38" s="3106" t="s">
        <v>2474</v>
      </c>
      <c r="D38" s="3107"/>
      <c r="E38" s="3108">
        <v>0.6</v>
      </c>
      <c r="F38" s="3105" t="s">
        <v>2475</v>
      </c>
      <c r="G38" s="3105"/>
    </row>
    <row r="39" spans="1:7" ht="19.5" customHeight="1" thickBot="1">
      <c r="A39" s="3796"/>
      <c r="B39" s="3793"/>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97" t="s">
        <v>2610</v>
      </c>
      <c r="B41" s="3792" t="s">
        <v>2634</v>
      </c>
      <c r="C41" s="3102" t="s">
        <v>2479</v>
      </c>
      <c r="D41" s="3103"/>
      <c r="E41" s="3104">
        <v>1</v>
      </c>
      <c r="F41" s="3105" t="s">
        <v>2480</v>
      </c>
      <c r="G41" s="3105"/>
    </row>
    <row r="42" spans="1:7" ht="19.5" customHeight="1">
      <c r="A42" s="3798"/>
      <c r="B42" s="3791"/>
      <c r="C42" s="3106" t="s">
        <v>2481</v>
      </c>
      <c r="D42" s="3107"/>
      <c r="E42" s="3108">
        <v>1</v>
      </c>
      <c r="F42" s="3105" t="s">
        <v>2482</v>
      </c>
      <c r="G42" s="3105"/>
    </row>
    <row r="43" spans="1:7" ht="19.5" customHeight="1">
      <c r="A43" s="3798"/>
      <c r="B43" s="3790"/>
      <c r="C43" s="3106" t="s">
        <v>2483</v>
      </c>
      <c r="D43" s="3107"/>
      <c r="E43" s="3108">
        <v>1.5</v>
      </c>
      <c r="F43" s="3105" t="s">
        <v>2484</v>
      </c>
      <c r="G43" s="3105"/>
    </row>
    <row r="44" spans="1:7" ht="19.5" customHeight="1">
      <c r="A44" s="3798"/>
      <c r="B44" s="3117" t="s">
        <v>2635</v>
      </c>
      <c r="C44" s="3106" t="s">
        <v>2636</v>
      </c>
      <c r="D44" s="3107"/>
      <c r="E44" s="3108">
        <v>2</v>
      </c>
      <c r="F44" s="3105" t="s">
        <v>2485</v>
      </c>
      <c r="G44" s="3105"/>
    </row>
    <row r="45" spans="1:7" ht="19.5" customHeight="1">
      <c r="A45" s="3798"/>
      <c r="B45" s="3789" t="s">
        <v>2637</v>
      </c>
      <c r="C45" s="3106" t="s">
        <v>2486</v>
      </c>
      <c r="D45" s="3107"/>
      <c r="E45" s="3108">
        <v>1</v>
      </c>
      <c r="F45" s="3105" t="s">
        <v>2487</v>
      </c>
      <c r="G45" s="3105"/>
    </row>
    <row r="46" spans="1:7" ht="19.5" customHeight="1">
      <c r="A46" s="3798"/>
      <c r="B46" s="3791"/>
      <c r="C46" s="3106" t="s">
        <v>2488</v>
      </c>
      <c r="D46" s="3107"/>
      <c r="E46" s="3108">
        <v>1</v>
      </c>
      <c r="F46" s="3105" t="s">
        <v>2489</v>
      </c>
      <c r="G46" s="3105"/>
    </row>
    <row r="47" spans="1:7" ht="19.5" customHeight="1">
      <c r="A47" s="3798"/>
      <c r="B47" s="3791"/>
      <c r="C47" s="3106" t="s">
        <v>2490</v>
      </c>
      <c r="D47" s="3107"/>
      <c r="E47" s="3108">
        <v>1</v>
      </c>
      <c r="F47" s="3105" t="s">
        <v>2491</v>
      </c>
      <c r="G47" s="3105"/>
    </row>
    <row r="48" spans="1:7" ht="19.5" customHeight="1">
      <c r="A48" s="3798"/>
      <c r="B48" s="3791"/>
      <c r="C48" s="3106" t="s">
        <v>2492</v>
      </c>
      <c r="D48" s="3107"/>
      <c r="E48" s="3108">
        <v>1</v>
      </c>
      <c r="F48" s="3105" t="s">
        <v>2493</v>
      </c>
      <c r="G48" s="3105"/>
    </row>
    <row r="49" spans="1:7" ht="19.5" customHeight="1">
      <c r="A49" s="3798"/>
      <c r="B49" s="3791"/>
      <c r="C49" s="3106" t="s">
        <v>2494</v>
      </c>
      <c r="D49" s="3107"/>
      <c r="E49" s="3108">
        <v>1</v>
      </c>
      <c r="F49" s="3105" t="s">
        <v>2495</v>
      </c>
      <c r="G49" s="3105"/>
    </row>
    <row r="50" spans="1:7" ht="19.5" customHeight="1">
      <c r="A50" s="3798"/>
      <c r="B50" s="3791"/>
      <c r="C50" s="3106" t="s">
        <v>2496</v>
      </c>
      <c r="D50" s="3107"/>
      <c r="E50" s="3108">
        <v>1</v>
      </c>
      <c r="F50" s="3105" t="s">
        <v>2497</v>
      </c>
      <c r="G50" s="3105"/>
    </row>
    <row r="51" spans="1:7" ht="19.5" customHeight="1" thickBot="1">
      <c r="A51" s="3799"/>
      <c r="B51" s="3793"/>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89" t="s">
        <v>2651</v>
      </c>
      <c r="C73" s="3091" t="s">
        <v>2652</v>
      </c>
      <c r="D73" s="3091" t="s">
        <v>2653</v>
      </c>
      <c r="E73" s="3117">
        <v>0.2</v>
      </c>
      <c r="F73" s="3117">
        <v>25</v>
      </c>
    </row>
    <row r="74" spans="1:7" ht="24">
      <c r="A74" s="3117">
        <v>2</v>
      </c>
      <c r="B74" s="3791"/>
      <c r="C74" s="3091" t="s">
        <v>2654</v>
      </c>
      <c r="D74" s="3091" t="s">
        <v>2655</v>
      </c>
      <c r="E74" s="3117">
        <v>0.2</v>
      </c>
      <c r="F74" s="3117">
        <v>25</v>
      </c>
    </row>
    <row r="75" spans="1:7" ht="24">
      <c r="A75" s="3117">
        <v>3</v>
      </c>
      <c r="B75" s="3791"/>
      <c r="C75" s="3091" t="s">
        <v>2656</v>
      </c>
      <c r="D75" s="3091" t="s">
        <v>2657</v>
      </c>
      <c r="E75" s="3117">
        <v>0.2</v>
      </c>
      <c r="F75" s="3117">
        <v>25</v>
      </c>
    </row>
    <row r="76" spans="1:7" ht="13.5">
      <c r="A76" s="3117">
        <v>4</v>
      </c>
      <c r="B76" s="3791"/>
      <c r="C76" s="3091" t="s">
        <v>2658</v>
      </c>
      <c r="D76" s="3091" t="s">
        <v>2659</v>
      </c>
      <c r="E76" s="3117">
        <v>0.15</v>
      </c>
      <c r="F76" s="3117">
        <v>20</v>
      </c>
    </row>
    <row r="77" spans="1:7" ht="24">
      <c r="A77" s="3117">
        <v>5</v>
      </c>
      <c r="B77" s="3791"/>
      <c r="C77" s="3091" t="s">
        <v>2660</v>
      </c>
      <c r="D77" s="3091" t="s">
        <v>2661</v>
      </c>
      <c r="E77" s="3117">
        <v>0.15</v>
      </c>
      <c r="F77" s="3117">
        <v>20</v>
      </c>
    </row>
    <row r="78" spans="1:7" ht="24">
      <c r="A78" s="3117">
        <v>6</v>
      </c>
      <c r="B78" s="3791"/>
      <c r="C78" s="3091" t="s">
        <v>2662</v>
      </c>
      <c r="D78" s="3091" t="s">
        <v>2663</v>
      </c>
      <c r="E78" s="3117">
        <v>0.15</v>
      </c>
      <c r="F78" s="3117">
        <v>20</v>
      </c>
    </row>
    <row r="79" spans="1:7" ht="24">
      <c r="A79" s="3117">
        <v>7</v>
      </c>
      <c r="B79" s="3791"/>
      <c r="C79" s="3091" t="s">
        <v>2664</v>
      </c>
      <c r="D79" s="3091" t="s">
        <v>2665</v>
      </c>
      <c r="E79" s="3117">
        <v>0.15</v>
      </c>
      <c r="F79" s="3117">
        <v>20</v>
      </c>
    </row>
    <row r="80" spans="1:7" ht="24">
      <c r="A80" s="3117">
        <v>8</v>
      </c>
      <c r="B80" s="3791"/>
      <c r="C80" s="3091" t="s">
        <v>2666</v>
      </c>
      <c r="D80" s="3091" t="s">
        <v>2667</v>
      </c>
      <c r="E80" s="3117">
        <v>0.1</v>
      </c>
      <c r="F80" s="3117">
        <v>15</v>
      </c>
    </row>
    <row r="81" spans="1:6" ht="24">
      <c r="A81" s="3117">
        <v>9</v>
      </c>
      <c r="B81" s="3791"/>
      <c r="C81" s="3091" t="s">
        <v>2668</v>
      </c>
      <c r="D81" s="3091" t="s">
        <v>2669</v>
      </c>
      <c r="E81" s="3117">
        <v>0.1</v>
      </c>
      <c r="F81" s="3117">
        <v>15</v>
      </c>
    </row>
    <row r="82" spans="1:6" ht="24">
      <c r="A82" s="3117">
        <v>10</v>
      </c>
      <c r="B82" s="3791"/>
      <c r="C82" s="3091" t="s">
        <v>2670</v>
      </c>
      <c r="D82" s="3091" t="s">
        <v>2671</v>
      </c>
      <c r="E82" s="3117">
        <v>0.1</v>
      </c>
      <c r="F82" s="3117">
        <v>15</v>
      </c>
    </row>
    <row r="83" spans="1:6" ht="24">
      <c r="A83" s="3117">
        <v>11</v>
      </c>
      <c r="B83" s="3791"/>
      <c r="C83" s="3091" t="s">
        <v>2672</v>
      </c>
      <c r="D83" s="3091" t="s">
        <v>2673</v>
      </c>
      <c r="E83" s="3117">
        <v>0.1</v>
      </c>
      <c r="F83" s="3117">
        <v>15</v>
      </c>
    </row>
    <row r="84" spans="1:6" ht="24">
      <c r="A84" s="3117">
        <v>12</v>
      </c>
      <c r="B84" s="3791"/>
      <c r="C84" s="3091" t="s">
        <v>2674</v>
      </c>
      <c r="D84" s="3091" t="s">
        <v>2675</v>
      </c>
      <c r="E84" s="3117">
        <v>0.1</v>
      </c>
      <c r="F84" s="3117">
        <v>15</v>
      </c>
    </row>
    <row r="85" spans="1:6" ht="13.5">
      <c r="A85" s="3117">
        <v>13</v>
      </c>
      <c r="B85" s="3791"/>
      <c r="C85" s="3091" t="s">
        <v>2676</v>
      </c>
      <c r="D85" s="3091" t="s">
        <v>2677</v>
      </c>
      <c r="E85" s="3117">
        <v>0.1</v>
      </c>
      <c r="F85" s="3117">
        <v>15</v>
      </c>
    </row>
    <row r="86" spans="1:6" ht="13.5">
      <c r="A86" s="3117">
        <v>14</v>
      </c>
      <c r="B86" s="3791"/>
      <c r="C86" s="3091" t="s">
        <v>2678</v>
      </c>
      <c r="D86" s="3091" t="s">
        <v>2679</v>
      </c>
      <c r="E86" s="3117">
        <v>0.1</v>
      </c>
      <c r="F86" s="3117">
        <v>15</v>
      </c>
    </row>
    <row r="87" spans="1:6" ht="13.5">
      <c r="A87" s="3117">
        <v>15</v>
      </c>
      <c r="B87" s="3791"/>
      <c r="C87" s="3091" t="s">
        <v>2680</v>
      </c>
      <c r="D87" s="3091" t="s">
        <v>2681</v>
      </c>
      <c r="E87" s="3117">
        <v>0.1</v>
      </c>
      <c r="F87" s="3117">
        <v>15</v>
      </c>
    </row>
    <row r="88" spans="1:6" ht="24">
      <c r="A88" s="3117">
        <v>16</v>
      </c>
      <c r="B88" s="3791"/>
      <c r="C88" s="3091" t="s">
        <v>2682</v>
      </c>
      <c r="D88" s="3091" t="s">
        <v>2683</v>
      </c>
      <c r="E88" s="3117">
        <v>0.1</v>
      </c>
      <c r="F88" s="3117">
        <v>15</v>
      </c>
    </row>
    <row r="89" spans="1:6" ht="24">
      <c r="A89" s="3117">
        <v>17</v>
      </c>
      <c r="B89" s="3790"/>
      <c r="C89" s="3091" t="s">
        <v>2684</v>
      </c>
      <c r="D89" s="3091" t="s">
        <v>2685</v>
      </c>
      <c r="E89" s="3117">
        <v>0.1</v>
      </c>
      <c r="F89" s="3117">
        <v>15</v>
      </c>
    </row>
    <row r="90" spans="1:6" ht="13.5">
      <c r="A90" s="3117">
        <v>18</v>
      </c>
      <c r="B90" s="3789" t="s">
        <v>2686</v>
      </c>
      <c r="C90" s="3091" t="s">
        <v>2687</v>
      </c>
      <c r="D90" s="3091" t="s">
        <v>2688</v>
      </c>
      <c r="E90" s="3117">
        <v>0.2</v>
      </c>
      <c r="F90" s="3117">
        <v>25</v>
      </c>
    </row>
    <row r="91" spans="1:6" ht="24">
      <c r="A91" s="3117">
        <v>19</v>
      </c>
      <c r="B91" s="3791"/>
      <c r="C91" s="3091" t="s">
        <v>2689</v>
      </c>
      <c r="D91" s="3091" t="s">
        <v>2690</v>
      </c>
      <c r="E91" s="3117">
        <v>0.2</v>
      </c>
      <c r="F91" s="3117">
        <v>25</v>
      </c>
    </row>
    <row r="92" spans="1:6" ht="13.5">
      <c r="A92" s="3117">
        <v>20</v>
      </c>
      <c r="B92" s="3791"/>
      <c r="C92" s="3091" t="s">
        <v>2691</v>
      </c>
      <c r="D92" s="3091" t="s">
        <v>2692</v>
      </c>
      <c r="E92" s="3117">
        <v>0.15</v>
      </c>
      <c r="F92" s="3117">
        <v>20</v>
      </c>
    </row>
    <row r="93" spans="1:6" ht="13.5">
      <c r="A93" s="3117">
        <v>21</v>
      </c>
      <c r="B93" s="3791"/>
      <c r="C93" s="3091" t="s">
        <v>2693</v>
      </c>
      <c r="D93" s="3091" t="s">
        <v>2694</v>
      </c>
      <c r="E93" s="3117">
        <v>0.15</v>
      </c>
      <c r="F93" s="3117">
        <v>20</v>
      </c>
    </row>
    <row r="94" spans="1:6" ht="13.5">
      <c r="A94" s="3117">
        <v>22</v>
      </c>
      <c r="B94" s="3791"/>
      <c r="C94" s="3091" t="s">
        <v>2695</v>
      </c>
      <c r="D94" s="3091" t="s">
        <v>2696</v>
      </c>
      <c r="E94" s="3117">
        <v>0.15</v>
      </c>
      <c r="F94" s="3117">
        <v>20</v>
      </c>
    </row>
    <row r="95" spans="1:6" ht="36">
      <c r="A95" s="3117">
        <v>23</v>
      </c>
      <c r="B95" s="3791"/>
      <c r="C95" s="3091" t="s">
        <v>2697</v>
      </c>
      <c r="D95" s="3091" t="s">
        <v>2698</v>
      </c>
      <c r="E95" s="3117">
        <v>0.15</v>
      </c>
      <c r="F95" s="3117">
        <v>20</v>
      </c>
    </row>
    <row r="96" spans="1:6" ht="13.5">
      <c r="A96" s="3117">
        <v>24</v>
      </c>
      <c r="B96" s="3791"/>
      <c r="C96" s="3091" t="s">
        <v>2699</v>
      </c>
      <c r="D96" s="3091" t="s">
        <v>2700</v>
      </c>
      <c r="E96" s="3117">
        <v>0.1</v>
      </c>
      <c r="F96" s="3117">
        <v>15</v>
      </c>
    </row>
    <row r="97" spans="1:6" ht="13.5">
      <c r="A97" s="3117">
        <v>25</v>
      </c>
      <c r="B97" s="3791"/>
      <c r="C97" s="3091" t="s">
        <v>2701</v>
      </c>
      <c r="D97" s="3091" t="s">
        <v>2702</v>
      </c>
      <c r="E97" s="3117">
        <v>0.1</v>
      </c>
      <c r="F97" s="3117">
        <v>15</v>
      </c>
    </row>
    <row r="98" spans="1:6" ht="24">
      <c r="A98" s="3117">
        <v>26</v>
      </c>
      <c r="B98" s="3791"/>
      <c r="C98" s="3091" t="s">
        <v>2703</v>
      </c>
      <c r="D98" s="3091" t="s">
        <v>2704</v>
      </c>
      <c r="E98" s="3117">
        <v>0.1</v>
      </c>
      <c r="F98" s="3117">
        <v>15</v>
      </c>
    </row>
    <row r="99" spans="1:6" ht="24">
      <c r="A99" s="3117">
        <v>27</v>
      </c>
      <c r="B99" s="3791"/>
      <c r="C99" s="3091" t="s">
        <v>2705</v>
      </c>
      <c r="D99" s="3091" t="s">
        <v>2706</v>
      </c>
      <c r="E99" s="3117">
        <v>0.1</v>
      </c>
      <c r="F99" s="3117">
        <v>15</v>
      </c>
    </row>
    <row r="100" spans="1:6" ht="13.5">
      <c r="A100" s="3117">
        <v>28</v>
      </c>
      <c r="B100" s="3791"/>
      <c r="C100" s="3091" t="s">
        <v>2707</v>
      </c>
      <c r="D100" s="3091" t="s">
        <v>2708</v>
      </c>
      <c r="E100" s="3117">
        <v>0.1</v>
      </c>
      <c r="F100" s="3117">
        <v>15</v>
      </c>
    </row>
    <row r="101" spans="1:6" ht="13.5">
      <c r="A101" s="3117">
        <v>29</v>
      </c>
      <c r="B101" s="3791"/>
      <c r="C101" s="3091" t="s">
        <v>2709</v>
      </c>
      <c r="D101" s="3091" t="s">
        <v>2710</v>
      </c>
      <c r="E101" s="3117">
        <v>0.1</v>
      </c>
      <c r="F101" s="3117">
        <v>15</v>
      </c>
    </row>
    <row r="102" spans="1:6" ht="13.5">
      <c r="A102" s="3117">
        <v>30</v>
      </c>
      <c r="B102" s="3791"/>
      <c r="C102" s="3091" t="s">
        <v>2711</v>
      </c>
      <c r="D102" s="3091" t="s">
        <v>2712</v>
      </c>
      <c r="E102" s="3117">
        <v>0.1</v>
      </c>
      <c r="F102" s="3117">
        <v>15</v>
      </c>
    </row>
    <row r="103" spans="1:6" ht="24">
      <c r="A103" s="3117">
        <v>31</v>
      </c>
      <c r="B103" s="3791"/>
      <c r="C103" s="3091" t="s">
        <v>2713</v>
      </c>
      <c r="D103" s="3091" t="s">
        <v>2714</v>
      </c>
      <c r="E103" s="3117">
        <v>0.1</v>
      </c>
      <c r="F103" s="3117">
        <v>15</v>
      </c>
    </row>
    <row r="104" spans="1:6" ht="24">
      <c r="A104" s="3117">
        <v>32</v>
      </c>
      <c r="B104" s="3791"/>
      <c r="C104" s="3091" t="s">
        <v>2715</v>
      </c>
      <c r="D104" s="3091" t="s">
        <v>2716</v>
      </c>
      <c r="E104" s="3117">
        <v>0.1</v>
      </c>
      <c r="F104" s="3117">
        <v>15</v>
      </c>
    </row>
    <row r="105" spans="1:6" ht="24">
      <c r="A105" s="3117">
        <v>33</v>
      </c>
      <c r="B105" s="3791"/>
      <c r="C105" s="3091" t="s">
        <v>2717</v>
      </c>
      <c r="D105" s="3091" t="s">
        <v>2718</v>
      </c>
      <c r="E105" s="3117">
        <v>0.1</v>
      </c>
      <c r="F105" s="3117">
        <v>15</v>
      </c>
    </row>
    <row r="106" spans="1:6" ht="24">
      <c r="A106" s="3117">
        <v>34</v>
      </c>
      <c r="B106" s="3790"/>
      <c r="C106" s="3091" t="s">
        <v>2719</v>
      </c>
      <c r="D106" s="3091" t="s">
        <v>2720</v>
      </c>
      <c r="E106" s="3117">
        <v>0.1</v>
      </c>
      <c r="F106" s="3117">
        <v>15</v>
      </c>
    </row>
    <row r="107" spans="1:6" ht="24">
      <c r="A107" s="3117">
        <v>35</v>
      </c>
      <c r="B107" s="3789" t="s">
        <v>2721</v>
      </c>
      <c r="C107" s="3117" t="s">
        <v>2722</v>
      </c>
      <c r="D107" s="3091" t="s">
        <v>2723</v>
      </c>
      <c r="E107" s="3117">
        <v>0.15</v>
      </c>
      <c r="F107" s="3117">
        <v>20</v>
      </c>
    </row>
    <row r="108" spans="1:6" ht="13.5">
      <c r="A108" s="3117">
        <v>36</v>
      </c>
      <c r="B108" s="3791"/>
      <c r="C108" s="3117" t="s">
        <v>2724</v>
      </c>
      <c r="D108" s="3091" t="s">
        <v>2725</v>
      </c>
      <c r="E108" s="3117">
        <v>0.15</v>
      </c>
      <c r="F108" s="3117">
        <v>20</v>
      </c>
    </row>
    <row r="109" spans="1:6" ht="13.5">
      <c r="A109" s="3117">
        <v>37</v>
      </c>
      <c r="B109" s="3791"/>
      <c r="C109" s="3117" t="s">
        <v>2726</v>
      </c>
      <c r="D109" s="3091" t="s">
        <v>2727</v>
      </c>
      <c r="E109" s="3117">
        <v>0.15</v>
      </c>
      <c r="F109" s="3117">
        <v>20</v>
      </c>
    </row>
    <row r="110" spans="1:6" ht="13.5">
      <c r="A110" s="3117">
        <v>38</v>
      </c>
      <c r="B110" s="3791"/>
      <c r="C110" s="3117" t="s">
        <v>2728</v>
      </c>
      <c r="D110" s="3091" t="s">
        <v>2729</v>
      </c>
      <c r="E110" s="3117">
        <v>0.1</v>
      </c>
      <c r="F110" s="3117">
        <v>15</v>
      </c>
    </row>
    <row r="111" spans="1:6" ht="24">
      <c r="A111" s="3117">
        <v>39</v>
      </c>
      <c r="B111" s="3791"/>
      <c r="C111" s="3117" t="s">
        <v>2730</v>
      </c>
      <c r="D111" s="3091" t="s">
        <v>2731</v>
      </c>
      <c r="E111" s="3117">
        <v>0.1</v>
      </c>
      <c r="F111" s="3117">
        <v>15</v>
      </c>
    </row>
    <row r="112" spans="1:6" ht="24">
      <c r="A112" s="3117">
        <v>40</v>
      </c>
      <c r="B112" s="3790"/>
      <c r="C112" s="3117" t="s">
        <v>2732</v>
      </c>
      <c r="D112" s="3091" t="s">
        <v>2733</v>
      </c>
      <c r="E112" s="3117">
        <v>0.1</v>
      </c>
      <c r="F112" s="3117">
        <v>15</v>
      </c>
    </row>
    <row r="113" spans="1:6" ht="13.5">
      <c r="A113" s="3117">
        <v>41</v>
      </c>
      <c r="B113" s="3788" t="s">
        <v>2734</v>
      </c>
      <c r="C113" s="3117" t="s">
        <v>2735</v>
      </c>
      <c r="D113" s="3091" t="s">
        <v>2736</v>
      </c>
      <c r="E113" s="3117">
        <v>0.1</v>
      </c>
      <c r="F113" s="3117">
        <v>15</v>
      </c>
    </row>
    <row r="114" spans="1:6" ht="13.5">
      <c r="A114" s="3117">
        <v>42</v>
      </c>
      <c r="B114" s="3788"/>
      <c r="C114" s="3117" t="s">
        <v>2737</v>
      </c>
      <c r="D114" s="3091" t="s">
        <v>2738</v>
      </c>
      <c r="E114" s="3117">
        <v>0.1</v>
      </c>
      <c r="F114" s="3117">
        <v>15</v>
      </c>
    </row>
    <row r="115" spans="1:6" ht="24">
      <c r="A115" s="3117">
        <v>43</v>
      </c>
      <c r="B115" s="3788"/>
      <c r="C115" s="3117" t="s">
        <v>2739</v>
      </c>
      <c r="D115" s="3091" t="s">
        <v>2740</v>
      </c>
      <c r="E115" s="3117">
        <v>0.1</v>
      </c>
      <c r="F115" s="3117">
        <v>15</v>
      </c>
    </row>
    <row r="116" spans="1:6" ht="13.5">
      <c r="A116" s="3117">
        <v>44</v>
      </c>
      <c r="B116" s="3789" t="s">
        <v>2741</v>
      </c>
      <c r="C116" s="3117" t="s">
        <v>2742</v>
      </c>
      <c r="D116" s="3091" t="s">
        <v>2743</v>
      </c>
      <c r="E116" s="3117">
        <v>0.1</v>
      </c>
      <c r="F116" s="3117">
        <v>15</v>
      </c>
    </row>
    <row r="117" spans="1:6" ht="24">
      <c r="A117" s="3117">
        <v>45</v>
      </c>
      <c r="B117" s="3790"/>
      <c r="C117" s="3091" t="s">
        <v>2744</v>
      </c>
      <c r="D117" s="3091" t="s">
        <v>2745</v>
      </c>
      <c r="E117" s="3117">
        <v>0.1</v>
      </c>
      <c r="F117" s="3117">
        <v>15</v>
      </c>
    </row>
    <row r="118" spans="1:6" ht="24">
      <c r="A118" s="3117">
        <v>46</v>
      </c>
      <c r="B118" s="3789" t="s">
        <v>2746</v>
      </c>
      <c r="C118" s="3117" t="s">
        <v>2747</v>
      </c>
      <c r="D118" s="3091" t="s">
        <v>2748</v>
      </c>
      <c r="E118" s="3117">
        <v>0.1</v>
      </c>
      <c r="F118" s="3117">
        <v>15</v>
      </c>
    </row>
    <row r="119" spans="1:6" ht="24">
      <c r="A119" s="3117">
        <v>47</v>
      </c>
      <c r="B119" s="3790"/>
      <c r="C119" s="3117" t="s">
        <v>2749</v>
      </c>
      <c r="D119" s="3091" t="s">
        <v>2750</v>
      </c>
      <c r="E119" s="3117">
        <v>0.1</v>
      </c>
      <c r="F119" s="3117">
        <v>15</v>
      </c>
    </row>
    <row r="120" spans="1:6" ht="13.5">
      <c r="A120" s="3117">
        <v>48</v>
      </c>
      <c r="B120" s="3789" t="s">
        <v>2751</v>
      </c>
      <c r="C120" s="3117" t="s">
        <v>2752</v>
      </c>
      <c r="D120" s="3091" t="s">
        <v>2753</v>
      </c>
      <c r="E120" s="3117">
        <v>0.1</v>
      </c>
      <c r="F120" s="3117">
        <v>15</v>
      </c>
    </row>
    <row r="121" spans="1:6" ht="13.5">
      <c r="A121" s="3117">
        <v>49</v>
      </c>
      <c r="B121" s="3790"/>
      <c r="C121" s="3117" t="s">
        <v>2754</v>
      </c>
      <c r="D121" s="3091" t="s">
        <v>2755</v>
      </c>
      <c r="E121" s="3117">
        <v>0.1</v>
      </c>
      <c r="F121" s="3117">
        <v>15</v>
      </c>
    </row>
    <row r="122" spans="1:6" ht="24">
      <c r="A122" s="3117">
        <v>50</v>
      </c>
      <c r="B122" s="3788" t="s">
        <v>2756</v>
      </c>
      <c r="C122" s="3117" t="s">
        <v>2757</v>
      </c>
      <c r="D122" s="3091" t="s">
        <v>2758</v>
      </c>
      <c r="E122" s="3117">
        <v>0.1</v>
      </c>
      <c r="F122" s="3117">
        <v>15</v>
      </c>
    </row>
    <row r="123" spans="1:6" ht="24">
      <c r="A123" s="3117">
        <v>51</v>
      </c>
      <c r="B123" s="3788"/>
      <c r="C123" s="3117" t="s">
        <v>2759</v>
      </c>
      <c r="D123" s="3091" t="s">
        <v>2760</v>
      </c>
      <c r="E123" s="3117">
        <v>0.1</v>
      </c>
      <c r="F123" s="3117">
        <v>15</v>
      </c>
    </row>
    <row r="124" spans="1:6" ht="24">
      <c r="A124" s="3117">
        <v>52</v>
      </c>
      <c r="B124" s="3788" t="s">
        <v>2761</v>
      </c>
      <c r="C124" s="3117" t="s">
        <v>2762</v>
      </c>
      <c r="D124" s="3091" t="s">
        <v>2763</v>
      </c>
      <c r="E124" s="3117">
        <v>0.1</v>
      </c>
      <c r="F124" s="3117">
        <v>15</v>
      </c>
    </row>
    <row r="125" spans="1:6" ht="24">
      <c r="A125" s="3117">
        <v>53</v>
      </c>
      <c r="B125" s="3788"/>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8" t="s">
        <v>2769</v>
      </c>
      <c r="C127" s="3117" t="s">
        <v>2770</v>
      </c>
      <c r="D127" s="3091" t="s">
        <v>2771</v>
      </c>
      <c r="E127" s="3117">
        <v>0.1</v>
      </c>
      <c r="F127" s="3117">
        <v>15</v>
      </c>
    </row>
    <row r="128" spans="1:6" ht="13.5">
      <c r="A128" s="3117">
        <v>56</v>
      </c>
      <c r="B128" s="3788"/>
      <c r="C128" s="3117" t="s">
        <v>2772</v>
      </c>
      <c r="D128" s="3091" t="s">
        <v>2773</v>
      </c>
      <c r="E128" s="3117">
        <v>0.1</v>
      </c>
      <c r="F128" s="3117">
        <v>15</v>
      </c>
    </row>
    <row r="129" spans="1:6" ht="24">
      <c r="A129" s="3117">
        <v>57</v>
      </c>
      <c r="B129" s="3788"/>
      <c r="C129" s="3117" t="s">
        <v>2774</v>
      </c>
      <c r="D129" s="3091" t="s">
        <v>2775</v>
      </c>
      <c r="E129" s="3117">
        <v>0.1</v>
      </c>
      <c r="F129" s="3117">
        <v>15</v>
      </c>
    </row>
    <row r="130" spans="1:6" ht="24">
      <c r="A130" s="3117">
        <v>58</v>
      </c>
      <c r="B130" s="3788" t="s">
        <v>2776</v>
      </c>
      <c r="C130" s="3117" t="s">
        <v>2777</v>
      </c>
      <c r="D130" s="3091" t="s">
        <v>2778</v>
      </c>
      <c r="E130" s="3117">
        <v>0.1</v>
      </c>
      <c r="F130" s="3117">
        <v>15</v>
      </c>
    </row>
    <row r="131" spans="1:6" ht="13.5">
      <c r="A131" s="3117">
        <v>59</v>
      </c>
      <c r="B131" s="3788"/>
      <c r="C131" s="3117" t="s">
        <v>2779</v>
      </c>
      <c r="D131" s="3091" t="s">
        <v>2780</v>
      </c>
      <c r="E131" s="3117">
        <v>0.1</v>
      </c>
      <c r="F131" s="3117">
        <v>15</v>
      </c>
    </row>
    <row r="132" spans="1:6" ht="13.5">
      <c r="A132" s="3117">
        <v>60</v>
      </c>
      <c r="B132" s="3789" t="s">
        <v>2781</v>
      </c>
      <c r="C132" s="3117" t="s">
        <v>2782</v>
      </c>
      <c r="D132" s="3091" t="s">
        <v>2783</v>
      </c>
      <c r="E132" s="3117">
        <v>0.1</v>
      </c>
      <c r="F132" s="3117">
        <v>15</v>
      </c>
    </row>
    <row r="133" spans="1:6" ht="13.5">
      <c r="A133" s="3117">
        <v>61</v>
      </c>
      <c r="B133" s="3790"/>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8" t="s">
        <v>2789</v>
      </c>
      <c r="C135" s="3117" t="s">
        <v>2790</v>
      </c>
      <c r="D135" s="3091" t="s">
        <v>2791</v>
      </c>
      <c r="E135" s="3117">
        <v>0.1</v>
      </c>
      <c r="F135" s="3117">
        <v>15</v>
      </c>
    </row>
    <row r="136" spans="1:6" ht="13.5">
      <c r="A136" s="3117">
        <v>64</v>
      </c>
      <c r="B136" s="3788"/>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spans="1:5" ht="18">
      <c r="A3" s="3483" t="str">
        <f>IF(项目基本情况!B9="房地产市场价值","估价结果一览表（市场价值不需“结果表-1”）","估价结果一览表")</f>
        <v>估价结果一览表</v>
      </c>
      <c r="B3" s="3483"/>
      <c r="C3" s="3483"/>
      <c r="D3" s="3483"/>
      <c r="E3" s="3483"/>
    </row>
    <row r="4" spans="1:5" ht="19.5" thickBot="1">
      <c r="A4" s="1493"/>
      <c r="B4" s="3481" t="s">
        <v>917</v>
      </c>
      <c r="C4" s="3481"/>
      <c r="D4" s="3481"/>
      <c r="E4" s="1493"/>
    </row>
    <row r="5" spans="1:5" ht="16.5" thickTop="1">
      <c r="A5" s="1491"/>
      <c r="B5" s="3479" t="s">
        <v>909</v>
      </c>
      <c r="C5" s="1494" t="s">
        <v>910</v>
      </c>
      <c r="D5" s="850" t="e">
        <f ca="1">结果表!H101</f>
        <v>#REF!</v>
      </c>
      <c r="E5" s="1491"/>
    </row>
    <row r="6" spans="1:5" ht="15.75">
      <c r="A6" s="1491"/>
      <c r="B6" s="3479"/>
      <c r="C6" s="1494" t="s">
        <v>911</v>
      </c>
      <c r="D6" s="850" t="e">
        <f ca="1">NUMBERSTRING(INT(D5*10000),2)&amp;"元整"</f>
        <v>#REF!</v>
      </c>
      <c r="E6" s="1491"/>
    </row>
    <row r="7" spans="1:5" ht="15.75">
      <c r="A7" s="1491"/>
      <c r="B7" s="3484"/>
      <c r="C7" s="1495" t="s">
        <v>912</v>
      </c>
      <c r="D7" s="851" t="e">
        <f ca="1">结果表!H102</f>
        <v>#REF!</v>
      </c>
      <c r="E7" s="1491"/>
    </row>
    <row r="8" spans="1:5" ht="15.75">
      <c r="A8" s="1491"/>
      <c r="B8" s="3485" t="str">
        <f>结果表!E103</f>
        <v>2.估价师知悉的法定优先受偿款</v>
      </c>
      <c r="C8" s="1496" t="s">
        <v>913</v>
      </c>
      <c r="D8" s="851">
        <f>结果表!H103</f>
        <v>0</v>
      </c>
      <c r="E8" s="1491"/>
    </row>
    <row r="9" spans="1:5" ht="15.75">
      <c r="A9" s="1491"/>
      <c r="B9" s="348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8" t="str">
        <f>结果表!E107</f>
        <v>3.房地产抵押价值</v>
      </c>
      <c r="C13" s="1499" t="s">
        <v>910</v>
      </c>
      <c r="D13" s="853" t="e">
        <f ca="1">结果表!H107</f>
        <v>#REF!</v>
      </c>
      <c r="E13" s="1491"/>
    </row>
    <row r="14" spans="1:5" ht="15.75">
      <c r="A14" s="1491"/>
      <c r="B14" s="3479"/>
      <c r="C14" s="1494" t="s">
        <v>911</v>
      </c>
      <c r="D14" s="850" t="e">
        <f ca="1">NUMBERSTRING(INT(D13*10000),2)&amp;"元整"</f>
        <v>#REF!</v>
      </c>
      <c r="E14" s="1491"/>
    </row>
    <row r="15" spans="1:5" ht="15">
      <c r="A15" s="1491"/>
      <c r="B15" s="3484"/>
      <c r="C15" s="1495" t="s">
        <v>921</v>
      </c>
      <c r="D15" s="859" t="e">
        <f ca="1">结果表!H108</f>
        <v>#REF!</v>
      </c>
      <c r="E15" s="1491"/>
    </row>
    <row r="16" spans="1:5" ht="15">
      <c r="A16" s="1491"/>
      <c r="B16" s="3485" t="str">
        <f>结果表!E109</f>
        <v>——</v>
      </c>
      <c r="C16" s="1499" t="s">
        <v>922</v>
      </c>
      <c r="D16" s="1500" t="str">
        <f>结果表!H109</f>
        <v>——</v>
      </c>
      <c r="E16" s="1491"/>
    </row>
    <row r="17" spans="1:5" ht="15.75">
      <c r="A17" s="1491"/>
      <c r="B17" s="3486"/>
      <c r="C17" s="1494" t="s">
        <v>923</v>
      </c>
      <c r="D17" s="850" t="e">
        <f>NUMBERSTRING(INT(D16*10000),2)&amp;"元整"</f>
        <v>#VALUE!</v>
      </c>
      <c r="E17" s="1491"/>
    </row>
    <row r="18" spans="1:5" ht="15">
      <c r="A18" s="1491"/>
      <c r="B18" s="3487"/>
      <c r="C18" s="1495" t="s">
        <v>912</v>
      </c>
      <c r="D18" s="859" t="str">
        <f>结果表!H110</f>
        <v>——</v>
      </c>
      <c r="E18" s="1491"/>
    </row>
    <row r="19" spans="1:5" ht="15.75">
      <c r="A19" s="1491"/>
      <c r="B19" s="3478" t="str">
        <f>结果表!E111</f>
        <v>——</v>
      </c>
      <c r="C19" s="1499" t="s">
        <v>910</v>
      </c>
      <c r="D19" s="851" t="str">
        <f>结果表!H111</f>
        <v>——</v>
      </c>
      <c r="E19" s="1491"/>
    </row>
    <row r="20" spans="1:5" ht="15.75">
      <c r="A20" s="1491"/>
      <c r="B20" s="3479"/>
      <c r="C20" s="1494" t="s">
        <v>923</v>
      </c>
      <c r="D20" s="850" t="e">
        <f>NUMBERSTRING(INT(D19*10000),2)&amp;"元整"</f>
        <v>#VALUE!</v>
      </c>
      <c r="E20" s="1491"/>
    </row>
    <row r="21" spans="1:5" ht="15.75" thickBot="1">
      <c r="A21" s="1491"/>
      <c r="B21" s="348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4" t="s">
        <v>94</v>
      </c>
    </row>
    <row r="43" spans="1:7" ht="13.5" customHeight="1">
      <c r="A43" s="780" t="s">
        <v>347</v>
      </c>
      <c r="B43" s="215" t="s">
        <v>426</v>
      </c>
      <c r="C43" s="238" t="e">
        <f ca="1">ROUND(IF('数据-取费表'!B22&lt;=1,C39*F22*'数据-取费表'!B21/2,C39*(POWER((1+F22),'数据-取费表'!B21/2)-1)),0)</f>
        <v>#VALUE!</v>
      </c>
      <c r="D43" s="238"/>
      <c r="E43" s="238"/>
      <c r="F43" s="239"/>
      <c r="G43" s="3665"/>
    </row>
    <row r="44" spans="1:7" ht="13.5" customHeight="1">
      <c r="A44" s="780" t="s">
        <v>348</v>
      </c>
      <c r="B44" s="215" t="s">
        <v>428</v>
      </c>
      <c r="C44" s="238" t="e">
        <f ca="1">ROUND(IF('数据-取费表'!B22&lt;=1,C40*F22*'数据-取费表'!B21/2,C40*(POWER((1+F22),'数据-取费表'!B21/2)-1)),4)</f>
        <v>#VALUE!</v>
      </c>
      <c r="D44" s="238"/>
      <c r="E44" s="238"/>
      <c r="F44" s="239"/>
      <c r="G44" s="3666"/>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0" t="s">
        <v>3181</v>
      </c>
      <c r="B1" s="3800"/>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1" t="s">
        <v>3232</v>
      </c>
      <c r="B1" s="3801"/>
      <c r="C1" s="3801"/>
      <c r="D1" s="3801"/>
      <c r="E1" s="3801"/>
      <c r="F1" s="3802"/>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45817</v>
      </c>
      <c r="B1" s="3209" t="s">
        <v>3378</v>
      </c>
      <c r="C1" s="3210"/>
      <c r="D1" s="3210"/>
      <c r="E1" s="3210"/>
      <c r="F1" s="3210"/>
      <c r="G1" s="3210"/>
      <c r="H1" s="3210"/>
      <c r="I1" s="3210"/>
      <c r="J1" s="3164"/>
      <c r="K1" s="3210" t="s">
        <v>454</v>
      </c>
      <c r="L1" s="3210"/>
      <c r="M1" s="3210"/>
      <c r="N1" s="3210"/>
      <c r="O1" s="3210"/>
      <c r="P1" s="3210"/>
      <c r="Q1" s="3164"/>
      <c r="R1" s="3803" t="s">
        <v>456</v>
      </c>
      <c r="S1" s="3804"/>
      <c r="T1" s="3804"/>
      <c r="U1" s="3804"/>
      <c r="V1" s="3804"/>
      <c r="W1" s="3804"/>
      <c r="X1" s="3164"/>
      <c r="Y1" s="3803" t="s">
        <v>457</v>
      </c>
      <c r="Z1" s="3804"/>
      <c r="AA1" s="3804"/>
      <c r="AB1" s="3804"/>
      <c r="AC1" s="3804"/>
      <c r="AD1" s="3804"/>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5"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5"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5"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803" t="s">
        <v>2827</v>
      </c>
      <c r="S29" s="3804"/>
      <c r="T29" s="3804"/>
      <c r="U29" s="3804"/>
      <c r="V29" s="3804"/>
      <c r="W29" s="3804"/>
      <c r="X29" s="3164"/>
      <c r="Y29" s="3803" t="s">
        <v>2828</v>
      </c>
      <c r="Z29" s="3804"/>
      <c r="AA29" s="3804"/>
      <c r="AB29" s="3804"/>
      <c r="AC29" s="3804"/>
      <c r="AD29" s="3804"/>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5"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5"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5"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0" t="s">
        <v>452</v>
      </c>
      <c r="C1" s="3810"/>
      <c r="D1" s="3810"/>
      <c r="E1" s="3810"/>
      <c r="F1" s="3810"/>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8" t="s">
        <v>2839</v>
      </c>
      <c r="B1" s="3818"/>
      <c r="C1" s="3818"/>
      <c r="D1" s="3818"/>
      <c r="E1" s="3818"/>
      <c r="F1" s="3818"/>
      <c r="G1" s="3819"/>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16"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17"/>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45817</v>
      </c>
      <c r="D1" s="1302" t="s">
        <v>603</v>
      </c>
      <c r="E1" s="1297">
        <f>'数据-取费表'!B22</f>
        <v>0</v>
      </c>
      <c r="F1" s="1302" t="s">
        <v>604</v>
      </c>
      <c r="G1" s="1298" t="e">
        <f ca="1">INDIRECT("d"&amp;$K$1)/100</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5" t="str">
        <f>IF(项目基本情况!B9="房地产市场价值","估价结果一览表","结果表-2")</f>
        <v>结果表-2</v>
      </c>
      <c r="B1" s="3495"/>
      <c r="C1" s="3495"/>
      <c r="D1" s="3495"/>
      <c r="E1" s="3495"/>
      <c r="F1" s="3495"/>
      <c r="G1" s="3495"/>
      <c r="H1" s="3495"/>
      <c r="I1" s="3495"/>
    </row>
    <row r="2" spans="1:9" ht="30" customHeight="1" thickTop="1">
      <c r="A2" s="3496" t="s">
        <v>928</v>
      </c>
      <c r="B2" s="3496" t="s">
        <v>929</v>
      </c>
      <c r="C2" s="3496" t="s">
        <v>930</v>
      </c>
      <c r="D2" s="3496" t="str">
        <f>结果表!D116</f>
        <v>出让国有建设用地使用权价值</v>
      </c>
      <c r="E2" s="3496"/>
      <c r="F2" s="3496" t="str">
        <f>结果表!F116</f>
        <v>在建建筑物价值</v>
      </c>
      <c r="G2" s="3496"/>
      <c r="H2" s="3496" t="str">
        <f>IF(项目基本情况!B9="房地产市场价值","房地产市场价值","房地产价值")</f>
        <v>房地产价值</v>
      </c>
      <c r="I2" s="3496"/>
    </row>
    <row r="3" spans="1:9" ht="15">
      <c r="A3" s="3491"/>
      <c r="B3" s="3491"/>
      <c r="C3" s="3491"/>
      <c r="D3" s="854" t="s">
        <v>925</v>
      </c>
      <c r="E3" s="854" t="s">
        <v>931</v>
      </c>
      <c r="F3" s="854" t="s">
        <v>925</v>
      </c>
      <c r="G3" s="854" t="s">
        <v>926</v>
      </c>
      <c r="H3" s="854" t="s">
        <v>925</v>
      </c>
      <c r="I3" s="854" t="s">
        <v>926</v>
      </c>
    </row>
    <row r="4" spans="1:9" ht="45">
      <c r="A4" s="1505" t="str">
        <f>项目基本情况!S2</f>
        <v>北京市昌平区双营西路78号院2号楼17层1714办公用房房地产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1" t="s">
        <v>927</v>
      </c>
      <c r="B5" s="3491"/>
      <c r="C5" s="3491"/>
      <c r="D5" s="3491" t="e">
        <f ca="1">结果表!D119</f>
        <v>#REF!</v>
      </c>
      <c r="E5" s="3491"/>
      <c r="F5" s="3491" t="e">
        <f ca="1">结果表!F119</f>
        <v>#REF!</v>
      </c>
      <c r="G5" s="3491"/>
      <c r="H5" s="3491" t="e">
        <f ca="1">结果表!H119</f>
        <v>#REF!</v>
      </c>
      <c r="I5" s="3491"/>
    </row>
    <row r="6" spans="1:9" ht="15.75">
      <c r="A6" s="3490" t="str">
        <f>结果表!A120</f>
        <v>估价师知悉的法定优先受偿款</v>
      </c>
      <c r="B6" s="3490"/>
      <c r="C6" s="3490"/>
      <c r="D6" s="3490">
        <f>结果表!D120</f>
        <v>0</v>
      </c>
      <c r="E6" s="3490"/>
      <c r="F6" s="3490"/>
      <c r="G6" s="3490"/>
      <c r="H6" s="3490"/>
      <c r="I6" s="3490"/>
    </row>
    <row r="7" spans="1:9" ht="15">
      <c r="A7" s="3491" t="s">
        <v>927</v>
      </c>
      <c r="B7" s="3491"/>
      <c r="C7" s="3491"/>
      <c r="D7" s="3492" t="str">
        <f>结果表!D121</f>
        <v>零元整</v>
      </c>
      <c r="E7" s="3493"/>
      <c r="F7" s="3493"/>
      <c r="G7" s="3493"/>
      <c r="H7" s="3493"/>
      <c r="I7" s="3494"/>
    </row>
    <row r="8" spans="1:9" ht="15.75">
      <c r="A8" s="3490" t="str">
        <f>结果表!A122</f>
        <v>房地产抵押价值</v>
      </c>
      <c r="B8" s="3490"/>
      <c r="C8" s="3490"/>
      <c r="D8" s="3490" t="e">
        <f ca="1">结果表!D122</f>
        <v>#REF!</v>
      </c>
      <c r="E8" s="3490"/>
      <c r="F8" s="3490"/>
      <c r="G8" s="3490"/>
      <c r="H8" s="3490"/>
      <c r="I8" s="3490"/>
    </row>
    <row r="9" spans="1:9" ht="15">
      <c r="A9" s="3491" t="s">
        <v>927</v>
      </c>
      <c r="B9" s="3491"/>
      <c r="C9" s="3491"/>
      <c r="D9" s="3491" t="e">
        <f ca="1">结果表!D123</f>
        <v>#REF!</v>
      </c>
      <c r="E9" s="3491"/>
      <c r="F9" s="3491"/>
      <c r="G9" s="3491"/>
      <c r="H9" s="3491"/>
      <c r="I9" s="3491"/>
    </row>
    <row r="10" spans="1:9" ht="15.75">
      <c r="A10" s="3490" t="str">
        <f>结果表!A124</f>
        <v/>
      </c>
      <c r="B10" s="3490"/>
      <c r="C10" s="3490"/>
      <c r="D10" s="3490" t="str">
        <f>结果表!D124</f>
        <v>——</v>
      </c>
      <c r="E10" s="3490"/>
      <c r="F10" s="3490"/>
      <c r="G10" s="3490"/>
      <c r="H10" s="3490"/>
      <c r="I10" s="3490"/>
    </row>
    <row r="11" spans="1:9" ht="15">
      <c r="A11" s="3491" t="s">
        <v>927</v>
      </c>
      <c r="B11" s="3491"/>
      <c r="C11" s="3491"/>
      <c r="D11" s="3491" t="e">
        <f>结果表!D125</f>
        <v>#VALUE!</v>
      </c>
      <c r="E11" s="3491"/>
      <c r="F11" s="3491"/>
      <c r="G11" s="3491"/>
      <c r="H11" s="3491"/>
      <c r="I11" s="3491"/>
    </row>
    <row r="12" spans="1:9" ht="15.75">
      <c r="A12" s="3490" t="str">
        <f>结果表!A126</f>
        <v/>
      </c>
      <c r="B12" s="3490"/>
      <c r="C12" s="3490"/>
      <c r="D12" s="3490" t="str">
        <f>结果表!D126</f>
        <v>——</v>
      </c>
      <c r="E12" s="3490"/>
      <c r="F12" s="3490"/>
      <c r="G12" s="3490"/>
      <c r="H12" s="3490"/>
      <c r="I12" s="3490"/>
    </row>
    <row r="13" spans="1:9" ht="15.75" thickBot="1">
      <c r="A13" s="3488" t="s">
        <v>927</v>
      </c>
      <c r="B13" s="3488"/>
      <c r="C13" s="3488"/>
      <c r="D13" s="3488" t="e">
        <f>结果表!D127</f>
        <v>#VALUE!</v>
      </c>
      <c r="E13" s="3488"/>
      <c r="F13" s="3488"/>
      <c r="G13" s="3488"/>
      <c r="H13" s="3488"/>
      <c r="I13" s="3488"/>
    </row>
    <row r="14" spans="1:9" ht="15" thickTop="1">
      <c r="A14" s="3489" t="s">
        <v>932</v>
      </c>
      <c r="B14" s="3489"/>
      <c r="C14" s="3489"/>
      <c r="D14" s="3489"/>
      <c r="E14" s="3489"/>
      <c r="F14" s="3489"/>
      <c r="G14" s="3489"/>
      <c r="H14" s="3489"/>
      <c r="I14" s="348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3" t="s">
        <v>949</v>
      </c>
      <c r="B1" s="3503"/>
      <c r="C1" s="3503"/>
      <c r="D1" s="3503"/>
    </row>
    <row r="2" spans="1:4" ht="18">
      <c r="A2" s="3504" t="s">
        <v>933</v>
      </c>
      <c r="B2" s="3504"/>
      <c r="C2" s="3504"/>
      <c r="D2" s="350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4" t="s">
        <v>939</v>
      </c>
      <c r="B6" s="3504"/>
      <c r="C6" s="3504"/>
      <c r="D6" s="350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5" t="s">
        <v>942</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497" t="str">
        <f>IF(项目基本情况!B8="抵押","4.本次评估估价师所知悉的法定优先受偿款情况说明如下：","——")</f>
        <v>4.本次评估估价师所知悉的法定优先受偿款情况说明如下：</v>
      </c>
      <c r="B14" s="3502"/>
      <c r="C14" s="3502"/>
      <c r="D14" s="3502"/>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499" t="s">
        <v>943</v>
      </c>
      <c r="B16" s="3499"/>
      <c r="C16" s="3499"/>
      <c r="D16" s="3499"/>
    </row>
    <row r="17" spans="1:4" ht="144" customHeight="1">
      <c r="A17" s="3499" t="s">
        <v>944</v>
      </c>
      <c r="B17" s="3499"/>
      <c r="C17" s="3499"/>
      <c r="D17" s="3499"/>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8">
        <v>42551</v>
      </c>
      <c r="D31" s="34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1" t="s">
        <v>956</v>
      </c>
      <c r="B15" s="3506" t="s">
        <v>109</v>
      </c>
      <c r="C15" s="3507"/>
    </row>
    <row r="16" spans="1:7" ht="13.5">
      <c r="A16" s="3512"/>
      <c r="B16" s="3506" t="s">
        <v>42</v>
      </c>
      <c r="C16" s="3507"/>
    </row>
    <row r="17" spans="1:3" ht="13.5">
      <c r="A17" s="3512"/>
      <c r="B17" s="3509" t="s">
        <v>957</v>
      </c>
      <c r="C17" s="1532" t="s">
        <v>956</v>
      </c>
    </row>
    <row r="18" spans="1:3" ht="13.5">
      <c r="A18" s="3512"/>
      <c r="B18" s="3509"/>
      <c r="C18" s="1532" t="s">
        <v>958</v>
      </c>
    </row>
    <row r="19" spans="1:3" ht="13.5">
      <c r="A19" s="3512"/>
      <c r="B19" s="3509"/>
      <c r="C19" s="1532" t="s">
        <v>959</v>
      </c>
    </row>
    <row r="20" spans="1:3" ht="13.5">
      <c r="A20" s="3513"/>
      <c r="B20" s="3508" t="s">
        <v>960</v>
      </c>
      <c r="C20" s="3507"/>
    </row>
    <row r="21" spans="1:3" ht="13.5">
      <c r="A21" s="1533" t="s">
        <v>961</v>
      </c>
      <c r="B21" s="1534"/>
      <c r="C21" s="1535"/>
    </row>
    <row r="22" spans="1:3" ht="13.5">
      <c r="A22" s="3510" t="s">
        <v>962</v>
      </c>
      <c r="B22" s="3508" t="s">
        <v>963</v>
      </c>
      <c r="C22" s="3507"/>
    </row>
    <row r="23" spans="1:3" ht="13.5">
      <c r="A23" s="3510"/>
      <c r="B23" s="3508" t="s">
        <v>964</v>
      </c>
      <c r="C23" s="3507"/>
    </row>
    <row r="24" spans="1:3" ht="13.5">
      <c r="A24" s="3510"/>
      <c r="B24" s="3508" t="s">
        <v>965</v>
      </c>
      <c r="C24" s="3507"/>
    </row>
    <row r="25" spans="1:3" ht="13.5">
      <c r="A25" s="3510"/>
      <c r="B25" s="3509" t="s">
        <v>966</v>
      </c>
      <c r="C25" s="1532" t="s">
        <v>967</v>
      </c>
    </row>
    <row r="26" spans="1:3" ht="13.5">
      <c r="A26" s="3510"/>
      <c r="B26" s="3509"/>
      <c r="C26" s="1532" t="s">
        <v>968</v>
      </c>
    </row>
    <row r="27" spans="1:3" ht="13.5">
      <c r="A27" s="3510"/>
      <c r="B27" s="3509"/>
      <c r="C27" s="1532" t="s">
        <v>969</v>
      </c>
    </row>
    <row r="28" spans="1:3" ht="13.5">
      <c r="A28" s="3510"/>
      <c r="B28" s="3509"/>
      <c r="C28" s="1532" t="s">
        <v>970</v>
      </c>
    </row>
    <row r="29" spans="1:3" ht="13.5">
      <c r="A29" s="3510"/>
      <c r="B29" s="3509"/>
      <c r="C29" s="1532" t="s">
        <v>971</v>
      </c>
    </row>
    <row r="30" spans="1:3" ht="13.5">
      <c r="A30" s="3510"/>
      <c r="B30" s="3509"/>
      <c r="C30" s="1532" t="s">
        <v>972</v>
      </c>
    </row>
    <row r="31" spans="1:3" ht="13.5">
      <c r="A31" s="3510"/>
      <c r="B31" s="3509"/>
      <c r="C31" s="1532" t="s">
        <v>973</v>
      </c>
    </row>
    <row r="32" spans="1:3" ht="13.5">
      <c r="A32" s="3510"/>
      <c r="B32" s="3509"/>
      <c r="C32" s="1532" t="s">
        <v>974</v>
      </c>
    </row>
    <row r="33" spans="1:3" ht="13.5">
      <c r="A33" s="3510"/>
      <c r="B33" s="350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45890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4" t="s">
        <v>2160</v>
      </c>
      <c r="B17" s="3514"/>
      <c r="C17" s="3514"/>
      <c r="D17" s="3514"/>
      <c r="E17" s="3514"/>
      <c r="F17" s="3514"/>
      <c r="G17" s="3514"/>
      <c r="H17" s="3514"/>
    </row>
    <row r="18" spans="1:8" ht="24" customHeight="1">
      <c r="A18" s="3515" t="s">
        <v>2161</v>
      </c>
      <c r="B18" s="3515"/>
      <c r="C18" s="3515"/>
      <c r="D18" s="2343"/>
      <c r="E18" s="3516" t="s">
        <v>2162</v>
      </c>
      <c r="F18" s="3515"/>
      <c r="G18" s="351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2025-08-21T06:47:05Z</dcterms:modified>
</cp:coreProperties>
</file>