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465" windowWidth="28800" windowHeight="163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B29" i="1" l="1"/>
  <c r="B2" i="52"/>
  <c r="E21" i="52"/>
  <c r="E4" i="4"/>
  <c r="B21" i="55"/>
  <c r="E11" i="52"/>
  <c r="C4" i="4"/>
  <c r="B20" i="55"/>
  <c r="C13" i="12"/>
  <c r="C14" i="12"/>
  <c r="C15" i="12"/>
  <c r="D16" i="12"/>
  <c r="C16" i="12"/>
  <c r="C17" i="12"/>
  <c r="C18" i="12"/>
  <c r="D19" i="12"/>
  <c r="C19" i="12"/>
  <c r="D21" i="12"/>
  <c r="C21" i="12"/>
  <c r="D22" i="12"/>
  <c r="C22" i="12"/>
  <c r="C20" i="12"/>
  <c r="C23" i="12"/>
  <c r="I6" i="65"/>
  <c r="E2" i="65"/>
  <c r="B40" i="1"/>
  <c r="F26" i="12"/>
  <c r="C28" i="12"/>
  <c r="C26" i="12"/>
  <c r="C31" i="12"/>
  <c r="C30" i="12"/>
  <c r="F33" i="12"/>
  <c r="C35" i="12"/>
  <c r="C33" i="12"/>
  <c r="C27" i="12"/>
  <c r="D26" i="12"/>
  <c r="C32" i="12"/>
  <c r="D30" i="12"/>
  <c r="C34" i="12"/>
  <c r="D33" i="12"/>
  <c r="C36" i="12"/>
  <c r="B2" i="12"/>
  <c r="C19" i="9"/>
  <c r="D19" i="9"/>
  <c r="G19" i="9"/>
  <c r="C32" i="9"/>
  <c r="C42" i="9"/>
  <c r="C44" i="9"/>
  <c r="O39" i="9"/>
  <c r="R6" i="54"/>
  <c r="R5" i="54"/>
  <c r="C33" i="9"/>
  <c r="D42" i="9"/>
  <c r="Q5" i="54"/>
  <c r="C34" i="9"/>
  <c r="E42" i="9"/>
  <c r="P5" i="54"/>
  <c r="B13" i="4"/>
  <c r="C10" i="12"/>
  <c r="E10" i="12"/>
  <c r="E58" i="39"/>
  <c r="E73" i="39"/>
  <c r="F73" i="39"/>
  <c r="G73" i="39"/>
  <c r="H73" i="39"/>
  <c r="I73" i="39"/>
  <c r="J73" i="39"/>
  <c r="K73" i="39"/>
  <c r="L73" i="39"/>
  <c r="M73" i="39"/>
  <c r="N73" i="39"/>
  <c r="D73" i="39"/>
  <c r="I48" i="39"/>
  <c r="G48" i="39"/>
  <c r="E48" i="39"/>
  <c r="E120" i="39"/>
  <c r="F120" i="39"/>
  <c r="D120" i="39"/>
  <c r="E119" i="39"/>
  <c r="F119" i="39"/>
  <c r="D119" i="39"/>
  <c r="I40" i="39"/>
  <c r="G40" i="39"/>
  <c r="E40" i="39"/>
  <c r="C40" i="39"/>
  <c r="I13" i="39"/>
  <c r="G13" i="39"/>
  <c r="E13" i="39"/>
  <c r="C12" i="39"/>
  <c r="I9" i="39"/>
  <c r="G9" i="39"/>
  <c r="E9" i="39"/>
  <c r="I7" i="39"/>
  <c r="G7" i="39"/>
  <c r="E7" i="39"/>
  <c r="F21" i="6"/>
  <c r="E21" i="6"/>
  <c r="F9" i="12"/>
  <c r="F10" i="12"/>
  <c r="F22" i="6"/>
  <c r="E22" i="6"/>
  <c r="D9" i="12"/>
  <c r="D10" i="12"/>
  <c r="AD13" i="3"/>
  <c r="M15" i="3"/>
  <c r="F20" i="6"/>
  <c r="I13" i="3"/>
  <c r="F19" i="6"/>
  <c r="A3" i="3"/>
  <c r="C11" i="4"/>
  <c r="B6" i="4"/>
  <c r="D3"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E19" i="4"/>
  <c r="F8" i="1"/>
  <c r="AP8" i="1"/>
  <c r="F7" i="1"/>
  <c r="G7" i="1"/>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K8" i="1"/>
  <c r="M8" i="1"/>
  <c r="O8" i="1"/>
  <c r="P8" i="1"/>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BD5" i="3"/>
  <c r="E8" i="6"/>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G66" i="36"/>
  <c r="J18" i="36"/>
  <c r="AE8" i="1"/>
  <c r="AE7" i="1"/>
  <c r="AE6" i="1"/>
  <c r="W18" i="36"/>
  <c r="AC18" i="36"/>
  <c r="AG6" i="1"/>
  <c r="D12" i="11"/>
  <c r="C12" i="11"/>
  <c r="L20" i="6"/>
  <c r="AZ5" i="3"/>
  <c r="E3" i="6"/>
  <c r="D16" i="43"/>
  <c r="C16" i="43"/>
  <c r="L19" i="6"/>
  <c r="L27" i="6"/>
  <c r="B72" i="63"/>
  <c r="B70" i="63"/>
  <c r="E28" i="6"/>
  <c r="K20" i="6"/>
  <c r="S7" i="1"/>
  <c r="K19" i="6"/>
  <c r="S6" i="1"/>
  <c r="K21" i="6"/>
  <c r="S8" i="1"/>
  <c r="K22" i="6"/>
  <c r="S9" i="1"/>
  <c r="E6" i="6"/>
  <c r="L38" i="9"/>
  <c r="B14" i="66"/>
  <c r="B1" i="66"/>
  <c r="C45" i="9"/>
  <c r="H14" i="66"/>
  <c r="B7" i="66"/>
  <c r="C7" i="66"/>
  <c r="M22" i="6"/>
  <c r="I22" i="6"/>
  <c r="AY6" i="3"/>
  <c r="D3" i="6"/>
  <c r="H22" i="6"/>
  <c r="D22" i="6"/>
  <c r="R22" i="6"/>
  <c r="R9" i="1"/>
  <c r="M20" i="6"/>
  <c r="I20" i="6"/>
  <c r="H20" i="6"/>
  <c r="D20" i="6"/>
  <c r="R20" i="6"/>
  <c r="R7" i="1"/>
  <c r="M21" i="6"/>
  <c r="I21" i="6"/>
  <c r="H21" i="6"/>
  <c r="D21" i="6"/>
  <c r="R21" i="6"/>
  <c r="R8" i="1"/>
  <c r="M19" i="6"/>
  <c r="I19" i="6"/>
  <c r="H19" i="6"/>
  <c r="D19" i="6"/>
  <c r="R19" i="6"/>
  <c r="R6" i="1"/>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12"/>
  <c r="C20" i="9"/>
  <c r="E14" i="67"/>
  <c r="M9" i="15"/>
  <c r="E8" i="67"/>
  <c r="M11" i="44"/>
  <c r="J36" i="15"/>
  <c r="M8" i="44"/>
  <c r="B4" i="12"/>
  <c r="C21" i="9"/>
  <c r="F43" i="44"/>
  <c r="D20" i="9"/>
  <c r="F26" i="15"/>
  <c r="M30" i="44"/>
  <c r="F38" i="44"/>
  <c r="M21" i="15"/>
  <c r="E11" i="67"/>
  <c r="F10" i="44"/>
  <c r="N7" i="65"/>
  <c r="F42" i="15"/>
  <c r="F43" i="15"/>
  <c r="B10" i="67"/>
  <c r="E10" i="67"/>
  <c r="F7" i="15"/>
  <c r="F9" i="15"/>
  <c r="F11" i="44"/>
  <c r="E9" i="67"/>
  <c r="M22" i="15"/>
  <c r="N6" i="65"/>
  <c r="M28" i="15"/>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9" i="12"/>
  <c r="C15" i="43"/>
  <c r="C27" i="43"/>
  <c r="C31" i="43"/>
  <c r="C28" i="15"/>
  <c r="O9" i="1"/>
  <c r="P9" i="1"/>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O7" i="1"/>
  <c r="P7" i="1"/>
  <c r="O11" i="1"/>
  <c r="P11" i="1"/>
  <c r="O13" i="1"/>
  <c r="P13"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5" i="52"/>
  <c r="E13" i="52"/>
  <c r="B14" i="52"/>
  <c r="E8" i="52"/>
  <c r="E16" i="52"/>
  <c r="B5" i="52"/>
  <c r="B9" i="52"/>
  <c r="B16" i="52"/>
  <c r="B8" i="52"/>
  <c r="B13" i="52"/>
  <c r="E10" i="52"/>
  <c r="C18" i="44"/>
  <c r="F33" i="44"/>
  <c r="J7" i="65"/>
  <c r="I5" i="65"/>
  <c r="J5" i="65"/>
  <c r="J6" i="65"/>
  <c r="F31" i="15"/>
  <c r="C17" i="15"/>
  <c r="F58" i="15"/>
  <c r="I7" i="65"/>
  <c r="C16" i="15"/>
  <c r="I4" i="65"/>
  <c r="J3" i="65"/>
  <c r="I3" i="65"/>
  <c r="J4" i="65"/>
  <c r="M17" i="15"/>
  <c r="M19" i="44"/>
  <c r="E65" i="40"/>
  <c r="D67" i="40"/>
  <c r="F7" i="21"/>
  <c r="E70" i="39"/>
  <c r="D72" i="39"/>
  <c r="AB7" i="21"/>
  <c r="T48" i="21"/>
  <c r="G48" i="21"/>
  <c r="U7" i="21"/>
  <c r="V8" i="59"/>
  <c r="D8"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R48" i="21"/>
  <c r="S7" i="21"/>
  <c r="F65" i="40"/>
  <c r="E67" i="40"/>
  <c r="D7" i="59"/>
  <c r="D6" i="59"/>
  <c r="M28" i="46"/>
  <c r="G20" i="46"/>
  <c r="E41" i="46"/>
  <c r="C41" i="46"/>
  <c r="N28" i="46"/>
  <c r="F24" i="15"/>
  <c r="C24" i="15"/>
  <c r="F17" i="11"/>
  <c r="C17" i="11"/>
  <c r="C19" i="11"/>
  <c r="C20" i="11"/>
  <c r="C21" i="11"/>
  <c r="C22" i="11"/>
  <c r="C23" i="11"/>
  <c r="B2" i="11"/>
  <c r="S5" i="46"/>
  <c r="S2" i="46"/>
  <c r="S3" i="46"/>
  <c r="S7" i="46"/>
  <c r="S6" i="46"/>
  <c r="S4" i="46"/>
  <c r="K16" i="1"/>
  <c r="M14"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J26" i="15"/>
  <c r="J29" i="15"/>
  <c r="J24" i="15"/>
  <c r="L52" i="44"/>
  <c r="F67" i="40"/>
  <c r="G65" i="40"/>
  <c r="E48" i="21"/>
  <c r="R49" i="21"/>
  <c r="F72" i="39"/>
  <c r="G70" i="39"/>
  <c r="F21" i="43"/>
  <c r="C23" i="43"/>
  <c r="D21" i="43"/>
  <c r="F7" i="36"/>
  <c r="S7" i="36"/>
  <c r="C20" i="46"/>
  <c r="M20" i="46"/>
  <c r="C19" i="46"/>
  <c r="F26" i="44"/>
  <c r="C26" i="44"/>
  <c r="R24" i="6"/>
  <c r="D16" i="6"/>
  <c r="D30" i="6"/>
  <c r="R23" i="6"/>
  <c r="R25" i="6"/>
  <c r="D27" i="6"/>
  <c r="M27" i="6"/>
  <c r="D7" i="66"/>
  <c r="D6" i="66"/>
  <c r="D8" i="6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B46" i="63"/>
  <c r="C38" i="15"/>
  <c r="B5" i="11"/>
  <c r="B3" i="11"/>
  <c r="B4" i="11"/>
  <c r="N38" i="9"/>
  <c r="K28" i="9"/>
  <c r="B47" i="63"/>
  <c r="K25" i="9"/>
  <c r="K26" i="9"/>
  <c r="D14" i="66"/>
  <c r="N68" i="9"/>
  <c r="D63" i="9"/>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<sst xmlns="http://schemas.openxmlformats.org/spreadsheetml/2006/main" count="7077" uniqueCount="3147">
  <si>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</si>
  <si>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</si>
  <si>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</si>
  <si>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</si>
  <si>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</si>
  <si>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</si>
  <si>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</si>
  <si>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</si>
  <si>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</si>
  <si>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</si>
  <si>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</si>
  <si>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</si>
  <si>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</si>
  <si>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</si>
  <si>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</si>
  <si>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</si>
  <si>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</si>
  <si>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</si>
  <si>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</si>
  <si>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</si>
  <si>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</si>
  <si>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</si>
  <si>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</si>
  <si>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</si>
  <si>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</si>
  <si>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</si>
  <si>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</si>
  <si>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</si>
  <si>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</si>
  <si>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</si>
  <si>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</si>
  <si>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</si>
  <si>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</si>
  <si>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</si>
  <si>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</si>
  <si>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</si>
  <si>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</si>
  <si>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</si>
  <si>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</si>
  <si>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</si>
  <si>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</si>
  <si>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</si>
  <si>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</si>
  <si>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</si>
  <si>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</si>
  <si>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</si>
  <si>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</si>
  <si>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</si>
  <si>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</si>
  <si>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</si>
  <si>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</si>
  <si>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</si>
  <si>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</si>
  <si>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</si>
  <si>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</si>
  <si>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</si>
  <si>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</si>
  <si>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</si>
  <si>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</si>
  <si>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</si>
  <si>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</si>
  <si>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</si>
  <si>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</si>
  <si>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</si>
  <si>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</si>
  <si>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</si>
  <si>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</si>
  <si>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</si>
  <si>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</si>
  <si>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</si>
  <si>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</si>
  <si>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</si>
  <si>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</si>
  <si>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</si>
  <si>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</si>
  <si>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</si>
  <si>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</si>
  <si>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</si>
  <si>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</si>
  <si>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</si>
  <si>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</si>
  <si>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</si>
  <si>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</si>
  <si>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</si>
  <si>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</si>
  <si>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</si>
  <si>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</si>
  <si>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</si>
  <si>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</si>
  <si>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</si>
  <si>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</si>
  <si>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</si>
  <si>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</si>
  <si>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</si>
  <si>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</si>
  <si>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</si>
  <si>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</si>
  <si>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</si>
  <si>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</si>
  <si>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</si>
  <si>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</si>
  <si>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</si>
  <si>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</si>
  <si>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</si>
  <si>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</si>
  <si>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</si>
  <si>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</si>
  <si>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</si>
  <si>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</si>
  <si>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</si>
  <si>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</si>
  <si>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</si>
  <si>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</si>
  <si>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</si>
  <si>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</si>
  <si>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</si>
  <si>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</si>
  <si>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</si>
  <si>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</si>
  <si>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</si>
  <si>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</si>
  <si>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</si>
  <si>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</si>
  <si>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</si>
  <si>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</si>
  <si>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</si>
  <si>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</si>
  <si>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</si>
  <si>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</si>
  <si>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</si>
  <si>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</si>
  <si>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</si>
  <si>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</si>
  <si>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</si>
  <si>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</si>
  <si>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</si>
  <si>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</si>
  <si>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</si>
  <si>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</si>
  <si>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</si>
  <si>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</si>
  <si>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</si>
  <si>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</si>
  <si>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</si>
  <si>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</si>
  <si>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</si>
  <si>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</si>
  <si>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</si>
  <si>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</si>
  <si>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</si>
  <si>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</si>
  <si>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</si>
  <si>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</si>
  <si>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</si>
  <si>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</si>
  <si>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</si>
  <si>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</si>
  <si>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</si>
  <si>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</si>
  <si>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</si>
  <si>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</si>
  <si>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</si>
  <si>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</si>
  <si>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</si>
  <si>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</si>
  <si>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</si>
  <si>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</si>
  <si>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</si>
  <si>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</si>
  <si>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</si>
  <si>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</si>
  <si>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</si>
  <si>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</si>
  <si>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</si>
  <si>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</si>
  <si>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</si>
  <si>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</si>
  <si>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</si>
  <si>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</si>
  <si>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</si>
  <si>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</si>
  <si>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</si>
  <si>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</si>
  <si>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</si>
  <si>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</si>
  <si>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</si>
  <si>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</si>
  <si>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</si>
  <si>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</si>
  <si>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</si>
  <si>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</si>
  <si>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</si>
  <si>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</si>
  <si>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</si>
  <si>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</si>
  <si>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</si>
  <si>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</si>
  <si>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</si>
  <si>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</si>
  <si>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</si>
  <si>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</si>
  <si>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</si>
  <si>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</si>
  <si>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</si>
  <si>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</si>
  <si>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</si>
  <si>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</si>
  <si>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</si>
  <si>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</si>
  <si>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</si>
  <si>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</si>
  <si>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</si>
  <si>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</si>
  <si>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</si>
  <si>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</si>
  <si>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</si>
  <si>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</si>
  <si>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</si>
  <si>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</si>
  <si>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</si>
  <si>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</si>
  <si>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</si>
  <si>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</si>
  <si>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</si>
  <si>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</si>
  <si>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</si>
  <si>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</si>
  <si>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</si>
  <si>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</si>
  <si>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</si>
  <si>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</si>
  <si>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</si>
  <si>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</si>
  <si>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</si>
  <si>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</si>
  <si>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</si>
  <si>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</si>
  <si>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</si>
  <si>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</si>
  <si>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</si>
  <si>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</si>
  <si>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</si>
  <si>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</si>
  <si>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</si>
  <si>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</si>
  <si>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</si>
  <si>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</si>
  <si>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</si>
  <si>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</si>
  <si>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</si>
  <si>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</si>
  <si>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</si>
  <si>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</si>
  <si>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</si>
  <si>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</si>
  <si>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</si>
  <si>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</si>
  <si>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</si>
  <si>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</si>
  <si>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</si>
  <si>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</si>
  <si>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</si>
  <si>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</si>
  <si>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</si>
  <si>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</si>
  <si>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</si>
  <si>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</si>
  <si>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</si>
  <si>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</si>
  <si>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</si>
  <si>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</si>
  <si>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</si>
  <si>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</si>
  <si>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</si>
  <si>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</si>
  <si>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</si>
  <si>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</si>
  <si>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</si>
  <si>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</si>
  <si>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</si>
  <si>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</si>
  <si>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</si>
  <si>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</si>
  <si>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</si>
  <si>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</si>
  <si>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</si>
  <si>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</si>
  <si>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</si>
  <si>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</si>
  <si>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</si>
  <si>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</si>
  <si>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</si>
  <si>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</si>
  <si>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</si>
  <si>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</si>
  <si>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</si>
  <si>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</si>
  <si>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</si>
  <si>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</si>
  <si>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</si>
  <si>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</si>
  <si>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</si>
  <si>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</si>
  <si>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</si>
  <si>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</si>
  <si>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</si>
  <si>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</si>
  <si>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</si>
  <si>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</si>
  <si>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</si>
  <si>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</si>
  <si>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</si>
  <si>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</si>
  <si>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</si>
  <si>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</si>
  <si>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</si>
  <si>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</si>
  <si>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</si>
  <si>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</si>
  <si>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</si>
  <si>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</si>
  <si>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</si>
  <si>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</si>
  <si>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</si>
  <si>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</si>
  <si>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</si>
  <si>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</si>
  <si>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</si>
  <si>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</si>
  <si>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</si>
  <si>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</si>
  <si>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</si>
  <si>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</si>
  <si>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</si>
  <si>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</si>
  <si>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</si>
  <si>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</si>
  <si>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</si>
  <si>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</si>
  <si>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</si>
  <si>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</si>
  <si>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</si>
  <si>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</si>
  <si>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</si>
  <si>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</si>
  <si>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</si>
  <si>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</si>
  <si>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</si>
  <si>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</si>
  <si>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</si>
  <si>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</si>
  <si>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</si>
  <si>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</si>
  <si>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</si>
  <si>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</si>
  <si>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</si>
  <si>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</si>
  <si>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</si>
  <si>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</si>
  <si>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</si>
  <si>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</si>
  <si>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</si>
  <si>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</si>
  <si>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</si>
  <si>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</si>
  <si>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</si>
  <si>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</si>
  <si>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</si>
  <si>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</si>
  <si>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</si>
  <si>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</si>
  <si>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</si>
  <si>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</si>
  <si>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</si>
  <si>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</si>
  <si>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</si>
  <si>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</si>
  <si>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</si>
  <si>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</si>
  <si>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</si>
  <si>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</si>
  <si>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</si>
  <si>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</si>
  <si>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</si>
  <si>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</si>
  <si>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</si>
  <si>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</si>
  <si>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</si>
  <si>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</si>
  <si>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</si>
  <si>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</si>
  <si>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</si>
  <si>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</si>
  <si>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</si>
  <si>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</si>
  <si>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</si>
  <si>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</si>
  <si>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</si>
  <si>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</si>
  <si>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</si>
  <si>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</si>
  <si>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</si>
  <si>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</si>
  <si>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</si>
  <si>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</si>
  <si>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</si>
  <si>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</si>
  <si>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</si>
  <si>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</si>
  <si>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</si>
  <si>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</si>
  <si>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</si>
  <si>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</si>
  <si>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</si>
  <si>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</si>
  <si>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</si>
  <si>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</si>
  <si>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</si>
  <si>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</si>
  <si>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</si>
  <si>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</si>
  <si>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</si>
  <si>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</si>
  <si>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</si>
  <si>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</si>
  <si>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</si>
  <si>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</si>
  <si>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</si>
  <si>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</si>
  <si>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</si>
  <si>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</si>
  <si>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</si>
  <si>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</si>
  <si>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</si>
  <si>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</si>
  <si>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</si>
  <si>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</si>
  <si>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</si>
  <si>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</si>
  <si>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</si>
  <si>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</si>
  <si>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</si>
  <si>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</si>
  <si>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</si>
  <si>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</si>
  <si>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</si>
  <si>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</si>
  <si>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</si>
  <si>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</si>
  <si>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</si>
  <si>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</si>
  <si>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</si>
  <si>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</si>
  <si>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</si>
  <si>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</si>
  <si>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</si>
  <si>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</si>
  <si>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</si>
  <si>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</si>
  <si>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</si>
  <si>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</si>
  <si>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</si>
  <si>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</si>
  <si>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</si>
  <si>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</si>
  <si>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</si>
  <si>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</si>
  <si>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</si>
  <si>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</si>
  <si>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</si>
  <si>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</si>
  <si>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</si>
  <si>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</si>
  <si>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</si>
  <si>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</si>
  <si>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</si>
  <si>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</si>
  <si>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</si>
  <si>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</si>
  <si>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</si>
  <si>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</si>
  <si>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</si>
  <si>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</si>
  <si>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</si>
  <si>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</si>
  <si>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</si>
  <si>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</si>
  <si>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</si>
  <si>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</si>
  <si>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</si>
  <si>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</si>
  <si>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</si>
  <si>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</si>
  <si>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</si>
  <si>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</si>
  <si>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</si>
  <si>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</si>
  <si>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</si>
  <si>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</si>
  <si>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</si>
  <si>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</si>
  <si>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</si>
  <si>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</si>
  <si>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</si>
  <si>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</si>
  <si>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</si>
  <si>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</si>
  <si>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</si>
  <si>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</si>
  <si>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</si>
  <si>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</si>
  <si>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</si>
  <si>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</si>
  <si>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</si>
  <si>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</si>
  <si>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</si>
  <si>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</si>
  <si>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</si>
  <si>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</si>
  <si>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</si>
  <si>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</si>
  <si>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</si>
  <si>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</si>
  <si>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</si>
  <si>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</si>
  <si>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</si>
  <si>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</si>
  <si>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</si>
  <si>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</si>
  <si>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</si>
  <si>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</si>
  <si>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</si>
  <si>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</si>
  <si>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</si>
  <si>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</si>
  <si>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</si>
  <si>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</si>
  <si>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</si>
  <si>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</si>
  <si>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</si>
  <si>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</si>
  <si>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</si>
  <si>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</si>
  <si>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</si>
  <si>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</si>
  <si>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</si>
  <si>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</si>
  <si>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</si>
  <si>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</si>
  <si>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</si>
  <si>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</si>
  <si>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</si>
  <si>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</si>
  <si>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</si>
  <si>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</si>
  <si>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</si>
  <si>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</si>
  <si>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</si>
  <si>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</si>
  <si>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</si>
  <si>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</si>
  <si>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</si>
  <si>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</si>
  <si>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</si>
  <si>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</si>
  <si>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</si>
  <si>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</si>
  <si>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</si>
  <si>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</si>
  <si>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</si>
  <si>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</si>
  <si>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</si>
  <si>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</si>
  <si>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</si>
  <si>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</si>
  <si>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</si>
  <si>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</si>
  <si>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</si>
  <si>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</si>
  <si>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</si>
  <si>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</si>
  <si>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</si>
  <si>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</si>
  <si>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</si>
  <si>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</si>
  <si>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</si>
  <si>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</si>
  <si>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</si>
  <si>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</si>
  <si>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</si>
  <si>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</si>
  <si>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</si>
  <si>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</si>
  <si>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</si>
  <si>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</si>
  <si>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</si>
  <si>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</si>
  <si>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</si>
  <si>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</si>
  <si>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</si>
  <si>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</si>
  <si>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</si>
  <si>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</si>
  <si>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</si>
  <si>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</si>
  <si>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</si>
  <si>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</si>
  <si>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</si>
  <si>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</si>
  <si>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</si>
  <si>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</si>
  <si>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</si>
  <si>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</si>
  <si>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</si>
  <si>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</si>
  <si>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</si>
  <si>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</si>
  <si>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</si>
  <si>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</si>
  <si>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</si>
  <si>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</si>
  <si>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</si>
  <si>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</si>
  <si>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</si>
  <si>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</si>
  <si>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</si>
  <si>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</si>
  <si>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</si>
  <si>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</si>
  <si>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</si>
  <si>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</si>
  <si>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</si>
  <si>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</si>
  <si>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</si>
  <si>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</si>
  <si>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</si>
  <si>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</si>
  <si>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</si>
  <si>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</si>
  <si>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</si>
  <si>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</si>
  <si>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</si>
  <si>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</si>
  <si>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</si>
  <si>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</si>
  <si>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</si>
  <si>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</si>
  <si>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</si>
  <si>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</si>
  <si>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</si>
  <si>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</si>
  <si>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</si>
  <si>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</si>
  <si>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</si>
  <si>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</si>
  <si>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</si>
  <si>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</si>
  <si>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</si>
  <si>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</si>
  <si>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</si>
  <si>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</si>
  <si>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</si>
  <si>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</si>
  <si>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</si>
  <si>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</si>
  <si>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</si>
  <si>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</si>
  <si>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</si>
  <si>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</si>
  <si>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</si>
  <si>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</si>
  <si>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</si>
  <si>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</si>
  <si>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</si>
  <si>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</si>
  <si>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</si>
  <si>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</si>
  <si>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</si>
  <si>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</si>
  <si>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</si>
  <si>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</si>
  <si>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</si>
  <si>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</si>
  <si>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</si>
  <si>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</si>
  <si>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</si>
  <si>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</si>
  <si>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</si>
  <si>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</si>
  <si>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</si>
  <si>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</si>
  <si>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</si>
  <si>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</si>
  <si>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</si>
  <si>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</si>
  <si>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</si>
  <si>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</si>
  <si>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</si>
  <si>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</si>
  <si>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</si>
  <si>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</si>
  <si>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</si>
  <si>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</si>
  <si>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</si>
  <si>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</si>
  <si>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</si>
  <si>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</si>
  <si>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</si>
  <si>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</si>
  <si>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</si>
  <si>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</si>
  <si>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</si>
  <si>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</si>
  <si>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</si>
  <si>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</si>
  <si>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</si>
  <si>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</si>
  <si>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</si>
  <si>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</si>
  <si>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</si>
  <si>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</si>
  <si>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</si>
  <si>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</si>
  <si>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</si>
  <si>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</si>
  <si>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</si>
  <si>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</si>
  <si>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</si>
  <si>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</si>
  <si>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</si>
  <si>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</si>
  <si>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</si>
  <si>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</si>
  <si>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</si>
  <si>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</si>
  <si>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</si>
  <si>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</si>
  <si>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</si>
  <si>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</si>
  <si>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</si>
  <si>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</si>
  <si>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</si>
  <si>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</si>
  <si>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</si>
  <si>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</si>
  <si>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</si>
  <si>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</si>
  <si>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</si>
  <si>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</si>
  <si>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</si>
  <si>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</si>
  <si>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</si>
  <si>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</si>
  <si>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</si>
  <si>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</si>
  <si>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</si>
  <si>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</si>
  <si>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</si>
  <si>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</si>
  <si>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</si>
  <si>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</si>
  <si>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</si>
  <si>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</si>
  <si>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</si>
  <si>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</si>
  <si>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</si>
  <si>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</si>
  <si>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</si>
  <si>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</si>
  <si>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</si>
  <si>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</si>
  <si>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</si>
  <si>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</si>
  <si>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</si>
  <si>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</si>
  <si>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</si>
  <si>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</si>
  <si>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</si>
  <si>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</si>
  <si>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</si>
  <si>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</si>
  <si>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</si>
  <si>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</si>
  <si>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</si>
  <si>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</si>
  <si>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</si>
  <si>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</si>
  <si>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</si>
  <si>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</si>
  <si>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</si>
  <si>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</si>
  <si>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</si>
  <si>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</si>
  <si>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</si>
  <si>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</si>
  <si>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</si>
  <si>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</si>
  <si>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</si>
  <si>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</si>
  <si>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</si>
  <si>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</si>
  <si>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</si>
  <si>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</si>
  <si>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</si>
  <si>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</si>
  <si>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</si>
  <si>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</si>
  <si>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</si>
  <si>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</si>
  <si>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</si>
  <si>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</si>
  <si>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</si>
  <si>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</si>
  <si>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</si>
  <si>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</si>
  <si>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</si>
  <si>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</si>
  <si>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</si>
  <si>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</si>
  <si>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</si>
  <si>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</si>
  <si>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</si>
  <si>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</si>
  <si>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</si>
  <si>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</si>
  <si>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</si>
  <si>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</si>
  <si>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</si>
  <si>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</si>
  <si>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</si>
  <si>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</si>
  <si>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</si>
  <si>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</si>
  <si>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</si>
  <si>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</si>
  <si>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</si>
  <si>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</si>
  <si>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</si>
  <si>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</si>
  <si>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</si>
  <si>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</si>
  <si>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</si>
  <si>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</si>
  <si>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</si>
  <si>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</si>
  <si>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</si>
  <si>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</si>
  <si>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</si>
  <si>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</si>
  <si>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</si>
  <si>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</si>
  <si>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</si>
  <si>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</si>
  <si>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</si>
  <si>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</si>
  <si>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</si>
  <si>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</si>
  <si>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</si>
  <si>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</si>
  <si>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</si>
  <si>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</si>
  <si>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</si>
  <si>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</si>
  <si>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</si>
  <si>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</si>
  <si>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</si>
  <si>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</si>
  <si>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</si>
  <si>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</si>
  <si>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</si>
  <si>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</si>
  <si>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</si>
  <si>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</si>
  <si>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</si>
  <si>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</si>
  <si>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</si>
  <si>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</si>
  <si>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</si>
  <si>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</si>
  <si>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</si>
  <si>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</si>
  <si>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</si>
  <si>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</si>
  <si>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</si>
  <si>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</si>
  <si>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</si>
  <si>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</si>
  <si>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</si>
  <si>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</si>
  <si>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</si>
  <si>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</si>
  <si>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</si>
  <si>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</si>
  <si>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</si>
  <si>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</si>
  <si>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</si>
  <si>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</si>
  <si>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</si>
  <si>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</si>
  <si>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</si>
  <si>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</si>
  <si>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</si>
  <si>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</si>
  <si>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</si>
  <si>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</si>
  <si>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</si>
  <si>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</si>
  <si>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</si>
  <si>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</si>
  <si>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</si>
  <si>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</si>
  <si>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</si>
  <si>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</si>
  <si>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</si>
  <si>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</si>
  <si>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</si>
  <si>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</si>
  <si>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</si>
  <si>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</si>
  <si>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</si>
  <si>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</si>
  <si>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</si>
  <si>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</si>
  <si>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</si>
  <si>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</si>
  <si>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</si>
  <si>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</si>
  <si>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</si>
  <si>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</si>
  <si>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</si>
  <si>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</si>
  <si>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</si>
  <si>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</si>
  <si>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</si>
  <si>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</si>
  <si>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</si>
  <si>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</si>
  <si>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</si>
  <si>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</si>
  <si>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</si>
  <si>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</si>
  <si>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</si>
  <si>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</si>
  <si>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</si>
  <si>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</si>
  <si>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</si>
  <si>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</si>
  <si>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</si>
  <si>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</si>
  <si>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</si>
  <si>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</si>
  <si>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</si>
  <si>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</si>
  <si>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</si>
  <si>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</si>
  <si>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</si>
  <si>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</si>
  <si>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</si>
  <si>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</si>
  <si>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</si>
  <si>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</si>
  <si>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</si>
  <si>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</si>
  <si>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</si>
  <si>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</si>
  <si>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</si>
  <si>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</si>
  <si>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</si>
  <si>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</si>
  <si>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</si>
  <si>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</si>
  <si>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</si>
  <si>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</si>
  <si>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</si>
  <si>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</si>
  <si>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</si>
  <si>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</si>
  <si>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</si>
  <si>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</si>
  <si>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</si>
  <si>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</si>
  <si>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</si>
  <si>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</si>
  <si>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</si>
  <si>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</si>
  <si>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</si>
  <si>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</si>
  <si>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</si>
  <si>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</si>
  <si>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</si>
  <si>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</si>
  <si>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</si>
  <si>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</si>
  <si>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</si>
  <si>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</si>
  <si>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</si>
  <si>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</si>
  <si>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</si>
  <si>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</si>
  <si>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</si>
  <si>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</si>
  <si>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</si>
  <si>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</si>
  <si>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</si>
  <si>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</si>
  <si>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</si>
  <si>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</si>
  <si>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</si>
  <si>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</si>
  <si>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</si>
  <si>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</si>
  <si>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</si>
  <si>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</si>
  <si>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</si>
  <si>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</si>
  <si>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</si>
  <si>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</si>
  <si>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</si>
  <si>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</si>
  <si>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</si>
  <si>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</si>
  <si>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</si>
  <si>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</si>
  <si>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</si>
  <si>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</si>
  <si>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</si>
  <si>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</si>
  <si>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</si>
  <si>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</si>
  <si>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</si>
  <si>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</si>
  <si>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</si>
  <si>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</si>
  <si>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</si>
  <si>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</si>
  <si>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</si>
  <si>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</si>
  <si>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</si>
  <si>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</si>
  <si>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</si>
  <si>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</si>
  <si>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</si>
  <si>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</si>
  <si>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</si>
  <si>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</si>
  <si>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</si>
  <si>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</si>
  <si>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</si>
  <si>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</si>
  <si>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</si>
  <si>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</si>
  <si>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</si>
  <si>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</si>
  <si>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</si>
  <si>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</si>
  <si>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</si>
  <si>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</si>
  <si>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</si>
  <si>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</si>
  <si>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</si>
  <si>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</si>
  <si>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</si>
  <si>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</si>
  <si>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</si>
  <si>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</si>
  <si>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</si>
  <si>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</si>
  <si>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</si>
  <si>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</si>
  <si>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</si>
  <si>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</si>
  <si>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</si>
  <si>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</si>
  <si>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</si>
  <si>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</si>
  <si>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</si>
  <si>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</si>
  <si>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</si>
  <si>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</si>
  <si>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</si>
  <si>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</si>
  <si>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</si>
  <si>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</si>
  <si>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</si>
  <si>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</si>
  <si>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</si>
  <si>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</si>
  <si>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</si>
  <si>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</si>
  <si>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</si>
  <si>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</si>
  <si>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</si>
  <si>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</si>
  <si>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</si>
  <si>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</si>
  <si>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</si>
  <si>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</si>
  <si>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</si>
  <si>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</si>
  <si>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</si>
  <si>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</si>
  <si>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</si>
  <si>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</si>
  <si>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</si>
  <si>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</si>
  <si>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</si>
  <si>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</si>
  <si>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</si>
  <si>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</si>
  <si>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</si>
  <si>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</si>
  <si>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</si>
  <si>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</si>
  <si>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</si>
  <si>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</si>
  <si>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</si>
  <si>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</si>
  <si>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</si>
  <si>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</si>
  <si>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</si>
  <si>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</si>
  <si>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</si>
  <si>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</si>
  <si>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</si>
  <si>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</si>
  <si>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</si>
  <si>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</si>
  <si>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</si>
  <si>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</si>
  <si>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</si>
  <si>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</si>
  <si>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</si>
  <si>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</si>
  <si>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</si>
  <si>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</si>
  <si>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</si>
  <si>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</si>
  <si>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</si>
  <si>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</si>
  <si>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</si>
  <si>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</si>
  <si>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</si>
  <si>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</si>
  <si>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</si>
  <si>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</si>
  <si>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</si>
  <si>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</si>
  <si>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</si>
  <si>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</si>
  <si>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</si>
  <si>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</si>
  <si>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</si>
  <si>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</si>
  <si>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</si>
  <si>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</si>
  <si>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</si>
  <si>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</si>
  <si>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</si>
  <si>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</si>
  <si>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</si>
  <si>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</si>
  <si>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</si>
  <si>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</si>
  <si>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</si>
  <si>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</si>
  <si>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</si>
  <si>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</si>
  <si>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</si>
  <si>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</si>
  <si>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</si>
  <si>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</si>
  <si>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</si>
  <si>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</si>
  <si>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</si>
  <si>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</si>
  <si>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</si>
  <si>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</si>
  <si>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</si>
  <si>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</si>
  <si>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</si>
  <si>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</si>
  <si>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</si>
  <si>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</si>
  <si>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</si>
  <si>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</si>
  <si>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</si>
  <si>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</si>
  <si>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</si>
  <si>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</si>
  <si>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</si>
  <si>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</si>
  <si>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</si>
  <si>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</si>
  <si>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</si>
  <si>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</si>
  <si>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</si>
  <si>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</si>
  <si>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</si>
  <si>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</si>
  <si>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</si>
  <si>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</si>
  <si>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</si>
  <si>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</si>
  <si>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</si>
  <si>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</si>
  <si>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</si>
  <si>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</si>
  <si>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</si>
  <si>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</si>
  <si>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</si>
  <si>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</si>
  <si>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</si>
  <si>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</si>
  <si>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</si>
  <si>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</si>
  <si>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</si>
  <si>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</si>
  <si>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</si>
  <si>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</si>
  <si>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</si>
  <si>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</si>
  <si>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</si>
  <si>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</si>
  <si>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</si>
  <si>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</si>
  <si>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</si>
  <si>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</si>
  <si>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</si>
  <si>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</si>
  <si>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</si>
  <si>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</si>
  <si>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</si>
  <si>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</si>
  <si>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</si>
  <si>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</si>
  <si>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</si>
  <si>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</si>
  <si>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</si>
  <si>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</si>
  <si>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</si>
  <si>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</si>
  <si>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</si>
  <si>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</si>
  <si>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</si>
  <si>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</si>
  <si>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</si>
  <si>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</si>
  <si>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</si>
  <si>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</si>
  <si>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</si>
  <si>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</si>
  <si>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</si>
  <si>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</si>
  <si>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</si>
  <si>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</si>
  <si>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</si>
  <si>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</si>
  <si>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</si>
  <si>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</si>
  <si>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</si>
  <si>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</si>
  <si>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</si>
  <si>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</si>
  <si>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</si>
  <si>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</si>
  <si>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</si>
  <si>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</si>
  <si>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</si>
  <si>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</si>
  <si>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</si>
  <si>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</si>
  <si>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</si>
  <si>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</si>
  <si>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</si>
  <si>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</si>
  <si>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</si>
  <si>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</si>
  <si>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</si>
  <si>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</si>
  <si>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</si>
  <si>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</si>
  <si>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</si>
  <si>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</si>
  <si>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</si>
  <si>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</si>
  <si>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</si>
  <si>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</si>
  <si>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</si>
  <si>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</si>
  <si>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</si>
  <si>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</si>
  <si>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</si>
  <si>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</si>
  <si>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</si>
  <si>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</si>
  <si>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</si>
  <si>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</si>
  <si>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</si>
  <si>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</si>
  <si>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</si>
  <si>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</si>
  <si>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</si>
  <si>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</si>
  <si>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</si>
  <si>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</si>
  <si>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</si>
  <si>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</si>
  <si>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</si>
  <si>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</si>
  <si>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</si>
  <si>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</si>
  <si>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</si>
  <si>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</si>
  <si>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</si>
  <si>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</si>
  <si>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</si>
  <si>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</si>
  <si>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</si>
  <si>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</si>
  <si>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</si>
  <si>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</si>
  <si>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</si>
  <si>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</si>
  <si>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</si>
  <si>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</si>
  <si>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</si>
  <si>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</si>
  <si>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</si>
  <si>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</si>
  <si>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</si>
  <si>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</si>
  <si>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</si>
  <si>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</si>
  <si>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</si>
  <si>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</si>
  <si>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</si>
  <si>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</si>
  <si>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</si>
  <si>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</si>
  <si>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</si>
  <si>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</si>
  <si>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</si>
  <si>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</si>
  <si>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</si>
  <si>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</si>
  <si>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</si>
  <si>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</si>
  <si>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</si>
  <si>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</si>
  <si>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</si>
  <si>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</si>
  <si>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</si>
  <si>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</si>
  <si>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</si>
  <si>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</si>
  <si>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</si>
  <si>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</si>
  <si>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</si>
  <si>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</si>
  <si>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</si>
  <si>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</si>
  <si>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</si>
  <si>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</si>
  <si>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</si>
  <si>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</si>
  <si>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</si>
  <si>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</si>
  <si>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</si>
  <si>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</si>
  <si>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</si>
  <si>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</si>
  <si>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</si>
  <si>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</si>
  <si>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</si>
  <si>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</si>
  <si>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</si>
  <si>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</si>
  <si>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</si>
  <si>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</si>
  <si>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</si>
  <si>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</si>
  <si>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</si>
  <si>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</si>
  <si>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</si>
  <si>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</si>
  <si>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</si>
  <si>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</si>
  <si>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</si>
  <si>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</si>
  <si>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</si>
  <si>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</si>
  <si>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</si>
  <si>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</si>
  <si>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</si>
  <si>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</si>
  <si>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</si>
  <si>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</si>
  <si>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</si>
  <si>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</si>
  <si>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</si>
  <si>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</si>
  <si>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</si>
  <si>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</si>
  <si>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</si>
  <si>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</si>
  <si>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</si>
  <si>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</si>
  <si>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</si>
  <si>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</si>
  <si>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</si>
  <si>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</si>
  <si>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</si>
  <si>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</si>
  <si>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</si>
  <si>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</si>
  <si>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</si>
  <si>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</si>
  <si>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</si>
  <si>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</si>
  <si>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</si>
  <si>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</si>
  <si>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</si>
  <si>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</si>
  <si>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</si>
  <si>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</si>
  <si>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</si>
  <si>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</si>
  <si>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</si>
  <si>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</si>
  <si>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</si>
  <si>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</si>
  <si>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</si>
  <si>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</si>
  <si>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</si>
  <si>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</si>
  <si>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</si>
  <si>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</si>
  <si>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</si>
  <si>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</si>
  <si>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</si>
  <si>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</si>
  <si>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</si>
  <si>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</si>
  <si>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</si>
  <si>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</si>
  <si>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</si>
  <si>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</si>
  <si>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</si>
  <si>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</si>
  <si>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</si>
  <si>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</si>
  <si>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</si>
  <si>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</si>
  <si>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</si>
  <si>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</si>
  <si>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</si>
  <si>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</si>
  <si>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</si>
  <si>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</si>
  <si>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</si>
  <si>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</si>
  <si>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</si>
  <si>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</si>
  <si>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</si>
  <si>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</si>
  <si>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</si>
  <si>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</si>
  <si>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</si>
  <si>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</si>
  <si>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</si>
  <si>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</si>
  <si>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</si>
  <si>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</si>
  <si>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</si>
  <si>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</si>
  <si>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</si>
  <si>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</si>
  <si>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</si>
  <si>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</si>
  <si>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</si>
  <si>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</si>
  <si>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</si>
  <si>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</si>
  <si>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</si>
  <si>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</si>
  <si>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</si>
  <si>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</si>
  <si>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</si>
  <si>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</si>
  <si>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</si>
  <si>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</si>
  <si>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</si>
  <si>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</si>
  <si>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</si>
  <si>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</si>
  <si>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</si>
  <si>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</si>
  <si>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</si>
  <si>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</si>
  <si>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</si>
  <si>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</si>
  <si>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</si>
  <si>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</si>
  <si>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</si>
  <si>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</si>
  <si>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</si>
  <si>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</si>
  <si>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</si>
  <si>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</si>
  <si>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</si>
  <si>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</si>
  <si>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</si>
  <si>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</si>
  <si>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</si>
  <si>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</si>
  <si>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</si>
  <si>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</si>
  <si>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</si>
  <si>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</si>
  <si>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</si>
  <si>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</si>
  <si>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</si>
  <si>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</si>
  <si>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</si>
  <si>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</si>
  <si>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</si>
  <si>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</si>
  <si>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</si>
  <si>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</si>
  <si>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</si>
  <si>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</si>
  <si>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</si>
  <si>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</si>
  <si>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</si>
  <si>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</si>
  <si>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</si>
  <si>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</si>
  <si>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</si>
  <si>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</si>
  <si>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</si>
  <si>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</si>
  <si>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</si>
  <si>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</si>
  <si>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</si>
  <si>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</si>
  <si>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</si>
  <si>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</si>
  <si>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</si>
  <si>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</si>
  <si>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</si>
  <si>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</si>
  <si>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</si>
  <si>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</si>
  <si>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</si>
  <si>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</si>
  <si>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</si>
  <si>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</si>
  <si>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</si>
  <si>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</si>
  <si>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</si>
  <si>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</si>
  <si>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</si>
  <si>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</si>
  <si>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</si>
  <si>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</si>
  <si>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</si>
  <si>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</si>
  <si>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</si>
  <si>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</si>
  <si>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</si>
  <si>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</si>
  <si>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</si>
  <si>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</si>
  <si>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</si>
  <si>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</si>
  <si>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</si>
  <si>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</si>
  <si>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</si>
  <si>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</si>
  <si>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</si>
  <si>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</si>
  <si>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</si>
  <si>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</si>
  <si>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</si>
  <si>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</si>
  <si>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</si>
  <si>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</si>
  <si>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</si>
  <si>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</si>
  <si>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</si>
  <si>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</si>
  <si>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</si>
  <si>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</si>
  <si>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</si>
  <si>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</si>
  <si>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</si>
  <si>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</si>
  <si>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</si>
  <si>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</si>
  <si>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</si>
  <si>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</si>
  <si>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</si>
  <si>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</si>
  <si>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</si>
  <si>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</si>
  <si>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</si>
  <si>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</si>
  <si>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</si>
  <si>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</si>
  <si>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</si>
  <si>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</si>
  <si>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</si>
  <si>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</si>
  <si>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</si>
  <si>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</si>
  <si>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</si>
  <si>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</si>
  <si>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</si>
  <si>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</si>
  <si>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</si>
  <si>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</si>
  <si>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</si>
  <si>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</si>
  <si>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</si>
  <si>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</si>
  <si>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</si>
  <si>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</si>
  <si>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</si>
  <si>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</si>
  <si>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</si>
  <si>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</si>
  <si>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</si>
  <si>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</si>
  <si>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</si>
  <si>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</si>
  <si>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</si>
  <si>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</si>
  <si>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</si>
  <si>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</si>
  <si>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</si>
  <si>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</si>
  <si>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</si>
  <si>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</si>
  <si>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</si>
  <si>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</si>
  <si>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</si>
  <si>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</si>
  <si>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</si>
  <si>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</si>
  <si>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</si>
  <si>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</si>
  <si>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</si>
  <si>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</si>
  <si>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</si>
  <si>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</si>
  <si>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</si>
  <si>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</si>
  <si>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</si>
  <si>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</si>
  <si>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</si>
  <si>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</si>
  <si>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</si>
  <si>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</si>
  <si>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</si>
  <si>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</si>
  <si>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</si>
  <si>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</si>
  <si>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</si>
  <si>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</si>
  <si>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</si>
  <si>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</si>
  <si>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</si>
  <si>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</si>
  <si>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</si>
  <si>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</si>
  <si>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</si>
  <si>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</si>
  <si>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</si>
  <si>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</si>
  <si>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</si>
  <si>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</si>
  <si>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</si>
  <si>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</si>
  <si>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</si>
  <si>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</si>
  <si>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</si>
  <si>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</si>
  <si>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</si>
  <si>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</si>
  <si>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</si>
  <si>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</si>
  <si>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</si>
  <si>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</si>
  <si>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</si>
  <si>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</si>
  <si>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</si>
  <si>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</si>
  <si>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</si>
  <si>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</si>
  <si>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</si>
  <si>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</si>
  <si>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</si>
  <si>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</si>
  <si>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</si>
  <si>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</si>
  <si>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</si>
  <si>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</si>
  <si>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</si>
  <si>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</si>
  <si>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</si>
  <si>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</si>
  <si>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</si>
  <si>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</si>
  <si>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</si>
  <si>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</si>
  <si>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</si>
  <si>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</si>
  <si>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</si>
  <si>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</si>
  <si>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</si>
  <si>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</si>
  <si>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</si>
  <si>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</si>
  <si>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</si>
  <si>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</si>
  <si>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</si>
  <si>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</si>
  <si>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</si>
  <si>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</si>
  <si>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</si>
  <si>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</si>
  <si>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</si>
  <si>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</si>
  <si>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</si>
  <si>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</si>
  <si>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</si>
  <si>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</si>
  <si>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</si>
  <si>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</si>
  <si>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</si>
  <si>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</si>
  <si>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</si>
  <si>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</si>
  <si>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</si>
  <si>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</si>
  <si>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</si>
  <si>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</si>
  <si>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</si>
  <si>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</si>
  <si>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</si>
  <si>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</si>
  <si>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</si>
  <si>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</si>
  <si>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</si>
  <si>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</si>
  <si>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</si>
  <si>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</si>
  <si>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</si>
  <si>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</si>
  <si>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</si>
  <si>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</si>
  <si>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</si>
  <si>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</si>
  <si>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</si>
  <si>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</si>
  <si>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</si>
  <si>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</si>
  <si>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</si>
  <si>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</si>
  <si>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</si>
  <si>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</si>
  <si>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</si>
  <si>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</si>
  <si>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</si>
  <si>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</si>
  <si>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</si>
  <si>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</si>
  <si>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</si>
  <si>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</si>
  <si>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</si>
  <si>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</si>
  <si>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</si>
  <si>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</si>
  <si>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</si>
  <si>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</si>
  <si>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</si>
  <si>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</si>
  <si>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</si>
  <si>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</si>
  <si>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</si>
  <si>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</si>
  <si>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</si>
  <si>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</si>
  <si>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</si>
  <si>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</si>
  <si>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</si>
  <si>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</si>
  <si>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</si>
  <si>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</si>
  <si>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</si>
  <si>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</si>
  <si>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</si>
  <si>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</si>
  <si>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</si>
  <si>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</si>
  <si>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</si>
  <si>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</si>
  <si>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</si>
  <si>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</si>
  <si>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</si>
  <si>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</si>
  <si>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</si>
  <si>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</si>
  <si>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</si>
  <si>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</si>
  <si>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</si>
  <si>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</si>
  <si>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</si>
  <si>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</si>
  <si>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</si>
  <si>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</si>
  <si>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</si>
  <si>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</si>
  <si>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</si>
  <si>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</si>
  <si>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</si>
  <si>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</si>
  <si>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</si>
  <si>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</si>
  <si>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</si>
  <si>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</si>
  <si>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</si>
  <si>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</si>
  <si>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</si>
  <si>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</si>
  <si>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</si>
  <si>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</si>
  <si>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</si>
  <si>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</si>
  <si>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</si>
  <si>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</si>
  <si>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</si>
  <si>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</si>
  <si>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</si>
  <si>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</si>
  <si>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</si>
  <si>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</si>
  <si>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</si>
  <si>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</si>
  <si>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</si>
  <si>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</si>
  <si>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</si>
  <si>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</si>
  <si>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</si>
  <si>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</si>
  <si>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</si>
  <si>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</si>
  <si>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</si>
  <si>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</si>
  <si>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</si>
  <si>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</si>
  <si>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</si>
  <si>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</si>
  <si>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</si>
  <si>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</si>
  <si>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</si>
  <si>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</si>
  <si>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</si>
  <si>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</si>
  <si>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</si>
  <si>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</si>
  <si>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</si>
  <si>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</si>
  <si>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</si>
  <si>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</si>
  <si>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</si>
  <si>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</si>
  <si>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</si>
  <si>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</si>
  <si>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</si>
  <si>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</si>
  <si>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</si>
  <si>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</si>
  <si>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</si>
  <si>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</si>
  <si>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</si>
  <si>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</si>
  <si>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</si>
  <si>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</si>
  <si>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</si>
  <si>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</si>
  <si>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</si>
  <si>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</si>
  <si>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</si>
  <si>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</si>
  <si>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</si>
  <si>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</si>
  <si>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</si>
  <si>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</si>
  <si>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</si>
  <si>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</si>
  <si>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</si>
  <si>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</si>
  <si>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</si>
  <si>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</si>
  <si>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</si>
  <si>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</si>
  <si>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</si>
  <si>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</si>
  <si>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</si>
  <si>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</si>
  <si>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</si>
  <si>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</si>
  <si>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</si>
  <si>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</si>
  <si>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</si>
  <si>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</si>
  <si>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</si>
  <si>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</si>
  <si>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</si>
  <si>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</si>
  <si>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</si>
  <si>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</si>
  <si>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</si>
  <si>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</si>
  <si>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</si>
  <si>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</si>
  <si>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</si>
  <si>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</si>
  <si>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</si>
  <si>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</si>
  <si>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</si>
  <si>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</si>
  <si>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</si>
  <si>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</si>
  <si>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</si>
  <si>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</si>
  <si>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</si>
  <si>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</si>
  <si>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</si>
  <si>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</si>
  <si>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</si>
  <si>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</si>
  <si>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</si>
  <si>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</si>
  <si>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</si>
  <si>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</si>
  <si>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</si>
  <si>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</si>
  <si>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</si>
  <si>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</si>
  <si>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</si>
  <si>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</si>
  <si>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</si>
  <si>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</si>
  <si>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</si>
  <si>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</si>
  <si>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</si>
  <si>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</si>
  <si>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</si>
  <si>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</si>
  <si>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</si>
  <si>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</si>
  <si>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</si>
  <si>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</si>
  <si>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</si>
  <si>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</si>
  <si>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</si>
  <si>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</si>
  <si>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</si>
  <si>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</si>
  <si>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</si>
  <si>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</si>
  <si>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</si>
  <si>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</si>
  <si>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</si>
  <si>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</si>
  <si>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</si>
  <si>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</si>
  <si>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</si>
  <si>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</si>
  <si>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</si>
  <si>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</si>
  <si>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</si>
  <si>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</si>
  <si>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</si>
  <si>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</si>
  <si>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</si>
  <si>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</si>
  <si>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</si>
  <si>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</si>
  <si>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</si>
  <si>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</si>
  <si>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</si>
  <si>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</si>
  <si>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</si>
  <si>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</si>
  <si>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</si>
  <si>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</si>
  <si>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</si>
  <si>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</si>
  <si>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</si>
  <si>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</si>
  <si>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</si>
  <si>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</si>
  <si>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</si>
  <si>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</si>
  <si>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</si>
  <si>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</si>
  <si>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</si>
  <si>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</si>
  <si>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</si>
  <si>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</si>
  <si>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</si>
  <si>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</si>
  <si>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</si>
  <si>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</si>
  <si>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</si>
  <si>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</si>
  <si>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</si>
  <si>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</si>
  <si>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</si>
  <si>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</si>
  <si>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</si>
  <si>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</si>
  <si>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</si>
  <si>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</si>
  <si>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</si>
  <si>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</si>
  <si>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</si>
  <si>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</si>
  <si>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</si>
  <si>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</si>
  <si>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</si>
  <si>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</si>
  <si>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</si>
  <si>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</si>
  <si>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</si>
  <si>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</si>
  <si>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</si>
  <si>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</si>
  <si>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</si>
  <si>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</si>
  <si>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</si>
  <si>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</si>
  <si>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</si>
  <si>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</si>
  <si>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</si>
  <si>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</si>
  <si>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</si>
  <si>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</si>
  <si>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</si>
  <si>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</si>
  <si>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</si>
  <si>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</si>
  <si>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</si>
  <si>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</si>
  <si>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</si>
  <si>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</si>
  <si>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</si>
  <si>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</si>
  <si>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</si>
  <si>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</si>
  <si>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</si>
  <si>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</si>
  <si>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</si>
  <si>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</si>
  <si>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</si>
  <si>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</si>
  <si>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</si>
  <si>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</si>
  <si>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</si>
  <si>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</si>
  <si>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</si>
  <si>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</si>
  <si>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</si>
  <si>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</si>
  <si>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</si>
  <si>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</si>
  <si>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</si>
  <si>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</si>
  <si>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</si>
  <si>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</si>
  <si>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</si>
  <si>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</si>
  <si>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</si>
  <si>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</si>
  <si>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</si>
  <si>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</si>
  <si>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</si>
  <si>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</si>
  <si>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</si>
  <si>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</si>
  <si>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</si>
  <si>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</si>
  <si>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</si>
  <si>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</si>
  <si>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</si>
  <si>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</si>
  <si>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</si>
  <si>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</si>
  <si>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</si>
  <si>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</si>
  <si>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</si>
  <si>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</si>
  <si>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</si>
  <si>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</si>
  <si>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</si>
  <si>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</si>
  <si>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</si>
  <si>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</si>
  <si>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</si>
  <si>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</si>
  <si>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</si>
  <si>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</si>
  <si>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</si>
  <si>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</si>
  <si>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</si>
  <si>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</si>
  <si>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</si>
  <si>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</si>
  <si>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</si>
  <si>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</si>
  <si>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</si>
  <si>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</si>
  <si>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</si>
  <si>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</si>
  <si>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</si>
  <si>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</si>
  <si>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</si>
  <si>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</si>
  <si>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</si>
  <si>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</si>
  <si>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</si>
  <si>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</si>
  <si>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</si>
  <si>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</si>
  <si>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</si>
  <si>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</si>
  <si>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</si>
  <si>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</si>
  <si>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</si>
  <si>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</si>
  <si>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</si>
  <si>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</si>
  <si>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</si>
  <si>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</si>
  <si>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</si>
  <si>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</si>
  <si>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</si>
  <si>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</si>
  <si>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</si>
  <si>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</si>
  <si>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</si>
  <si>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</si>
  <si>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</si>
  <si>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</si>
  <si>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</si>
  <si>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</si>
  <si>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</si>
  <si>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</si>
  <si>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</si>
  <si>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</si>
  <si>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</si>
  <si>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</si>
  <si>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</si>
  <si>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</si>
  <si>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</si>
  <si>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</si>
  <si>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</si>
  <si>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</si>
  <si>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</si>
  <si>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</si>
  <si>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</si>
  <si>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</si>
  <si>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</si>
  <si>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</si>
  <si>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</si>
  <si>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</si>
  <si>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</si>
  <si>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</si>
  <si>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</si>
  <si>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</si>
  <si>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</si>
  <si>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</si>
  <si>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</si>
  <si>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</si>
  <si>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</si>
  <si>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</si>
  <si>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</si>
  <si>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</si>
  <si>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</si>
  <si>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</si>
  <si>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</si>
  <si>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</si>
  <si>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</si>
  <si>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</si>
  <si>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</si>
  <si>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</si>
  <si>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</si>
  <si>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</si>
  <si>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</si>
  <si>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</si>
  <si>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</si>
  <si>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</si>
  <si>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</si>
  <si>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</si>
  <si>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</si>
  <si>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</si>
  <si>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</si>
  <si>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</si>
  <si>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</si>
  <si>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</si>
  <si>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</si>
  <si>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</si>
  <si>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</si>
  <si>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</si>
  <si>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</si>
  <si>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</si>
  <si>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</si>
  <si>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</si>
  <si>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</si>
  <si>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</si>
  <si>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</si>
  <si>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</si>
  <si>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</si>
  <si>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</si>
  <si>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</si>
  <si>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</si>
  <si>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</si>
  <si>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</si>
  <si>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</si>
  <si>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</si>
  <si>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</si>
  <si>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</si>
  <si>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</si>
  <si>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</si>
  <si>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</si>
  <si>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</si>
  <si>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</si>
  <si>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</si>
  <si>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</si>
  <si>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</si>
  <si>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</si>
  <si>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</si>
  <si>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</si>
  <si>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</si>
  <si>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</si>
  <si>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</si>
  <si>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</si>
  <si>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</si>
  <si>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</si>
  <si>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</si>
  <si>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</si>
  <si>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</si>
  <si>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</si>
  <si>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</si>
  <si>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</si>
  <si>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</si>
  <si>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</si>
  <si>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</si>
  <si>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</si>
  <si>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</si>
  <si>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</si>
  <si>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</si>
  <si>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</si>
  <si>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</si>
  <si>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</si>
  <si>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</si>
  <si>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</si>
  <si>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</si>
  <si>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</si>
  <si>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</si>
  <si>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</si>
  <si>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</si>
  <si>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</si>
  <si>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</si>
  <si>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</si>
  <si>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</si>
  <si>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</si>
  <si>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</si>
  <si>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</si>
  <si>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</si>
  <si>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</si>
  <si>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</si>
  <si>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</si>
  <si>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</si>
  <si>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</si>
  <si>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</si>
  <si>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</si>
  <si>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</si>
  <si>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</si>
  <si>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</si>
  <si>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</si>
  <si>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</si>
  <si>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</si>
  <si>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</si>
  <si>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</si>
  <si>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</si>
  <si>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</si>
  <si>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</si>
  <si>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</si>
  <si>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</si>
  <si>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</si>
  <si>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</si>
  <si>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</si>
  <si>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</si>
  <si>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</si>
  <si>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</si>
  <si>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</si>
  <si>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</si>
  <si>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</si>
  <si>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</si>
  <si>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</si>
  <si>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</si>
  <si>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</si>
  <si>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</si>
  <si>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</si>
  <si>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</si>
  <si>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</si>
  <si>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</si>
  <si>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</si>
  <si>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</si>
  <si>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</si>
  <si>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</si>
  <si>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</si>
  <si>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</si>
  <si>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</si>
  <si>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</si>
  <si>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</si>
  <si>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</si>
  <si>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</si>
  <si>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</si>
  <si>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</si>
  <si>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</si>
  <si>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</si>
  <si>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</si>
  <si>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</si>
  <si>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</si>
  <si>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</si>
  <si>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</si>
  <si>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</si>
  <si>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</si>
  <si>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</si>
  <si>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</si>
  <si>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</si>
  <si>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</si>
  <si>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</si>
  <si>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</si>
  <si>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</si>
  <si>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</si>
  <si>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</si>
  <si>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</si>
  <si>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</si>
  <si>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</si>
  <si>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</si>
  <si>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</si>
  <si>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</si>
  <si>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</si>
  <si>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</si>
  <si>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</si>
  <si>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</si>
  <si>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</si>
  <si>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</si>
  <si>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</si>
  <si>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</si>
  <si>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</si>
  <si>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</si>
  <si>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</si>
  <si>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</si>
  <si>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</si>
  <si>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</si>
  <si>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</si>
  <si>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</si>
  <si>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</si>
  <si>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</si>
  <si>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</si>
  <si>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</si>
  <si>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</si>
  <si>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</si>
  <si>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</si>
  <si>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</si>
  <si>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</si>
  <si>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</si>
  <si>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</si>
  <si>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</si>
  <si>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</si>
  <si>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</si>
  <si>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</si>
  <si>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</si>
  <si>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</si>
  <si>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</si>
  <si>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</si>
  <si>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</si>
  <si>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</si>
  <si>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</si>
  <si>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</si>
  <si>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</si>
  <si>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</si>
  <si>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</si>
  <si>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</si>
  <si>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</si>
  <si>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</si>
  <si>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</si>
  <si>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</si>
  <si>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</si>
  <si>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</si>
  <si>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</si>
  <si>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</si>
  <si>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</si>
  <si>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</si>
  <si>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</si>
  <si>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</si>
  <si>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</si>
  <si>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</si>
  <si>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</si>
  <si>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</si>
  <si>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</si>
  <si>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</si>
  <si>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</si>
  <si>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</si>
  <si>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</si>
  <si>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</si>
  <si>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</si>
  <si>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</si>
  <si>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</si>
  <si>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</si>
  <si>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</si>
  <si>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</si>
  <si>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</si>
  <si>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</si>
  <si>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</si>
  <si>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</si>
  <si>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</si>
  <si>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</si>
  <si>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</si>
  <si>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</si>
  <si>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</si>
  <si>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</si>
  <si>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</si>
  <si>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</si>
  <si>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</si>
  <si>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</si>
  <si>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</si>
  <si>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</si>
  <si>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</si>
  <si>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</si>
  <si>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</si>
  <si>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</si>
  <si>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</si>
  <si>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</si>
  <si>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</si>
  <si>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</si>
  <si>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</si>
  <si>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</si>
  <si>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</si>
  <si>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</si>
  <si>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</si>
  <si>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</si>
  <si>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</si>
  <si>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</si>
  <si>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</si>
  <si>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</si>
  <si>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</si>
  <si>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</si>
  <si>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</si>
  <si>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</si>
  <si>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</si>
  <si>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</si>
  <si>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</si>
  <si>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</si>
  <si>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</si>
  <si>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</si>
  <si>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</si>
  <si>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</si>
  <si>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</si>
  <si>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</si>
  <si>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</si>
  <si>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</si>
  <si>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</si>
  <si>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</si>
  <si>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</si>
  <si>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</si>
  <si>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</si>
  <si>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</si>
  <si>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</si>
  <si>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</si>
  <si>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</si>
  <si>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</si>
  <si>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</si>
  <si>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</si>
  <si>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</si>
  <si>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</si>
  <si>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</si>
  <si>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</si>
  <si>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</si>
  <si>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</si>
  <si>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</si>
  <si>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</si>
  <si>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</si>
  <si>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</si>
  <si>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</si>
  <si>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</si>
  <si>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</si>
  <si>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</si>
  <si>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</si>
  <si>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</si>
  <si>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</si>
  <si>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</si>
  <si>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</si>
  <si>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</si>
  <si>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</si>
  <si>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</si>
  <si>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</si>
  <si>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</si>
  <si>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</si>
  <si>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</si>
  <si>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</si>
  <si>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</si>
  <si>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</si>
  <si>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</si>
  <si>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</si>
  <si>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</si>
  <si>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</si>
  <si>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</si>
  <si>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</si>
  <si>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</si>
  <si>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</si>
  <si>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</si>
  <si>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</si>
  <si>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</si>
  <si>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</si>
  <si>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</si>
  <si>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</si>
  <si>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</si>
  <si>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</si>
  <si>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</si>
  <si>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</si>
  <si>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</si>
  <si>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</si>
  <si>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</si>
  <si>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</si>
  <si>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</si>
  <si>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</si>
  <si>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</si>
  <si>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</si>
  <si>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</si>
  <si>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</si>
  <si>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</si>
  <si>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</si>
  <si>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</si>
  <si>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</si>
  <si>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</si>
  <si>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</si>
  <si>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</si>
  <si>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</si>
  <si>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</si>
  <si>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</si>
  <si>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</si>
  <si>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</si>
  <si>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</si>
  <si>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</si>
  <si>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</si>
  <si>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</si>
  <si>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</si>
  <si>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</si>
  <si>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</si>
  <si>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</si>
  <si>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</si>
  <si>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</si>
  <si>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</si>
  <si>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</si>
  <si>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</si>
  <si>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</si>
  <si>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</si>
  <si>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</si>
  <si>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</si>
  <si>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</si>
  <si>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</si>
  <si>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</si>
  <si>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</si>
  <si>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</si>
  <si>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</si>
  <si>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</si>
  <si>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</si>
  <si>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</si>
  <si>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</si>
  <si>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</si>
  <si>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</si>
  <si>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</si>
  <si>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</si>
  <si>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</si>
  <si>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</si>
  <si>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</si>
  <si>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</si>
  <si>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</si>
  <si>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</si>
  <si>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</si>
  <si>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</si>
  <si>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</si>
  <si>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</si>
  <si>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</si>
  <si>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</si>
  <si>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</si>
  <si>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</si>
  <si>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</si>
  <si>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</si>
  <si>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</si>
  <si>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</si>
  <si>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</si>
  <si>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</si>
  <si>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</si>
  <si>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</si>
  <si>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</si>
  <si>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</si>
  <si>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</si>
  <si>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</si>
  <si>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</si>
  <si>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</si>
  <si>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</si>
  <si>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</si>
  <si>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</si>
  <si>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</si>
  <si>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</si>
  <si>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</si>
  <si>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</si>
  <si>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</si>
  <si>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</si>
  <si>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</si>
  <si>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</si>
  <si>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</si>
  <si>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</si>
  <si>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</si>
  <si>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</si>
  <si>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</si>
  <si>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</si>
  <si>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</si>
  <si>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</si>
  <si>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</si>
  <si>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</si>
  <si>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</si>
  <si>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</si>
  <si>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</si>
  <si>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</si>
  <si>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</si>
  <si>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</si>
  <si>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</si>
  <si>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</si>
  <si>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</si>
  <si>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</si>
  <si>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</si>
  <si>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</si>
  <si>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</si>
  <si>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</si>
  <si>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</si>
  <si>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</si>
  <si>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</si>
  <si>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</si>
  <si>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</si>
  <si>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</si>
  <si>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</si>
  <si>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</si>
  <si>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</si>
  <si>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</si>
  <si>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</si>
  <si>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</si>
  <si>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</si>
  <si>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</si>
  <si>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</si>
  <si>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</si>
  <si>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</si>
  <si>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</si>
  <si>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</si>
  <si>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</si>
  <si>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</si>
  <si>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</si>
  <si>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</si>
  <si>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</si>
  <si>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</si>
  <si>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</si>
  <si>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</si>
  <si>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</si>
  <si>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</si>
  <si>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</si>
  <si>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</si>
  <si>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</si>
  <si>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</si>
  <si>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</si>
  <si>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</si>
  <si>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</si>
  <si>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</si>
  <si>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</si>
  <si>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</si>
  <si>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</si>
  <si>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</si>
  <si>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</si>
  <si>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</si>
  <si>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</si>
  <si>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</si>
  <si>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</si>
  <si>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</si>
  <si>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</si>
  <si>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</si>
  <si>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</si>
  <si>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</si>
  <si>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</si>
  <si>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</si>
  <si>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</si>
  <si>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</si>
  <si>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</si>
  <si>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</si>
  <si>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</si>
  <si>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</si>
  <si>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</si>
  <si>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</si>
  <si>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</si>
  <si>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</si>
  <si>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</si>
  <si>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</si>
  <si>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</si>
  <si>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</si>
  <si>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</si>
  <si>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</si>
  <si>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</si>
  <si>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</si>
  <si>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</si>
  <si>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</si>
  <si>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</si>
  <si>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</si>
  <si>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</si>
  <si>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</si>
  <si>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</si>
  <si>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</si>
  <si>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</si>
  <si>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</si>
  <si>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</si>
  <si>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</si>
  <si>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</si>
  <si>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</si>
  <si>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</si>
  <si>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</si>
  <si>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</si>
  <si>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</si>
  <si>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</si>
  <si>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</si>
  <si>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</si>
  <si>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</si>
  <si>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</si>
  <si>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</si>
  <si>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</si>
  <si>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</si>
  <si>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</si>
  <si>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</si>
  <si>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</si>
  <si>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</si>
  <si>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</si>
  <si>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</si>
  <si>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</si>
  <si>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</si>
  <si>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</si>
  <si>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</si>
  <si>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</si>
  <si>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</si>
  <si>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</si>
  <si>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</si>
  <si>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</si>
  <si>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</si>
  <si>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</si>
  <si>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</si>
  <si>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</si>
  <si>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</si>
  <si>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</si>
  <si>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</si>
  <si>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</si>
  <si>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</si>
  <si>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</si>
  <si>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</si>
  <si>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</si>
  <si>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</si>
  <si>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</si>
  <si>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</si>
  <si>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</si>
  <si>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</si>
  <si>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</si>
  <si>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</si>
  <si>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</si>
  <si>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</si>
  <si>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</si>
  <si>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</si>
  <si>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</si>
  <si>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</si>
  <si>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</si>
  <si>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</si>
  <si>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</si>
  <si>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</si>
  <si>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</si>
  <si>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</si>
  <si>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</si>
  <si>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</si>
  <si>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</si>
  <si>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</si>
  <si>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</si>
  <si>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</si>
  <si>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</si>
  <si>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</si>
  <si>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</si>
  <si>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</si>
  <si>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</si>
  <si>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</si>
  <si>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</si>
  <si>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</si>
  <si>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</si>
  <si>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</si>
  <si>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</si>
  <si>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</si>
  <si>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</si>
  <si>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</si>
  <si>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</si>
  <si>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</si>
  <si>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</si>
  <si>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</si>
  <si>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</si>
  <si>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</si>
  <si>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</si>
  <si>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</si>
  <si>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</si>
  <si>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</si>
  <si>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</si>
  <si>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</si>
  <si>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</si>
  <si>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</si>
  <si>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</si>
  <si>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</si>
  <si>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</si>
  <si>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</si>
  <si>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</si>
  <si>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</si>
  <si>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</si>
  <si>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</si>
  <si>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</si>
  <si>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</si>
  <si>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</si>
  <si>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</si>
  <si>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</si>
  <si>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</si>
  <si>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</si>
  <si>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</si>
  <si>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</si>
  <si>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</si>
  <si>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</si>
  <si>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</si>
  <si>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</si>
  <si>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</si>
  <si>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</si>
  <si>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</si>
  <si>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</si>
  <si>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</si>
  <si>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</si>
  <si>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</si>
  <si>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</si>
  <si>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</si>
  <si>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</si>
  <si>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</si>
  <si>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</si>
  <si>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</si>
  <si>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</si>
  <si>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</si>
  <si>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</si>
  <si>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</si>
  <si>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</si>
  <si>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</si>
  <si>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</si>
  <si>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</si>
  <si>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</si>
  <si>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</si>
  <si>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</si>
  <si>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</si>
  <si>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</si>
  <si>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</si>
  <si>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</si>
  <si>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</si>
  <si>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</si>
  <si>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</si>
  <si>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</si>
  <si>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</si>
  <si>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</si>
  <si>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</si>
  <si>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</si>
  <si>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</si>
  <si>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</si>
  <si>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</si>
  <si>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</si>
  <si>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</si>
  <si>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</si>
  <si>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</si>
  <si>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</si>
  <si>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</si>
  <si>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</si>
  <si>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</si>
  <si>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</si>
  <si>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</si>
  <si>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</si>
  <si>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</si>
  <si>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</si>
  <si>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</si>
  <si>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</si>
  <si>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</si>
  <si>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</si>
  <si>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</si>
  <si>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</si>
  <si>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</si>
  <si>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</si>
  <si>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</si>
  <si>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</si>
  <si>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</si>
  <si>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</si>
  <si>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</si>
  <si>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</si>
  <si>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</si>
  <si>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</si>
  <si>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</si>
  <si>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</si>
  <si>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</si>
  <si>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</si>
  <si>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</si>
  <si>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</si>
  <si>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</si>
  <si>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</si>
  <si>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</si>
  <si>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</si>
  <si>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</si>
  <si>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</si>
  <si>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</si>
  <si>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</si>
  <si>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</si>
  <si>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</si>
  <si>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</si>
  <si>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</si>
  <si>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</si>
  <si>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</si>
  <si>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</si>
  <si>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</si>
  <si>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</si>
  <si>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</si>
  <si>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</si>
  <si>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</si>
  <si>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</si>
  <si>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</si>
  <si>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</si>
  <si>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</si>
  <si>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</si>
  <si>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</si>
  <si>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</si>
  <si>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</si>
  <si>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</si>
  <si>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</si>
  <si>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</si>
  <si>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</si>
  <si>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</si>
  <si>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</si>
  <si>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</si>
  <si>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</si>
  <si>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</si>
  <si>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</si>
  <si>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</si>
  <si>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</si>
  <si>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</si>
  <si>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</si>
  <si>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</si>
  <si>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</si>
  <si>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</si>
  <si>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</si>
  <si>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</si>
  <si>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</si>
  <si>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</si>
  <si>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</si>
  <si>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</si>
  <si>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</si>
  <si>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</si>
  <si>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</si>
  <si>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</si>
  <si>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</si>
  <si>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</si>
  <si>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</si>
  <si>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</si>
  <si>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</si>
  <si>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</si>
  <si>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</si>
  <si>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</si>
  <si>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</si>
  <si>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</si>
  <si>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</si>
  <si>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</si>
  <si>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</si>
  <si>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崔锴</t>
  </si>
  <si>
    <t>赵雯</t>
  </si>
  <si>
    <t>农村商业银行卢沟桥支行</t>
    <phoneticPr fontId="6" type="noConversion"/>
  </si>
  <si>
    <t>北京京投丰德房地产有限公司</t>
    <phoneticPr fontId="6" type="noConversion"/>
  </si>
  <si>
    <t>抵押价格</t>
  </si>
  <si>
    <t>丰台区花乡郭公庄村1518-L04、L05地块城镇住宅用地及1518-L06、L07地块商务金融用地（商业、办公）出让国有建设用地使用权</t>
    <phoneticPr fontId="6" type="noConversion"/>
  </si>
  <si>
    <t>企业</t>
  </si>
  <si>
    <t>一致</t>
  </si>
  <si>
    <t>否</t>
  </si>
  <si>
    <t>商业</t>
  </si>
  <si>
    <t>《国有土地使用证》[]</t>
    <phoneticPr fontId="6" type="noConversion"/>
  </si>
  <si>
    <t>《国有建设用地使用权出让合同》[电子监管号：1101002019B00120]及附件</t>
  </si>
  <si>
    <t>《国有建设用地使用权出让合同》[电子监管号：1101002019B00120]及附件</t>
    <phoneticPr fontId="6" type="noConversion"/>
  </si>
  <si>
    <t>《不动产权证书》[京（2019）丰不动产权第0034885、0034856、0034862、0034859号]</t>
    <phoneticPr fontId="3" type="noConversion"/>
  </si>
  <si>
    <t>综合项目（居住、综合）</t>
  </si>
  <si>
    <t>无</t>
  </si>
  <si>
    <t>场地平整</t>
  </si>
  <si>
    <t>平整</t>
  </si>
  <si>
    <t>通路</t>
  </si>
  <si>
    <t>通电</t>
  </si>
  <si>
    <t>通讯</t>
  </si>
  <si>
    <t>通上水</t>
  </si>
  <si>
    <t>通下水</t>
  </si>
  <si>
    <t>回迁房</t>
  </si>
  <si>
    <t>回迁房</t>
    <phoneticPr fontId="3" type="noConversion"/>
  </si>
  <si>
    <t>商品住宅</t>
    <phoneticPr fontId="3" type="noConversion"/>
  </si>
  <si>
    <t>还建商业</t>
  </si>
  <si>
    <t>还建商业</t>
    <phoneticPr fontId="3" type="noConversion"/>
  </si>
  <si>
    <t>可售商业</t>
    <phoneticPr fontId="3" type="noConversion"/>
  </si>
  <si>
    <t>地上</t>
  </si>
  <si>
    <t>独立商业</t>
  </si>
  <si>
    <t>底商</t>
  </si>
  <si>
    <t>普通住宅</t>
  </si>
  <si>
    <t>住宅</t>
    <phoneticPr fontId="7" type="noConversion"/>
  </si>
  <si>
    <t>商业</t>
    <phoneticPr fontId="7" type="noConversion"/>
  </si>
  <si>
    <t>还建商业</t>
    <phoneticPr fontId="7" type="noConversion"/>
  </si>
  <si>
    <t>回迁房</t>
    <phoneticPr fontId="7" type="noConversion"/>
  </si>
  <si>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</si>
  <si>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</si>
  <si>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</si>
  <si>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</si>
  <si>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</si>
  <si>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</si>
  <si>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</si>
  <si>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</si>
  <si>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</si>
  <si>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</si>
  <si>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</si>
  <si>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</si>
  <si>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</si>
  <si>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</si>
  <si>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北京市丰台区南苑石榴庄0517-L02地块F1住宅混合公建用地</t>
  </si>
  <si>
    <t>综合用地(含住宅)</t>
  </si>
  <si>
    <t>≤3</t>
  </si>
  <si>
    <t>挂牌</t>
  </si>
  <si>
    <t>2019-09-25</t>
  </si>
  <si>
    <t>金茂北方企业管理(天津)有限公司和廊坊市合恩房地产开发有限公司联合体</t>
  </si>
  <si>
    <t>5星</t>
  </si>
  <si>
    <t>北京市丰台区花乡造甲村1512-653等地块(丰台区花乡造甲村土地一级开发项目南地块)综合性商业金融服务业及二类居住用地</t>
  </si>
  <si>
    <t>b4≤5,r2≤2.8</t>
  </si>
  <si>
    <t>2019-07-15</t>
  </si>
  <si>
    <t>北京中海地产有限公司</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</si>
  <si>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</si>
  <si>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</si>
  <si>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</si>
  <si>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</si>
  <si>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2星</t>
  </si>
  <si>
    <t>北京市丰台区花乡郭公庄村1518-L01等地块(地铁九号线郭公庄车辆段项目(三期)土地一级开发项目B地块)二类居住、综合性商业金融服务业及基础教育用地</t>
  </si>
  <si>
    <t>2019-01-11</t>
  </si>
  <si>
    <t>北京京投置地房地产有限公司、北京郭公庄投资管理公司和北京市基础设施投资有限公司联合体</t>
  </si>
  <si>
    <t>北京市丰台区花乡白盆窑村BPY-L011地块R2二类居住用地</t>
  </si>
  <si>
    <t>住宅用地</t>
  </si>
  <si>
    <t>2018-11-26</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</si>
  <si>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</si>
  <si>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</si>
  <si>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</si>
  <si>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</si>
  <si>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</si>
  <si>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</si>
  <si>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</si>
  <si>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</si>
  <si>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</si>
  <si>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</si>
  <si>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</si>
  <si>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</si>
  <si>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</si>
  <si>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</si>
  <si>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</si>
  <si>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</si>
  <si>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</si>
  <si>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</si>
  <si>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</si>
  <si>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</si>
  <si>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</si>
  <si>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</si>
  <si>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</si>
  <si>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</si>
  <si>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</si>
  <si>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4星</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</si>
  <si>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</si>
  <si>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</si>
  <si>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</si>
  <si>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</si>
  <si>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</si>
  <si>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</si>
  <si>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3星</t>
  </si>
  <si>
    <t>正常</t>
  </si>
  <si>
    <t>住宅</t>
    <phoneticPr fontId="26" type="noConversion"/>
  </si>
  <si>
    <t>70</t>
    <phoneticPr fontId="26" type="noConversion"/>
  </si>
  <si>
    <t>70</t>
    <phoneticPr fontId="26" type="noConversion"/>
  </si>
  <si>
    <t>较好</t>
  </si>
  <si>
    <t>六通</t>
  </si>
  <si>
    <t>多面临街</t>
  </si>
  <si>
    <t>是</t>
    <phoneticPr fontId="26" type="noConversion"/>
  </si>
  <si>
    <t>否</t>
    <phoneticPr fontId="26" type="noConversion"/>
  </si>
  <si>
    <t>否</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</si>
  <si>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</si>
  <si>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</si>
  <si>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</si>
  <si>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</si>
  <si>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</si>
  <si>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</si>
  <si>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</si>
  <si>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</si>
  <si>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</si>
  <si>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</si>
  <si>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</si>
  <si>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</si>
  <si>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</si>
  <si>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</si>
  <si>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</si>
  <si>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</si>
  <si>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</si>
  <si>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</si>
  <si>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</si>
  <si>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</si>
  <si>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</si>
  <si>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</si>
  <si>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</si>
  <si>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</si>
  <si>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</si>
  <si>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双面临街</t>
  </si>
  <si>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</si>
  <si>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</si>
  <si>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</si>
  <si>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</si>
  <si>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</si>
  <si>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</si>
  <si>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</si>
  <si>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楼面地价</t>
  </si>
  <si>
    <t>剩余法-待开发</t>
  </si>
  <si>
    <t>比较法-住宅、综合</t>
  </si>
  <si>
    <t>城镇住宅用地、商务金融用地（商业、办公）</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</si>
</sst>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10" fontId="149"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6" borderId="0" xfId="0" applyFill="1" applyAlignment="1"/>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cellXfs>
  <cellStyles count="1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已访问的超链接" xfId="17" builtinId="9" hidden="1"/>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zoomScale="80" zoomScaleNormal="80" zoomScalePageLayoutView="80" workbookViewId="0">
      <selection sqref="A1:XFD1048576"/>
    </sheetView>
  </sheetViews>
  <sheetFormatPr defaultColWidth="9" defaultRowHeight="14.25"/>
  <cols>
    <col min="1" max="1" width="36.5" style="2841" customWidth="1"/>
    <col min="2" max="2" width="78.125" style="2842" customWidth="1"/>
    <col min="3" max="18" width="9" style="2836"/>
    <col min="19" max="19" width="17.8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北京市丰台区花乡郭公庄村1518-L04、L05地块城镇住宅用地及1518-L06、L07地块商务金融用地（商业、办公）出让国有建设用地使用权出让国有建设用地使用权抵押价格预评估</v>
      </c>
      <c r="AX2" s="2851"/>
      <c r="AZ2" s="2851"/>
      <c r="BA2" s="2852"/>
      <c r="BC2" s="2852"/>
    </row>
    <row r="3" spans="1:55" s="2853" customFormat="1">
      <c r="A3" s="2832" t="s">
        <v>2658</v>
      </c>
      <c r="B3" s="2835" t="str">
        <f>'预评函-封皮'!B40</f>
        <v>农村商业银行卢沟桥支行</v>
      </c>
    </row>
    <row r="4" spans="1:55" s="2834" customFormat="1">
      <c r="A4" s="2832" t="s">
        <v>2659</v>
      </c>
      <c r="B4" s="2833" t="str">
        <f>'预评函-封皮'!B46</f>
        <v>崔锴、赵雯</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受贵公司委托，我公司对北京市丰台区花乡郭公庄村1518-L04、L05地块城镇住宅用地及1518-L06、L07地块商务金融用地（商业、办公）出让国有建设用地使用权出让国有建设用地使用权抵押价格进行了预评估。</v>
      </c>
      <c r="AM6" s="2857"/>
    </row>
    <row r="7" spans="1:55" s="2831" customFormat="1">
      <c r="A7" s="2832" t="s">
        <v>2654</v>
      </c>
      <c r="B7" s="2833" t="str">
        <f>'预评函-1'!A6</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52536.9平方米。根据《国有建设用地使用权出让合同》[电子监管号：1101002019B00120]及附件，估价对象规划建筑面积为162338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2019年11月13日（评估专业人员勘察现场之日）</v>
      </c>
    </row>
    <row r="11" spans="1:55" s="2831" customFormat="1">
      <c r="A11" s="2832" t="s">
        <v>2662</v>
      </c>
      <c r="B11" s="2833" t="str">
        <f>'预评函-1'!A14</f>
        <v>根据《国有土地使用证》[]，本次评估估价对象证载（地类）用途为城镇住宅用地、商务金融用地（商业、办公）。</v>
      </c>
    </row>
    <row r="12" spans="1:55" s="2831" customFormat="1">
      <c r="A12" s="2832" t="s">
        <v>2663</v>
      </c>
      <c r="B12" s="2833" t="str">
        <f>'预评函-1'!A15</f>
        <v>本次评估设定用途即为证载用途城镇住宅用地、商务金融用地（商业、办公）。</v>
      </c>
    </row>
    <row r="13" spans="1:55" s="2831" customFormat="1">
      <c r="A13" s="2832" t="s">
        <v>2664</v>
      </c>
      <c r="B13" s="2833" t="str">
        <f>'预评函-1'!A17</f>
        <v>根据委托估价方介绍及评估专业人员现场勘查，本次评估估价对象实际土地开发程度为红线外市政基础设施达“七通”（即通路、通电、通讯、通上水、通下水、、）、宗地红线内场地平整。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不动产权证书》[京（2019）丰不动产权第0034885、0034856、0034862、0034859号]，估价对象（分摊）出让国有建设用地使用权面积为52536.9平方米。根据《国有建设用地使用权出让合同》[电子监管号：1101002019B00120]及附件，估价对象规划建筑面积为162338平方米。</v>
      </c>
    </row>
    <row r="16" spans="1:55" s="2831" customFormat="1">
      <c r="A16" s="2832" t="s">
        <v>2666</v>
      </c>
      <c r="B16" s="2833" t="str">
        <f>'预评函-1'!A22</f>
        <v>本次估价对象为出让国有建设用地使用权，《国有土地使用证》[]证载土地终止日期为住宅2089年1月31日、商业2059年1月31日、办公2069年1月31日。截至估价期日，出让国有建设用地使用权剩余土地使用年限为。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2672</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估价期日：2019年11月13日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t="str">
        <f>'预评函-2'!E5</f>
        <v>城镇住宅用地、商务金融用地（商业、办公）</v>
      </c>
      <c r="AV32" s="2837"/>
    </row>
    <row r="33" spans="1:2">
      <c r="A33" s="2832" t="s">
        <v>2710</v>
      </c>
      <c r="B33" s="2833">
        <f>'预评函-2'!F5</f>
        <v>258</v>
      </c>
    </row>
    <row r="34" spans="1:2">
      <c r="A34" s="2832" t="s">
        <v>2711</v>
      </c>
      <c r="B34" s="2833" t="str">
        <f>'预评函-2'!G5</f>
        <v>城镇住宅用地、商务金融用地（商业、办公）</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红线外七通、宗地红线内场地平整</v>
      </c>
    </row>
    <row r="39" spans="1:2">
      <c r="A39" s="2832" t="s">
        <v>2716</v>
      </c>
      <c r="B39" s="2833" t="str">
        <f>'预评函-2'!L5</f>
        <v>红线外七通、宗地红线内场地平整</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52536.9</v>
      </c>
    </row>
    <row r="44" spans="1:2">
      <c r="A44" s="2832" t="s">
        <v>2737</v>
      </c>
      <c r="B44" s="2833" t="str">
        <f>'预评函-2'!O3</f>
        <v>规划建筑面积/㎡</v>
      </c>
    </row>
    <row r="45" spans="1:2">
      <c r="A45" s="2832" t="s">
        <v>2719</v>
      </c>
      <c r="B45" s="2833">
        <f>'预评函-2'!O5</f>
        <v>162338</v>
      </c>
    </row>
    <row r="46" spans="1:2">
      <c r="A46" s="2832" t="s">
        <v>2720</v>
      </c>
      <c r="B46" s="2833">
        <f ca="1">'预评函-2'!P5</f>
        <v>73755</v>
      </c>
    </row>
    <row r="47" spans="1:2">
      <c r="A47" s="2832" t="s">
        <v>2721</v>
      </c>
      <c r="B47" s="2833">
        <f ca="1">'预评函-2'!Q5</f>
        <v>23869</v>
      </c>
    </row>
    <row r="48" spans="1:2">
      <c r="A48" s="2832" t="s">
        <v>2722</v>
      </c>
      <c r="B48" s="2833">
        <f ca="1">'预评函-2'!R5</f>
        <v>387488</v>
      </c>
    </row>
    <row r="49" spans="1:2">
      <c r="A49" s="2832" t="s">
        <v>2738</v>
      </c>
      <c r="B49" s="2833" t="str">
        <f>'预评函-2'!A6</f>
        <v>抵押价格</v>
      </c>
    </row>
    <row r="50" spans="1:2">
      <c r="A50" s="2832" t="s">
        <v>2723</v>
      </c>
      <c r="B50" s="2833">
        <f ca="1">'预评函-2'!R6</f>
        <v>387488</v>
      </c>
    </row>
    <row r="51" spans="1:2">
      <c r="A51" s="2832" t="s">
        <v>2739</v>
      </c>
      <c r="B51" s="2833" t="str">
        <f>'预评函-2'!A7</f>
        <v>——</v>
      </c>
    </row>
    <row r="52" spans="1:2">
      <c r="A52" s="2832" t="s">
        <v>2724</v>
      </c>
      <c r="B52" s="2833" t="str">
        <f>'预评函-2'!R7</f>
        <v>——</v>
      </c>
    </row>
    <row r="53" spans="1:2">
      <c r="A53" s="2832" t="s">
        <v>2740</v>
      </c>
      <c r="B53" s="2833">
        <f>'预评函-2'!A8</f>
        <v>0</v>
      </c>
    </row>
    <row r="54" spans="1:2" s="2847" customFormat="1" ht="15" thickBot="1">
      <c r="A54" s="2854" t="s">
        <v>2725</v>
      </c>
      <c r="B54" s="2855" t="str">
        <f>'预评函-2'!R8</f>
        <v>——</v>
      </c>
    </row>
    <row r="55" spans="1:2" ht="15" thickTop="1">
      <c r="A55" s="2843" t="s">
        <v>2675</v>
      </c>
      <c r="B55" s="2844" t="str">
        <f>'预评函-3'!A2</f>
        <v>1.权利限制：根据估价对象《不动产权证书》复印件，截至估价期日，估价对象抵押权未见登记。未设定租赁等其他他项权利。</v>
      </c>
    </row>
    <row r="56" spans="1:2">
      <c r="A56" s="2832" t="s">
        <v>2676</v>
      </c>
      <c r="B56" s="2833" t="str">
        <f>'预评函-3'!A3</f>
        <v>2.基础设施条件：估价对象实际开发程度为红线外七通、宗地红线内场地平整；本次评估设定开发程度为红线外七通、宗地红线内场地平整。</v>
      </c>
    </row>
    <row r="57" spans="1:2">
      <c r="A57" s="2832" t="s">
        <v>2677</v>
      </c>
      <c r="B57" s="2833" t="str">
        <f>'预评函-3'!A4</f>
        <v>3.估价规划限制条件：详见《国有建设用地使用权出让合同》[电子监管号：1101002019B00120]及附件。</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（1）根据估价对象《不动产权证书》复印件，截至估价期日，估价对象抵押权未见登记。</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崔锴</v>
      </c>
    </row>
    <row r="70" spans="1:2">
      <c r="A70" s="2832" t="s">
        <v>2687</v>
      </c>
      <c r="B70" s="2839">
        <f ca="1">'预评函-3'!B20</f>
        <v>2010110070</v>
      </c>
    </row>
    <row r="71" spans="1:2">
      <c r="A71" s="2832" t="s">
        <v>2688</v>
      </c>
      <c r="B71" s="2833" t="str">
        <f>'预评函-3'!A21</f>
        <v>赵雯</v>
      </c>
    </row>
    <row r="72" spans="1:2" s="2847" customFormat="1" ht="15" thickBot="1">
      <c r="A72" s="2854" t="s">
        <v>2688</v>
      </c>
      <c r="B72" s="2860">
        <f ca="1">'预评函-3'!B21</f>
        <v>2011110090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Normal="150" zoomScaleSheetLayoutView="100" zoomScalePageLayoutView="150" workbookViewId="0">
      <selection activeCell="B13" sqref="B13:D13"/>
    </sheetView>
  </sheetViews>
  <sheetFormatPr defaultColWidth="10" defaultRowHeight="14.25"/>
  <cols>
    <col min="1" max="1" width="15.375" style="1674" customWidth="1"/>
    <col min="2" max="2" width="13.625" style="1674" customWidth="1"/>
    <col min="3" max="3" width="15.125" style="1674" customWidth="1"/>
    <col min="4" max="5" width="1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26" t="str">
        <f>IF(B10="北京市","北京市",C10)&amp;F10&amp;B16&amp;"国有建设用地使用权"&amp;B9&amp;"预评估"</f>
        <v>北京市丰台区花乡郭公庄村1518-L04、L05地块城镇住宅用地及1518-L06、L07地块商务金融用地（商业、办公）出让国有建设用地使用权出让国有建设用地使用权抵押价格预评估</v>
      </c>
      <c r="C1" s="3227"/>
      <c r="D1" s="3227"/>
      <c r="E1" s="3227"/>
      <c r="F1" s="3227"/>
      <c r="G1" s="3227"/>
      <c r="H1" s="3227"/>
      <c r="I1" s="3228"/>
      <c r="J1" s="1677"/>
      <c r="K1" s="2418" t="str">
        <f>IF(B10="北京市","北京市",C10)&amp;F10&amp;B16&amp;"国有建设用地使用权"&amp;B9</f>
        <v>北京市丰台区花乡郭公庄村1518-L04、L05地块城镇住宅用地及1518-L06、L07地块商务金融用地（商业、办公）出让国有建设用地使用权出让国有建设用地使用权抵押价格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北京市丰台区花乡郭公庄村1518-L04、L05地块城镇住宅用地及1518-L06、L07地块商务金融用地（商业、办公）出让国有建设用地使用权出让国有建设用地使用权</v>
      </c>
      <c r="L2" s="1706"/>
      <c r="M2" s="1706"/>
      <c r="N2" s="1677"/>
      <c r="O2" s="1678"/>
      <c r="P2" s="1677"/>
      <c r="Q2" s="1677"/>
      <c r="R2" s="1677"/>
      <c r="S2" s="1677"/>
      <c r="T2" s="1677"/>
      <c r="U2" s="1677"/>
    </row>
    <row r="3" spans="1:21">
      <c r="A3" s="1644" t="s">
        <v>1939</v>
      </c>
      <c r="B3" s="1645">
        <v>43782</v>
      </c>
      <c r="C3" s="1646" t="s">
        <v>1993</v>
      </c>
      <c r="D3" s="1645">
        <f>B3</f>
        <v>43782</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2994</v>
      </c>
      <c r="C4" s="1829">
        <f ca="1">SUMIF(土地估价师,B4,估价师及机构信息!E3:E24)</f>
        <v>2010110070</v>
      </c>
      <c r="D4" s="1826" t="s">
        <v>2995</v>
      </c>
      <c r="E4" s="1829">
        <f ca="1">SUMIF(土地估价师,D4,估价师及机构信息!E3:E24)</f>
        <v>2011110090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崔锴、赵雯</v>
      </c>
      <c r="L4" s="1706"/>
      <c r="M4" s="1706"/>
      <c r="N4" s="1677"/>
      <c r="O4" s="1678"/>
      <c r="P4" s="1677"/>
      <c r="Q4" s="1677"/>
      <c r="R4" s="1677"/>
      <c r="S4" s="1677"/>
      <c r="T4" s="1677"/>
      <c r="U4" s="1677"/>
    </row>
    <row r="5" spans="1:21" ht="15" thickTop="1">
      <c r="A5" s="1648" t="s">
        <v>1941</v>
      </c>
      <c r="B5" s="1772" t="s">
        <v>2996</v>
      </c>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t="str">
        <f>B5</f>
        <v>农村商业银行卢沟桥支行</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t="s">
        <v>2997</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2989</v>
      </c>
      <c r="C8" s="1654"/>
      <c r="D8" s="3232"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33"/>
      <c r="E9" s="1657"/>
      <c r="F9" s="1730"/>
      <c r="G9" s="1725"/>
      <c r="H9" s="1725"/>
      <c r="I9" s="1726"/>
      <c r="J9" s="1677"/>
      <c r="K9" s="1757"/>
      <c r="L9" s="1706"/>
      <c r="M9" s="1706"/>
      <c r="N9" s="1677"/>
      <c r="O9" s="1678"/>
      <c r="P9" s="1677"/>
      <c r="Q9" s="1677"/>
      <c r="R9" s="1677"/>
      <c r="S9" s="1677"/>
      <c r="T9" s="1677"/>
      <c r="U9" s="1677"/>
    </row>
    <row r="10" spans="1:21" ht="15" thickTop="1">
      <c r="A10" s="1727" t="s">
        <v>1996</v>
      </c>
      <c r="B10" s="1702" t="s">
        <v>1945</v>
      </c>
      <c r="C10" s="1659"/>
      <c r="D10" s="1650"/>
      <c r="E10" s="1660" t="s">
        <v>1946</v>
      </c>
      <c r="F10" s="1661" t="s">
        <v>2999</v>
      </c>
      <c r="G10" s="1728"/>
      <c r="H10" s="1729"/>
      <c r="I10" s="1650"/>
      <c r="J10" s="1677"/>
      <c r="K10" s="1757"/>
      <c r="L10" s="1706"/>
      <c r="M10" s="1706"/>
      <c r="N10" s="1677"/>
      <c r="O10" s="1678"/>
      <c r="P10" s="1677"/>
      <c r="Q10" s="1677"/>
      <c r="R10" s="1677"/>
      <c r="S10" s="1677"/>
      <c r="T10" s="1677"/>
      <c r="U10" s="1677"/>
    </row>
    <row r="11" spans="1:21" ht="28.5">
      <c r="A11" s="1680" t="s">
        <v>1997</v>
      </c>
      <c r="B11" s="1681" t="s">
        <v>3000</v>
      </c>
      <c r="C11" s="1662" t="str">
        <f>B7</f>
        <v>北京京投丰德房地产有限公司</v>
      </c>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29" t="s">
        <v>3146</v>
      </c>
      <c r="C12" s="3230"/>
      <c r="D12" s="3231"/>
      <c r="E12" s="1682" t="s">
        <v>2058</v>
      </c>
      <c r="F12" s="3247" t="s">
        <v>3004</v>
      </c>
      <c r="G12" s="3248"/>
      <c r="H12" s="3248"/>
      <c r="I12" s="3249"/>
      <c r="J12" s="1677"/>
      <c r="K12" s="1757"/>
      <c r="L12" s="1706"/>
      <c r="M12" s="1706"/>
      <c r="N12" s="1677"/>
      <c r="O12" s="1678"/>
      <c r="P12" s="1677"/>
      <c r="Q12" s="1677"/>
      <c r="R12" s="1677"/>
      <c r="S12" s="1677"/>
      <c r="T12" s="1677"/>
      <c r="U12" s="1677"/>
    </row>
    <row r="13" spans="1:21">
      <c r="A13" s="1670" t="s">
        <v>2056</v>
      </c>
      <c r="B13" s="3229" t="str">
        <f>B12</f>
        <v>城镇住宅用地、商务金融用地（商业、办公）</v>
      </c>
      <c r="C13" s="3230"/>
      <c r="D13" s="3231"/>
      <c r="E13" s="1682" t="s">
        <v>2058</v>
      </c>
      <c r="F13" s="3247" t="s">
        <v>3006</v>
      </c>
      <c r="G13" s="3248"/>
      <c r="H13" s="3248"/>
      <c r="I13" s="3249"/>
      <c r="J13" s="1677"/>
      <c r="K13" s="1757"/>
      <c r="L13" s="1706"/>
      <c r="M13" s="1706"/>
      <c r="N13" s="1677"/>
      <c r="O13" s="1678"/>
      <c r="P13" s="1677"/>
      <c r="Q13" s="1677"/>
      <c r="R13" s="1677"/>
      <c r="S13" s="1677"/>
      <c r="T13" s="1677"/>
      <c r="U13" s="1677"/>
    </row>
    <row r="14" spans="1:21">
      <c r="A14" s="1644" t="s">
        <v>2059</v>
      </c>
      <c r="B14" s="1682"/>
      <c r="C14" s="1828" t="s">
        <v>3001</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2984</v>
      </c>
      <c r="C16" s="1682" t="s">
        <v>1948</v>
      </c>
      <c r="D16" s="2609" t="s">
        <v>1949</v>
      </c>
      <c r="E16" s="1705" t="s">
        <v>3003</v>
      </c>
      <c r="F16" s="1705" t="s">
        <v>1677</v>
      </c>
      <c r="G16" s="1705"/>
      <c r="H16" s="1705"/>
      <c r="I16" s="1669" t="s">
        <v>1954</v>
      </c>
      <c r="J16" s="1677"/>
      <c r="K16" s="2419" t="str">
        <f>IF(D17="","",D16&amp;TEXT(D17,"yyyy年m月d日;;"))</f>
        <v>住宅2089年1月31日</v>
      </c>
      <c r="L16" s="1682" t="str">
        <f>IF(OR(K16="",M16=""),"","、")</f>
        <v>、</v>
      </c>
      <c r="M16" s="2419" t="str">
        <f>IF(E17="","",E16&amp;TEXT(E17,"yyyy年m月d日;;"))</f>
        <v>商业2059年1月31日</v>
      </c>
      <c r="N16" s="1682" t="str">
        <f>IF(OR(M16="",O16=""),"","、")</f>
        <v>、</v>
      </c>
      <c r="O16" s="2419" t="str">
        <f>IF(F17="","",F16&amp;TEXT(F17,"yyyy年m月d日;;"))</f>
        <v>办公2069年1月31日</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v>69064</v>
      </c>
      <c r="E17" s="1683">
        <v>58106</v>
      </c>
      <c r="F17" s="1683">
        <v>61759</v>
      </c>
      <c r="G17" s="1683"/>
      <c r="H17" s="1683"/>
      <c r="I17" s="1683"/>
      <c r="J17" s="1677"/>
      <c r="K17" s="2418" t="str">
        <f>CONCATENATE(K16,L16,M16,N16,O16,P16,Q16,R16,S16,T16,,U16)</f>
        <v>住宅2089年1月31日、商业2059年1月31日、办公2069年1月31日</v>
      </c>
      <c r="L17" s="1706"/>
      <c r="M17" s="1706"/>
      <c r="N17" s="1677"/>
      <c r="O17" s="1678"/>
      <c r="P17" s="1677"/>
      <c r="Q17" s="1677"/>
      <c r="R17" s="1677"/>
      <c r="S17" s="1677"/>
      <c r="T17" s="1677"/>
      <c r="U17" s="1677"/>
    </row>
    <row r="18" spans="1:21">
      <c r="A18" s="1746"/>
      <c r="B18" s="1665"/>
      <c r="C18" s="1666" t="s">
        <v>1956</v>
      </c>
      <c r="D18" s="1667">
        <v>70</v>
      </c>
      <c r="E18" s="1667">
        <v>40</v>
      </c>
      <c r="F18" s="1667">
        <v>50</v>
      </c>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69.260000000000005</v>
      </c>
      <c r="E19" s="1668">
        <f>IF(B16="出让",IF(E17="","",ROUNDDOWN(MIN((E17-$D$3)/365,E18),2)),E18)</f>
        <v>39.24</v>
      </c>
      <c r="F19" s="1668">
        <f>IF(B16="出让",IF(F17="","",ROUNDDOWN(MIN((F17-$D$3)/365,F18),2)),F18)</f>
        <v>49.25</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44"/>
      <c r="E20" s="3245"/>
      <c r="F20" s="3245"/>
      <c r="G20" s="3245"/>
      <c r="H20" s="3245"/>
      <c r="I20" s="3246"/>
      <c r="J20" s="1677"/>
      <c r="K20" s="1757"/>
      <c r="L20" s="1706"/>
      <c r="M20" s="1706"/>
      <c r="N20" s="1677"/>
      <c r="O20" s="1678"/>
      <c r="P20" s="1677"/>
      <c r="Q20" s="1677"/>
      <c r="R20" s="1677"/>
      <c r="S20" s="1677"/>
      <c r="T20" s="1677"/>
      <c r="U20" s="1677"/>
    </row>
    <row r="21" spans="1:21">
      <c r="A21" s="1746" t="s">
        <v>1958</v>
      </c>
      <c r="B21" s="1747" t="s">
        <v>1959</v>
      </c>
      <c r="C21" s="1742">
        <f>'数据-汇总表'!E3</f>
        <v>162338</v>
      </c>
      <c r="D21" s="1743" t="s">
        <v>1960</v>
      </c>
      <c r="E21" s="3234" t="s">
        <v>3005</v>
      </c>
      <c r="F21" s="3235"/>
      <c r="G21" s="3235"/>
      <c r="H21" s="3235"/>
      <c r="I21" s="3236"/>
      <c r="J21" s="1677"/>
      <c r="K21" s="1757"/>
      <c r="L21" s="1706"/>
      <c r="M21" s="1706"/>
      <c r="N21" s="1677"/>
      <c r="O21" s="1678"/>
      <c r="P21" s="1677"/>
      <c r="Q21" s="1677"/>
      <c r="R21" s="1677"/>
      <c r="S21" s="1677"/>
      <c r="T21" s="1677"/>
      <c r="U21" s="1677"/>
    </row>
    <row r="22" spans="1:21">
      <c r="A22" s="3095" t="s">
        <v>952</v>
      </c>
      <c r="B22" s="1644" t="s">
        <v>1961</v>
      </c>
      <c r="C22" s="1669">
        <f>'数据-汇总表'!D3</f>
        <v>52536.9</v>
      </c>
      <c r="D22" s="1670" t="s">
        <v>1960</v>
      </c>
      <c r="E22" s="3234" t="s">
        <v>3007</v>
      </c>
      <c r="F22" s="3235"/>
      <c r="G22" s="3235"/>
      <c r="H22" s="3235"/>
      <c r="I22" s="3236"/>
      <c r="J22" s="1677"/>
      <c r="K22" s="1757"/>
      <c r="L22" s="1706"/>
      <c r="M22" s="1706"/>
      <c r="N22" s="1677"/>
      <c r="O22" s="1678"/>
      <c r="P22" s="1677"/>
      <c r="Q22" s="1677"/>
      <c r="R22" s="1677"/>
      <c r="S22" s="1677"/>
      <c r="T22" s="1677"/>
      <c r="U22" s="1677"/>
    </row>
    <row r="23" spans="1:21" ht="29.25" thickBot="1">
      <c r="A23" s="1748" t="s">
        <v>1962</v>
      </c>
      <c r="B23" s="1684" t="s">
        <v>1963</v>
      </c>
      <c r="C23" s="1685" t="s">
        <v>3002</v>
      </c>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7" t="s">
        <v>1966</v>
      </c>
      <c r="C24" s="3238"/>
      <c r="D24" s="3239" t="s">
        <v>1967</v>
      </c>
      <c r="E24" s="3240"/>
      <c r="F24" s="1691" t="s">
        <v>1968</v>
      </c>
      <c r="G24" s="1677"/>
      <c r="H24" s="1677"/>
      <c r="I24" s="1690"/>
      <c r="J24" s="1677"/>
      <c r="K24" s="3225" t="s">
        <v>1969</v>
      </c>
      <c r="L24" s="242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6"/>
      <c r="N24" s="1677"/>
      <c r="O24" s="1678"/>
      <c r="P24" s="1677"/>
      <c r="Q24" s="1677"/>
      <c r="R24" s="1677"/>
      <c r="S24" s="1677"/>
      <c r="T24" s="1677"/>
      <c r="U24" s="1677"/>
    </row>
    <row r="25" spans="1:21" ht="28.5">
      <c r="A25" s="1734"/>
      <c r="B25" s="1731" t="s">
        <v>2322</v>
      </c>
      <c r="C25" s="1692" t="s">
        <v>2323</v>
      </c>
      <c r="D25" s="1693"/>
      <c r="E25" s="1694" t="s">
        <v>952</v>
      </c>
      <c r="F25" s="1695"/>
      <c r="G25" s="1677"/>
      <c r="H25" s="1677"/>
      <c r="I25" s="1690"/>
      <c r="J25" s="1677"/>
      <c r="K25" s="322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t="s">
        <v>952</v>
      </c>
      <c r="C26" s="1692" t="s">
        <v>2323</v>
      </c>
      <c r="D26" s="1643"/>
      <c r="E26" s="1643"/>
      <c r="F26" s="1671"/>
      <c r="G26" s="1677"/>
      <c r="H26" s="1677"/>
      <c r="I26" s="1690"/>
      <c r="J26" s="1677"/>
      <c r="K26" s="322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11" t="s">
        <v>1998</v>
      </c>
      <c r="B31" s="1747" t="s">
        <v>1999</v>
      </c>
      <c r="C31" s="3250" t="s">
        <v>3008</v>
      </c>
      <c r="D31" s="3251"/>
      <c r="E31" s="1677"/>
      <c r="F31" s="1677"/>
      <c r="G31" s="1677"/>
      <c r="H31" s="1677"/>
      <c r="I31" s="1690"/>
      <c r="J31" s="1677"/>
      <c r="K31" s="2421"/>
      <c r="L31" s="1677"/>
      <c r="M31" s="1677"/>
      <c r="N31" s="1677"/>
      <c r="O31" s="1677"/>
      <c r="P31" s="1677"/>
      <c r="Q31" s="1677"/>
      <c r="R31" s="1677"/>
      <c r="S31" s="1677"/>
      <c r="T31" s="1677"/>
      <c r="U31" s="1677"/>
    </row>
    <row r="32" spans="1:21">
      <c r="A32" s="3211"/>
      <c r="B32" s="1644" t="s">
        <v>2000</v>
      </c>
      <c r="C32" s="1702" t="s">
        <v>3009</v>
      </c>
      <c r="D32" s="1703"/>
      <c r="E32" s="1677"/>
      <c r="F32" s="1677"/>
      <c r="G32" s="1677"/>
      <c r="H32" s="1677"/>
      <c r="I32" s="1690"/>
      <c r="J32" s="1677"/>
      <c r="K32" s="2421"/>
      <c r="L32" s="1677"/>
      <c r="M32" s="1677"/>
      <c r="N32" s="1677"/>
      <c r="O32" s="1677"/>
      <c r="P32" s="1677"/>
      <c r="Q32" s="1677"/>
      <c r="R32" s="1677"/>
      <c r="S32" s="1677"/>
      <c r="T32" s="1677"/>
      <c r="U32" s="1677"/>
    </row>
    <row r="33" spans="1:21">
      <c r="A33" s="3211"/>
      <c r="B33" s="1644" t="s">
        <v>2001</v>
      </c>
      <c r="C33" s="1704" t="s">
        <v>3002</v>
      </c>
      <c r="D33" s="1821"/>
      <c r="E33" s="1677"/>
      <c r="F33" s="1677"/>
      <c r="G33" s="1677"/>
      <c r="H33" s="1677"/>
      <c r="I33" s="1690"/>
      <c r="J33" s="1677"/>
      <c r="K33" s="2421"/>
      <c r="L33" s="1677"/>
      <c r="M33" s="1677"/>
      <c r="N33" s="1677"/>
      <c r="O33" s="1677"/>
      <c r="P33" s="1677"/>
      <c r="Q33" s="1677"/>
      <c r="R33" s="1677"/>
      <c r="S33" s="1677"/>
      <c r="T33" s="1677"/>
      <c r="U33" s="1677"/>
    </row>
    <row r="34" spans="1:21">
      <c r="A34" s="3212"/>
      <c r="B34" s="1644" t="s">
        <v>2002</v>
      </c>
      <c r="C34" s="3213"/>
      <c r="D34" s="3214"/>
      <c r="E34" s="1677"/>
      <c r="F34" s="1677"/>
      <c r="G34" s="1677"/>
      <c r="H34" s="1677"/>
      <c r="I34" s="1690"/>
      <c r="J34" s="1677"/>
      <c r="K34" s="2421"/>
      <c r="L34" s="1677"/>
      <c r="M34" s="1677"/>
      <c r="N34" s="1677"/>
      <c r="O34" s="1677"/>
      <c r="P34" s="1677"/>
      <c r="Q34" s="1677"/>
      <c r="R34" s="1677"/>
      <c r="S34" s="1677"/>
      <c r="T34" s="1677"/>
      <c r="U34" s="1677"/>
    </row>
    <row r="35" spans="1:21">
      <c r="A35" s="3215" t="s">
        <v>847</v>
      </c>
      <c r="B35" s="1705" t="s">
        <v>3010</v>
      </c>
      <c r="C35" s="1759" t="str">
        <f>IF(B35="场地平整","——","具体情况：")</f>
        <v>——</v>
      </c>
      <c r="D35" s="3217"/>
      <c r="E35" s="3218"/>
      <c r="F35" s="3218"/>
      <c r="G35" s="3218"/>
      <c r="H35" s="3218"/>
      <c r="I35" s="3219"/>
      <c r="J35" s="1677"/>
      <c r="K35" s="1758"/>
      <c r="L35" s="1706"/>
      <c r="M35" s="1706"/>
      <c r="N35" s="1677"/>
      <c r="O35" s="1678"/>
      <c r="P35" s="1677"/>
      <c r="Q35" s="1677"/>
      <c r="R35" s="1677"/>
      <c r="S35" s="1677"/>
      <c r="T35" s="1677"/>
      <c r="U35" s="1677"/>
    </row>
    <row r="36" spans="1:21">
      <c r="A36" s="3211"/>
      <c r="B36" s="3220" t="s">
        <v>2051</v>
      </c>
      <c r="C36" s="3221"/>
      <c r="D36" s="1775" t="s">
        <v>3011</v>
      </c>
      <c r="E36" s="3222"/>
      <c r="F36" s="3222"/>
      <c r="G36" s="1670" t="str">
        <f>IF(B35="场地未平整","估价结果处理","")</f>
        <v/>
      </c>
      <c r="H36" s="3223"/>
      <c r="I36" s="3223"/>
      <c r="J36" s="1677"/>
      <c r="K36" s="1758"/>
      <c r="L36" s="1706"/>
      <c r="M36" s="1706"/>
      <c r="N36" s="1677"/>
      <c r="O36" s="1678"/>
      <c r="P36" s="1677"/>
      <c r="Q36" s="1677"/>
      <c r="R36" s="1677"/>
      <c r="S36" s="1677"/>
      <c r="T36" s="1677"/>
      <c r="U36" s="1677"/>
    </row>
    <row r="37" spans="1:21">
      <c r="A37" s="3211"/>
      <c r="B37" s="3241" t="s">
        <v>848</v>
      </c>
      <c r="C37" s="1707" t="s">
        <v>849</v>
      </c>
      <c r="D37" s="1708">
        <v>43856</v>
      </c>
      <c r="E37" s="1709"/>
      <c r="F37" s="1677"/>
      <c r="G37" s="1677"/>
      <c r="H37" s="1677"/>
      <c r="I37" s="1690"/>
      <c r="J37" s="1677"/>
      <c r="K37" s="1758"/>
      <c r="L37" s="1677"/>
      <c r="M37" s="1677"/>
      <c r="N37" s="1677"/>
      <c r="O37" s="1677"/>
      <c r="P37" s="1677"/>
      <c r="Q37" s="1677"/>
      <c r="R37" s="1677"/>
      <c r="S37" s="1677"/>
      <c r="T37" s="1677"/>
      <c r="U37" s="1677"/>
    </row>
    <row r="38" spans="1:21">
      <c r="A38" s="3211"/>
      <c r="B38" s="3242"/>
      <c r="C38" s="1652" t="s">
        <v>850</v>
      </c>
      <c r="D38" s="1774">
        <f>ROUNDDOWN(MIN(('数据-取费表'!$B$2-D37)/365,D34),1)</f>
        <v>-0.2</v>
      </c>
      <c r="E38" s="1710" t="s">
        <v>851</v>
      </c>
      <c r="F38" s="1677"/>
      <c r="G38" s="1677"/>
      <c r="H38" s="1677"/>
      <c r="I38" s="1690"/>
      <c r="J38" s="1677"/>
      <c r="K38" s="1758"/>
      <c r="L38" s="1677"/>
      <c r="M38" s="1677"/>
      <c r="N38" s="1677"/>
      <c r="O38" s="1677"/>
      <c r="P38" s="1677"/>
      <c r="Q38" s="1677"/>
      <c r="R38" s="1677"/>
      <c r="S38" s="1677"/>
      <c r="T38" s="1677"/>
      <c r="U38" s="1677"/>
    </row>
    <row r="39" spans="1:21">
      <c r="A39" s="3212"/>
      <c r="B39" s="3243"/>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3012</v>
      </c>
      <c r="C40" s="1673" t="s">
        <v>3013</v>
      </c>
      <c r="D40" s="1673" t="s">
        <v>3014</v>
      </c>
      <c r="E40" s="1673" t="s">
        <v>3015</v>
      </c>
      <c r="F40" s="1673" t="s">
        <v>3016</v>
      </c>
      <c r="G40" s="1673"/>
      <c r="H40" s="1673"/>
      <c r="I40" s="1690"/>
      <c r="J40" s="1677"/>
      <c r="K40" s="1713">
        <f>COUNTIF(B40:H40,"——")</f>
        <v>0</v>
      </c>
      <c r="L40" s="1682" t="s">
        <v>1976</v>
      </c>
      <c r="M40" s="1679" t="s">
        <v>1977</v>
      </c>
      <c r="N40" s="1679" t="s">
        <v>1978</v>
      </c>
      <c r="O40" s="1679" t="s">
        <v>1979</v>
      </c>
      <c r="P40" s="1679" t="s">
        <v>1980</v>
      </c>
      <c r="Q40" s="1679" t="s">
        <v>1981</v>
      </c>
      <c r="R40" s="1679" t="s">
        <v>1982</v>
      </c>
      <c r="S40" s="3224" t="s">
        <v>1983</v>
      </c>
      <c r="T40" s="1714" t="str">
        <f>NUMBERSTRING(7-K40,1)&amp;"通"</f>
        <v>七通</v>
      </c>
      <c r="U40" s="1677"/>
    </row>
    <row r="41" spans="1:21">
      <c r="A41" s="1646"/>
      <c r="B41" s="3216" t="s">
        <v>1721</v>
      </c>
      <c r="C41" s="3216"/>
      <c r="D41" s="3216"/>
      <c r="E41" s="3216"/>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v>
      </c>
      <c r="R41" s="1717" t="str">
        <f>B40&amp;"、"&amp;C40&amp;"、"&amp;D40&amp;"、"&amp;E40&amp;"、"&amp;F40&amp;"、"&amp;G40&amp;"、"&amp;H40</f>
        <v>通路、通电、通讯、通上水、通下水、、</v>
      </c>
      <c r="S41" s="3224"/>
      <c r="T41" s="1716" t="str">
        <f>IF(T40="一通",L41,IF(T40="二通",M41,IF(T40="三通",N41,IF(T40="四通",O41,IF(T40="五通",P41,IF(T40="六通",Q41,R41))))))</f>
        <v>通路、通电、通讯、通上水、通下水、、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1409</v>
      </c>
      <c r="C43" s="1721" t="s">
        <v>1409</v>
      </c>
      <c r="D43" s="1721" t="s">
        <v>1409</v>
      </c>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2886</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3"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5" sqref="AD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15916.06+24120.84+6292.28+6207.72</f>
        <v>52536.9</v>
      </c>
      <c r="B3" s="22">
        <f>IF(C3="否",G5-AT5,G5)</f>
        <v>162338</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162338</v>
      </c>
      <c r="H5" s="27">
        <f t="shared" ref="H5:AT5" si="0">SUM(H13:H641)</f>
        <v>148872</v>
      </c>
      <c r="I5" s="27">
        <f t="shared" si="0"/>
        <v>87847</v>
      </c>
      <c r="J5" s="27">
        <f t="shared" si="0"/>
        <v>0</v>
      </c>
      <c r="K5" s="27">
        <f t="shared" si="0"/>
        <v>14150</v>
      </c>
      <c r="L5" s="27">
        <f t="shared" si="0"/>
        <v>0</v>
      </c>
      <c r="M5" s="27">
        <f t="shared" si="0"/>
        <v>125</v>
      </c>
      <c r="N5" s="27">
        <f t="shared" si="0"/>
        <v>0</v>
      </c>
      <c r="O5" s="27">
        <f t="shared" si="0"/>
        <v>46750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13466</v>
      </c>
      <c r="AD5" s="27">
        <f t="shared" si="0"/>
        <v>13466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162338</v>
      </c>
      <c r="BA5" s="29">
        <f t="shared" si="1"/>
        <v>148872</v>
      </c>
      <c r="BB5" s="29">
        <f t="shared" si="1"/>
        <v>87847</v>
      </c>
      <c r="BC5" s="29">
        <f t="shared" si="1"/>
        <v>14150</v>
      </c>
      <c r="BD5" s="29">
        <f t="shared" si="1"/>
        <v>125</v>
      </c>
      <c r="BE5" s="29">
        <f t="shared" si="1"/>
        <v>46750</v>
      </c>
      <c r="BF5" s="29">
        <f t="shared" si="1"/>
        <v>0</v>
      </c>
      <c r="BG5" s="29">
        <f t="shared" si="1"/>
        <v>0</v>
      </c>
      <c r="BH5" s="29">
        <f t="shared" si="1"/>
        <v>0</v>
      </c>
      <c r="BI5" s="29">
        <f t="shared" si="1"/>
        <v>0</v>
      </c>
      <c r="BJ5" s="29">
        <f t="shared" si="1"/>
        <v>0</v>
      </c>
      <c r="BK5" s="29">
        <f t="shared" si="1"/>
        <v>0</v>
      </c>
      <c r="BL5" s="29">
        <f t="shared" si="1"/>
        <v>13466</v>
      </c>
      <c r="BM5" s="29">
        <f t="shared" si="1"/>
        <v>13466</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52536.899999999994</v>
      </c>
      <c r="F6" s="27" t="s">
        <v>1</v>
      </c>
      <c r="G6" s="27" t="s">
        <v>2</v>
      </c>
      <c r="H6" s="33">
        <f>SUMIF(I$12:AB$12,"总值",I6:AB6)</f>
        <v>48178.939999999995</v>
      </c>
      <c r="I6" s="27">
        <f t="shared" ref="I6:AB6" si="2">ROUND($A$3*I5/$B$3,2)</f>
        <v>28429.63</v>
      </c>
      <c r="J6" s="27">
        <f t="shared" si="2"/>
        <v>0</v>
      </c>
      <c r="K6" s="27">
        <f t="shared" si="2"/>
        <v>4579.32</v>
      </c>
      <c r="L6" s="27">
        <f t="shared" si="2"/>
        <v>0</v>
      </c>
      <c r="M6" s="27">
        <f t="shared" si="2"/>
        <v>40.450000000000003</v>
      </c>
      <c r="N6" s="27">
        <f t="shared" si="2"/>
        <v>0</v>
      </c>
      <c r="O6" s="27">
        <f t="shared" si="2"/>
        <v>15129.54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4357.96</v>
      </c>
      <c r="AD6" s="27">
        <f t="shared" ref="AD6:AS6" si="3">ROUND($A$3*AD5/$B$3,2)</f>
        <v>4357.96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52536.9</v>
      </c>
      <c r="AZ6" s="27" t="s">
        <v>3</v>
      </c>
      <c r="BA6" s="27">
        <f>ROUND($AY$6*BA5/$AZ$5,2)</f>
        <v>48178.94</v>
      </c>
      <c r="BB6" s="27">
        <f>ROUND($AY$6*BB5/$AZ$5,2)</f>
        <v>28429.63</v>
      </c>
      <c r="BC6" s="27">
        <f t="shared" ref="BC6:BH6" si="4">ROUND($AY$6*BC5/$AZ$5,2)</f>
        <v>4579.32</v>
      </c>
      <c r="BD6" s="27">
        <f t="shared" si="4"/>
        <v>40.450000000000003</v>
      </c>
      <c r="BE6" s="27">
        <f t="shared" si="4"/>
        <v>15129.54</v>
      </c>
      <c r="BF6" s="27">
        <f t="shared" si="4"/>
        <v>0</v>
      </c>
      <c r="BG6" s="27">
        <f t="shared" si="4"/>
        <v>0</v>
      </c>
      <c r="BH6" s="27">
        <f t="shared" si="4"/>
        <v>0</v>
      </c>
      <c r="BI6" s="27">
        <f t="shared" ref="BI6:BT6" si="5">ROUND($AY$6*BI5/$AZ$5,2)</f>
        <v>0</v>
      </c>
      <c r="BJ6" s="27">
        <f t="shared" si="5"/>
        <v>0</v>
      </c>
      <c r="BK6" s="27">
        <f t="shared" si="5"/>
        <v>0</v>
      </c>
      <c r="BL6" s="27">
        <f t="shared" si="5"/>
        <v>4357.96</v>
      </c>
      <c r="BM6" s="27">
        <f t="shared" si="5"/>
        <v>4357.96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3023</v>
      </c>
      <c r="J9" s="51"/>
      <c r="K9" s="2970" t="s">
        <v>3023</v>
      </c>
      <c r="L9" s="51"/>
      <c r="M9" s="2970" t="s">
        <v>3023</v>
      </c>
      <c r="N9" s="51"/>
      <c r="O9" s="59" t="s">
        <v>3023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923</v>
      </c>
      <c r="L10" s="51"/>
      <c r="M10" s="2972" t="s">
        <v>3003</v>
      </c>
      <c r="N10" s="51"/>
      <c r="O10" s="66" t="s">
        <v>3003</v>
      </c>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3026</v>
      </c>
      <c r="J11" s="71"/>
      <c r="K11" s="2971" t="s">
        <v>3026</v>
      </c>
      <c r="L11" s="71"/>
      <c r="M11" s="70" t="s">
        <v>3025</v>
      </c>
      <c r="N11" s="71"/>
      <c r="O11" s="70" t="s">
        <v>3024</v>
      </c>
      <c r="P11" s="71"/>
      <c r="Q11" s="70"/>
      <c r="R11" s="71"/>
      <c r="S11" s="70"/>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商业</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普通住宅</v>
      </c>
      <c r="BD12" s="79" t="str">
        <f>M11</f>
        <v>底商</v>
      </c>
      <c r="BE12" s="50" t="str">
        <f>O11</f>
        <v>独立商业</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t="s">
        <v>3019</v>
      </c>
      <c r="D13" s="2966" t="s">
        <v>1678</v>
      </c>
      <c r="E13" s="27">
        <f t="shared" ref="E13:E20" si="6">IF($C$3="是",ROUND($A$3*G13/$B$3,2),ROUND($A$3*(G13-AT13)/$B$3,2))</f>
        <v>32787.58</v>
      </c>
      <c r="F13" s="81"/>
      <c r="G13" s="82">
        <f t="shared" ref="G13:G20" si="7">H13+AC13+AT13</f>
        <v>101313</v>
      </c>
      <c r="H13" s="33">
        <f t="shared" ref="H13:H20" si="8">SUMIF(I$12:AB$12,"总值",I13:AB13)</f>
        <v>87847</v>
      </c>
      <c r="I13" s="2969">
        <f>101997-K14</f>
        <v>87847</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13466</v>
      </c>
      <c r="AD13" s="2973">
        <f>7000+1500+1200+406+3360</f>
        <v>13466</v>
      </c>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商品住宅</v>
      </c>
      <c r="AY13" s="996">
        <f t="shared" ref="AY13:AY20" si="11">ROUND($AY$6*AZ13/$AZ$5,2)</f>
        <v>32787.58</v>
      </c>
      <c r="AZ13" s="27">
        <f t="shared" ref="AZ13:AZ20" si="12">BA13+BL13</f>
        <v>101313</v>
      </c>
      <c r="BA13" s="27">
        <f t="shared" ref="BA13:BA20" si="13">SUM(BB13:BK13)</f>
        <v>87847</v>
      </c>
      <c r="BB13" s="27">
        <f t="shared" ref="BB13:BB20" si="14">IF($D13="是",I13-J13,0)</f>
        <v>87847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13466</v>
      </c>
      <c r="BM13" s="27">
        <f t="shared" ref="BM13:BM20" si="25">IF($D13="是",AD13-AE13,0)</f>
        <v>13466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t="s">
        <v>3018</v>
      </c>
      <c r="D14" s="2966" t="s">
        <v>1678</v>
      </c>
      <c r="E14" s="27">
        <f t="shared" si="6"/>
        <v>4579.32</v>
      </c>
      <c r="F14" s="81"/>
      <c r="G14" s="82">
        <f t="shared" si="7"/>
        <v>14150</v>
      </c>
      <c r="H14" s="33">
        <f t="shared" si="8"/>
        <v>14150</v>
      </c>
      <c r="I14" s="2969"/>
      <c r="J14" s="2969"/>
      <c r="K14" s="2969">
        <v>14150</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回迁房</v>
      </c>
      <c r="AY14" s="996">
        <f t="shared" si="11"/>
        <v>4579.32</v>
      </c>
      <c r="AZ14" s="27">
        <f t="shared" si="12"/>
        <v>14150</v>
      </c>
      <c r="BA14" s="27">
        <f t="shared" si="13"/>
        <v>14150</v>
      </c>
      <c r="BB14" s="27">
        <f t="shared" si="14"/>
        <v>0</v>
      </c>
      <c r="BC14" s="27">
        <f t="shared" si="15"/>
        <v>14150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t="s">
        <v>3022</v>
      </c>
      <c r="D15" s="2966" t="s">
        <v>1678</v>
      </c>
      <c r="E15" s="27">
        <f t="shared" si="6"/>
        <v>40.450000000000003</v>
      </c>
      <c r="F15" s="81"/>
      <c r="G15" s="82">
        <f t="shared" si="7"/>
        <v>125</v>
      </c>
      <c r="H15" s="33">
        <f t="shared" si="8"/>
        <v>125</v>
      </c>
      <c r="I15" s="2969"/>
      <c r="J15" s="2969"/>
      <c r="K15" s="2969"/>
      <c r="L15" s="2969"/>
      <c r="M15" s="2969">
        <f>46875-O16</f>
        <v>125</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可售商业</v>
      </c>
      <c r="AY15" s="996">
        <f t="shared" si="11"/>
        <v>40.450000000000003</v>
      </c>
      <c r="AZ15" s="27">
        <f t="shared" si="12"/>
        <v>125</v>
      </c>
      <c r="BA15" s="27">
        <f t="shared" si="13"/>
        <v>125</v>
      </c>
      <c r="BB15" s="27">
        <f t="shared" si="14"/>
        <v>0</v>
      </c>
      <c r="BC15" s="27">
        <f t="shared" si="15"/>
        <v>0</v>
      </c>
      <c r="BD15" s="27">
        <f t="shared" si="16"/>
        <v>125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t="s">
        <v>3021</v>
      </c>
      <c r="D16" s="2966" t="s">
        <v>1678</v>
      </c>
      <c r="E16" s="27">
        <f t="shared" si="6"/>
        <v>15129.54</v>
      </c>
      <c r="F16" s="81"/>
      <c r="G16" s="82">
        <f t="shared" si="7"/>
        <v>46750</v>
      </c>
      <c r="H16" s="33">
        <f t="shared" si="8"/>
        <v>46750</v>
      </c>
      <c r="I16" s="2969"/>
      <c r="J16" s="2969"/>
      <c r="K16" s="2969"/>
      <c r="L16" s="2969"/>
      <c r="M16" s="2969"/>
      <c r="N16" s="83"/>
      <c r="O16" s="83">
        <v>46750</v>
      </c>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t="str">
        <f t="shared" si="10"/>
        <v>还建商业</v>
      </c>
      <c r="AY16" s="996">
        <f t="shared" si="11"/>
        <v>15129.54</v>
      </c>
      <c r="AZ16" s="27">
        <f t="shared" si="12"/>
        <v>46750</v>
      </c>
      <c r="BA16" s="27">
        <f t="shared" si="13"/>
        <v>46750</v>
      </c>
      <c r="BB16" s="27">
        <f t="shared" si="14"/>
        <v>0</v>
      </c>
      <c r="BC16" s="27">
        <f t="shared" si="15"/>
        <v>0</v>
      </c>
      <c r="BD16" s="27">
        <f t="shared" si="16"/>
        <v>0</v>
      </c>
      <c r="BE16" s="27">
        <f t="shared" si="17"/>
        <v>46750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Normal="100" zoomScaleSheetLayoutView="90" zoomScalePageLayoutView="150" workbookViewId="0">
      <selection activeCell="E8" sqref="E8"/>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63" t="s">
        <v>203</v>
      </c>
      <c r="B2" s="3263"/>
      <c r="C2" s="3263"/>
      <c r="D2" s="1959" t="s">
        <v>204</v>
      </c>
      <c r="E2" s="106" t="s">
        <v>205</v>
      </c>
      <c r="F2" s="1968"/>
      <c r="G2" s="1194"/>
      <c r="H2" s="1195"/>
      <c r="I2" s="1196" t="s">
        <v>857</v>
      </c>
      <c r="J2" s="1968"/>
      <c r="K2" s="1968"/>
      <c r="L2" s="1968"/>
    </row>
    <row r="3" spans="1:16" ht="15.75" thickBot="1">
      <c r="A3" s="3264" t="s">
        <v>206</v>
      </c>
      <c r="B3" s="3264"/>
      <c r="C3" s="3264"/>
      <c r="D3" s="107">
        <f>'数据-基础表'!AY6</f>
        <v>52536.9</v>
      </c>
      <c r="E3" s="107">
        <f>'数据-基础表'!AZ5</f>
        <v>162338</v>
      </c>
      <c r="F3" s="1968"/>
      <c r="G3" s="280" t="s">
        <v>858</v>
      </c>
      <c r="H3" s="275" t="s">
        <v>859</v>
      </c>
      <c r="I3" s="1960">
        <f>ROUND('数据-基础表'!B3/'数据-基础表'!A3,2)</f>
        <v>3.09</v>
      </c>
      <c r="J3" s="1968"/>
      <c r="K3" s="1968"/>
      <c r="L3" s="1968"/>
    </row>
    <row r="4" spans="1:16" ht="15">
      <c r="A4" s="3265"/>
      <c r="B4" s="3266"/>
      <c r="C4" s="3267"/>
      <c r="D4" s="108" t="s">
        <v>204</v>
      </c>
      <c r="E4" s="109" t="s">
        <v>205</v>
      </c>
      <c r="F4" s="1968"/>
      <c r="G4" s="1197"/>
      <c r="H4" s="275" t="s">
        <v>860</v>
      </c>
      <c r="I4" s="1960">
        <f>ROUND(SUMIF('数据-基础表'!I9:AS9,"地上",'数据-基础表'!I5:AS5)/'数据-基础表'!A3,2)</f>
        <v>3.09</v>
      </c>
      <c r="J4" s="1968"/>
      <c r="K4" s="1968"/>
      <c r="L4" s="1968"/>
    </row>
    <row r="5" spans="1:16">
      <c r="A5" s="110" t="s">
        <v>207</v>
      </c>
      <c r="B5" s="3268" t="s">
        <v>230</v>
      </c>
      <c r="C5" s="3268"/>
      <c r="D5" s="111">
        <f>ROUND($D$3*E5/$E$3,2)</f>
        <v>33008.949999999997</v>
      </c>
      <c r="E5" s="112">
        <f>SUMIF('数据-基础表'!$11:$11,"住宅",'数据-基础表'!$5:$5)</f>
        <v>101997</v>
      </c>
      <c r="F5" s="1968"/>
      <c r="G5" s="280" t="s">
        <v>861</v>
      </c>
      <c r="H5" s="275" t="s">
        <v>859</v>
      </c>
      <c r="I5" s="1960">
        <f>ROUND(E31/D31,2)</f>
        <v>3.09</v>
      </c>
      <c r="J5" s="1968"/>
      <c r="K5" s="1968"/>
      <c r="L5" s="1968"/>
    </row>
    <row r="6" spans="1:16" ht="15" thickBot="1">
      <c r="A6" s="113"/>
      <c r="B6" s="3268" t="s">
        <v>208</v>
      </c>
      <c r="C6" s="3268"/>
      <c r="D6" s="111">
        <f>ROUND($D$3*E6/$E$3,2)</f>
        <v>19527.95</v>
      </c>
      <c r="E6" s="112">
        <f>E3-E5</f>
        <v>60341</v>
      </c>
      <c r="F6" s="1968"/>
      <c r="G6" s="1197"/>
      <c r="H6" s="275" t="s">
        <v>860</v>
      </c>
      <c r="I6" s="1960">
        <f>ROUND(F31/D31,2)</f>
        <v>3.09</v>
      </c>
      <c r="J6" s="1968"/>
      <c r="K6" s="1968"/>
      <c r="L6" s="1968"/>
    </row>
    <row r="7" spans="1:16" ht="15">
      <c r="A7" s="3260"/>
      <c r="B7" s="3261"/>
      <c r="C7" s="3262"/>
      <c r="D7" s="108" t="s">
        <v>204</v>
      </c>
      <c r="E7" s="114" t="s">
        <v>231</v>
      </c>
      <c r="F7" s="1968"/>
      <c r="G7" s="1152" t="s">
        <v>1645</v>
      </c>
      <c r="H7" s="1153"/>
      <c r="I7" s="1830"/>
      <c r="J7" s="1968"/>
      <c r="K7" s="1968"/>
      <c r="L7" s="1968"/>
    </row>
    <row r="8" spans="1:16">
      <c r="A8" s="110" t="s">
        <v>209</v>
      </c>
      <c r="B8" s="115" t="s">
        <v>210</v>
      </c>
      <c r="C8" s="111" t="s">
        <v>211</v>
      </c>
      <c r="D8" s="111">
        <f t="shared" ref="D8:D15" si="0">ROUND($D$3*E8/$E$3,2)</f>
        <v>48178.94</v>
      </c>
      <c r="E8" s="116">
        <f>SUMIF('数据-基础表'!BB10:BK10,"地上",'数据-基础表'!BB5:BK5)</f>
        <v>148872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48178.94</v>
      </c>
      <c r="E16" s="120">
        <f>SUM(E8:E15)</f>
        <v>148872</v>
      </c>
      <c r="F16" s="1968"/>
      <c r="G16" s="1970"/>
      <c r="H16" s="968" t="s">
        <v>219</v>
      </c>
      <c r="I16" s="969"/>
      <c r="J16" s="1968"/>
      <c r="K16" s="3254" t="s">
        <v>2563</v>
      </c>
      <c r="L16" s="3255"/>
      <c r="M16" s="3255"/>
      <c r="N16" s="3255"/>
      <c r="O16" s="3255"/>
      <c r="P16" s="3256"/>
    </row>
    <row r="17" spans="1:19" ht="15">
      <c r="A17" s="121" t="s">
        <v>216</v>
      </c>
      <c r="B17" s="122" t="s">
        <v>217</v>
      </c>
      <c r="C17" s="2282" t="s">
        <v>2310</v>
      </c>
      <c r="D17" s="108" t="s">
        <v>204</v>
      </c>
      <c r="E17" s="124" t="s">
        <v>205</v>
      </c>
      <c r="F17" s="125"/>
      <c r="G17" s="1361"/>
      <c r="H17" s="970" t="s">
        <v>218</v>
      </c>
      <c r="I17" s="971" t="s">
        <v>2309</v>
      </c>
      <c r="J17" s="1968"/>
      <c r="K17" s="3257" t="s">
        <v>2564</v>
      </c>
      <c r="L17" s="3258"/>
      <c r="M17" s="3259"/>
      <c r="N17" s="3257" t="s">
        <v>2565</v>
      </c>
      <c r="O17" s="3258"/>
      <c r="P17" s="3259"/>
      <c r="R17" s="2283" t="s">
        <v>2308</v>
      </c>
      <c r="S17" s="144"/>
    </row>
    <row r="18" spans="1:19" ht="15">
      <c r="A18" s="117"/>
      <c r="B18" s="128"/>
      <c r="C18" s="129"/>
      <c r="D18" s="2605"/>
      <c r="E18" s="130" t="s">
        <v>220</v>
      </c>
      <c r="F18" s="131" t="s">
        <v>221</v>
      </c>
      <c r="G18" s="1362" t="s">
        <v>222</v>
      </c>
      <c r="H18" s="972" t="s">
        <v>223</v>
      </c>
      <c r="I18" s="973" t="s">
        <v>224</v>
      </c>
      <c r="J18" s="1968"/>
      <c r="K18" s="2568" t="s">
        <v>2566</v>
      </c>
      <c r="L18" s="2569" t="s">
        <v>2567</v>
      </c>
      <c r="M18" s="2570" t="s">
        <v>2568</v>
      </c>
      <c r="N18" s="2568" t="s">
        <v>2566</v>
      </c>
      <c r="O18" s="2569" t="s">
        <v>2567</v>
      </c>
      <c r="P18" s="2570" t="s">
        <v>2568</v>
      </c>
      <c r="R18" s="2284" t="s">
        <v>2306</v>
      </c>
      <c r="S18" s="2284" t="s">
        <v>2307</v>
      </c>
    </row>
    <row r="19" spans="1:19">
      <c r="A19" s="133"/>
      <c r="B19" s="115" t="s">
        <v>225</v>
      </c>
      <c r="C19" s="2976" t="s">
        <v>3027</v>
      </c>
      <c r="D19" s="111">
        <f t="shared" ref="D19:D26" si="1">ROUND($D$3*E19/$E$3,2)</f>
        <v>28429.63</v>
      </c>
      <c r="E19" s="134">
        <f t="shared" ref="E19:E26" si="2">SUM(F19:G19)</f>
        <v>87847</v>
      </c>
      <c r="F19" s="135">
        <f>'数据-基础表'!I13</f>
        <v>87847</v>
      </c>
      <c r="G19" s="1363"/>
      <c r="H19" s="974">
        <f>ROUND($D$3*I19/$E$3,2)</f>
        <v>4357.96</v>
      </c>
      <c r="I19" s="116">
        <f>IF($I$17="自定义",P19,M19)</f>
        <v>13466</v>
      </c>
      <c r="J19" s="1968"/>
      <c r="K19" s="2571">
        <f t="shared" ref="K19:K26" si="3">ROUND(E$28*E19/E$27,2)</f>
        <v>0</v>
      </c>
      <c r="L19" s="275">
        <f t="shared" ref="L19:L26" si="4">ROUND(IF(COUNTIF(C19,"*住宅*")&gt;0,E$29*E19/E$32,0),2)</f>
        <v>13466</v>
      </c>
      <c r="M19" s="2572">
        <f>K19+L19</f>
        <v>13466</v>
      </c>
      <c r="N19" s="2573"/>
      <c r="O19" s="2574"/>
      <c r="P19" s="2575">
        <f>N19+O19</f>
        <v>0</v>
      </c>
      <c r="R19" s="275">
        <f t="shared" ref="R19:S26" si="5">D19+H19</f>
        <v>32787.590000000004</v>
      </c>
      <c r="S19" s="2285">
        <f t="shared" si="5"/>
        <v>101313</v>
      </c>
    </row>
    <row r="20" spans="1:19">
      <c r="A20" s="138"/>
      <c r="B20" s="115" t="s">
        <v>226</v>
      </c>
      <c r="C20" s="2976" t="s">
        <v>3028</v>
      </c>
      <c r="D20" s="111">
        <f t="shared" si="1"/>
        <v>40.450000000000003</v>
      </c>
      <c r="E20" s="134">
        <f t="shared" si="2"/>
        <v>125</v>
      </c>
      <c r="F20" s="135">
        <f>'数据-基础表'!M15</f>
        <v>125</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40.450000000000003</v>
      </c>
      <c r="S20" s="2285">
        <f t="shared" si="5"/>
        <v>125</v>
      </c>
    </row>
    <row r="21" spans="1:19">
      <c r="A21" s="138"/>
      <c r="B21" s="115" t="s">
        <v>226</v>
      </c>
      <c r="C21" s="2976" t="s">
        <v>3029</v>
      </c>
      <c r="D21" s="111">
        <f t="shared" si="1"/>
        <v>15129.54</v>
      </c>
      <c r="E21" s="134">
        <f t="shared" si="2"/>
        <v>46750</v>
      </c>
      <c r="F21" s="135">
        <f>'数据-基础表'!O16</f>
        <v>46750</v>
      </c>
      <c r="G21" s="1363"/>
      <c r="H21" s="974">
        <f t="shared" si="6"/>
        <v>0</v>
      </c>
      <c r="I21" s="116">
        <f t="shared" si="7"/>
        <v>0</v>
      </c>
      <c r="J21" s="1968"/>
      <c r="K21" s="2571">
        <f t="shared" si="3"/>
        <v>0</v>
      </c>
      <c r="L21" s="275">
        <f t="shared" si="4"/>
        <v>0</v>
      </c>
      <c r="M21" s="2572">
        <f t="shared" si="8"/>
        <v>0</v>
      </c>
      <c r="N21" s="2573"/>
      <c r="O21" s="2574"/>
      <c r="P21" s="2575">
        <f t="shared" si="9"/>
        <v>0</v>
      </c>
      <c r="R21" s="275">
        <f t="shared" si="5"/>
        <v>15129.54</v>
      </c>
      <c r="S21" s="2285">
        <f t="shared" si="5"/>
        <v>46750</v>
      </c>
    </row>
    <row r="22" spans="1:19">
      <c r="A22" s="138"/>
      <c r="B22" s="115" t="s">
        <v>226</v>
      </c>
      <c r="C22" s="3181" t="s">
        <v>3030</v>
      </c>
      <c r="D22" s="111">
        <f t="shared" si="1"/>
        <v>4579.32</v>
      </c>
      <c r="E22" s="134">
        <f t="shared" si="2"/>
        <v>14150</v>
      </c>
      <c r="F22" s="140">
        <f>'数据-基础表'!K14</f>
        <v>14150</v>
      </c>
      <c r="G22" s="1364"/>
      <c r="H22" s="974">
        <f t="shared" si="6"/>
        <v>0</v>
      </c>
      <c r="I22" s="116">
        <f t="shared" si="7"/>
        <v>0</v>
      </c>
      <c r="J22" s="1968"/>
      <c r="K22" s="2571">
        <f t="shared" si="3"/>
        <v>0</v>
      </c>
      <c r="L22" s="275">
        <f t="shared" si="4"/>
        <v>0</v>
      </c>
      <c r="M22" s="2572">
        <f t="shared" si="8"/>
        <v>0</v>
      </c>
      <c r="N22" s="2573"/>
      <c r="O22" s="2574"/>
      <c r="P22" s="2575">
        <f t="shared" si="9"/>
        <v>0</v>
      </c>
      <c r="R22" s="275">
        <f t="shared" si="5"/>
        <v>4579.32</v>
      </c>
      <c r="S22" s="2285">
        <f t="shared" si="5"/>
        <v>14150</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48178.94</v>
      </c>
      <c r="E27" s="143">
        <f>IF(SUM(E19:E26)='数据-基础表'!BA5,SUM(E19:E26),IF(F27="地上面积有误","面积有误","地下面积有误"))</f>
        <v>148872</v>
      </c>
      <c r="F27" s="134">
        <f>IF(SUM(F19:F26)=E8,SUM(F19:F26),"地上面积有误")</f>
        <v>148872</v>
      </c>
      <c r="G27" s="112">
        <f>SUM(G19:G26)</f>
        <v>0</v>
      </c>
      <c r="H27" s="975">
        <f>SUM(H19:H26)</f>
        <v>4357.96</v>
      </c>
      <c r="I27" s="976">
        <f>SUM(I19:I26)</f>
        <v>13466</v>
      </c>
      <c r="J27" s="1968"/>
      <c r="K27" s="2580">
        <f>SUM(K19:K26)</f>
        <v>0</v>
      </c>
      <c r="L27" s="2581">
        <f>SUM(L19:L26)</f>
        <v>13466</v>
      </c>
      <c r="M27" s="2582">
        <f>SUM(M19:M26)</f>
        <v>13466</v>
      </c>
      <c r="N27" s="2580">
        <f t="shared" ref="N27:O27" si="10">SUM(N19:N26)</f>
        <v>0</v>
      </c>
      <c r="O27" s="2581">
        <f t="shared" si="10"/>
        <v>0</v>
      </c>
      <c r="P27" s="2583">
        <f>SUM(P19:P26)</f>
        <v>0</v>
      </c>
      <c r="R27" s="2289">
        <f>IF(SUM(R19:R26)=$D$3,SUM(R19:R26),SUM(R19:R26)&amp;"误差"&amp;ROUND(SUM(R19:R26)-$D$3,2))</f>
        <v>52536.9</v>
      </c>
      <c r="S27" s="275">
        <f>IF(SUM(S19:S26)=$E$3,SUM(S19:S26),SUM(S19:S26)&amp;"误差"&amp;ROUND(SUM(S19:S26)-E3,2))</f>
        <v>162338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2317</v>
      </c>
      <c r="D29" s="111">
        <f>ROUND($D$3*E29/$E$3,2)</f>
        <v>4357.96</v>
      </c>
      <c r="E29" s="134">
        <f>SUM(F29:G29)</f>
        <v>13466</v>
      </c>
      <c r="F29" s="144">
        <f>'数据-基础表'!BM5+'数据-基础表'!BO5</f>
        <v>13466</v>
      </c>
      <c r="G29" s="146">
        <f>'数据-基础表'!BN5+'数据-基础表'!BP5</f>
        <v>0</v>
      </c>
      <c r="H29" s="1968"/>
      <c r="I29" s="1968"/>
      <c r="J29" s="1968"/>
      <c r="K29" s="1968"/>
      <c r="L29" s="1968"/>
    </row>
    <row r="30" spans="1:19">
      <c r="A30" s="138"/>
      <c r="B30" s="111"/>
      <c r="C30" s="147" t="s">
        <v>215</v>
      </c>
      <c r="D30" s="134">
        <f>SUM(D28:D29)</f>
        <v>4357.96</v>
      </c>
      <c r="E30" s="134">
        <f>SUM(E28:E29)</f>
        <v>13466</v>
      </c>
      <c r="F30" s="134">
        <f>SUM(F28:F29)</f>
        <v>13466</v>
      </c>
      <c r="G30" s="112">
        <f>SUM(G28:G29)</f>
        <v>0</v>
      </c>
      <c r="H30" s="1968"/>
      <c r="I30" s="1968"/>
      <c r="J30" s="1968"/>
      <c r="K30" s="1968"/>
      <c r="L30" s="1968"/>
    </row>
    <row r="31" spans="1:19" ht="32.25" customHeight="1" thickBot="1">
      <c r="A31" s="1365"/>
      <c r="B31" s="1366" t="s">
        <v>229</v>
      </c>
      <c r="C31" s="2314" t="s">
        <v>2319</v>
      </c>
      <c r="D31" s="1367">
        <f>D27+D30</f>
        <v>52536.9</v>
      </c>
      <c r="E31" s="1367">
        <f>E27+E30</f>
        <v>162338</v>
      </c>
      <c r="F31" s="1368">
        <f>F27+F30</f>
        <v>162338</v>
      </c>
      <c r="G31" s="1369">
        <f>G27+G30</f>
        <v>0</v>
      </c>
      <c r="H31" s="1968"/>
      <c r="I31" s="1968"/>
      <c r="J31" s="1968"/>
      <c r="K31" s="1968"/>
      <c r="L31" s="1968"/>
    </row>
    <row r="32" spans="1:19">
      <c r="A32" s="1968"/>
      <c r="B32" s="2326" t="s">
        <v>2318</v>
      </c>
      <c r="C32" s="2610"/>
      <c r="D32" s="1197"/>
      <c r="E32" s="1197">
        <f>SUMIF(C19:C26,"*住宅*",E19:E26)</f>
        <v>87847</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150" zoomScaleNormal="150" zoomScalePageLayoutView="150" workbookViewId="0">
      <pane xSplit="3" ySplit="5" topLeftCell="D6" activePane="bottomRight" state="frozen"/>
      <selection pane="topRight" activeCell="D1" sqref="D1"/>
      <selection pane="bottomLeft" activeCell="A4" sqref="A4"/>
      <selection pane="bottomRight" activeCell="E28" sqref="E28"/>
    </sheetView>
  </sheetViews>
  <sheetFormatPr defaultColWidth="13.8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8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875" style="1199" customWidth="1"/>
    <col min="25" max="25" width="8.125" style="1199" customWidth="1"/>
    <col min="26" max="30" width="6.875" style="1199" customWidth="1"/>
    <col min="31" max="31" width="6.5" style="1199" customWidth="1"/>
    <col min="32" max="34" width="7.125" style="1199" customWidth="1"/>
    <col min="35" max="39" width="8" style="1199" customWidth="1"/>
    <col min="40" max="41" width="13.875" style="1982"/>
    <col min="42" max="42" width="0" style="1982" hidden="1" customWidth="1"/>
    <col min="43" max="83" width="13.875" style="1982"/>
    <col min="84" max="16384" width="13.8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43782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69064</v>
      </c>
      <c r="F6" s="174">
        <f>SUMIF(项目基本情况!D$15:I$15,C6,项目基本情况!D$19:I$19)</f>
        <v>69.260000000000005</v>
      </c>
      <c r="G6" s="175">
        <f>IF(ISERROR(ROUND(POWER(1+H6,D6-F6)*(POWER(1+H6,F6)-1)/(POWER(1+H6,D6)-1),3)),0,ROUND(POWER(1+H6,D6-F6)*(POWER(1+H6,F6)-1)/(POWER(1+H6,D6)-1),3))</f>
        <v>0.998</v>
      </c>
      <c r="H6" s="2977">
        <v>4.4999999999999998E-2</v>
      </c>
      <c r="I6" s="2977">
        <v>0.05</v>
      </c>
      <c r="J6" s="176">
        <v>8.5000000000000006E-2</v>
      </c>
      <c r="K6" s="179">
        <f>SUMIF('数据-汇总表'!C$19:C$33,'数据-取费表'!A6,'数据-汇总表'!E$19:E$33)</f>
        <v>87847</v>
      </c>
      <c r="L6" s="2978">
        <v>3000</v>
      </c>
      <c r="M6" s="177">
        <f t="shared" ref="M6:M14" si="0">ROUND(K6*L6/10000,0)</f>
        <v>26354</v>
      </c>
      <c r="N6" s="2979">
        <v>0</v>
      </c>
      <c r="O6" s="177">
        <f>IF($N$5="成新度","——",ROUND(M6*N6,0))</f>
        <v>0</v>
      </c>
      <c r="P6" s="178">
        <f>IF($N$5="成新度","——",M6-O6)</f>
        <v>26354</v>
      </c>
      <c r="Q6" s="2980">
        <v>0.15</v>
      </c>
      <c r="R6" s="179">
        <f>SUMIF('数据-汇总表'!C$19:C$33,A6,'数据-汇总表'!R$19:R$33)</f>
        <v>32787.590000000004</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v>1.4999999999999999E-2</v>
      </c>
      <c r="AL6" s="190">
        <v>2E-3</v>
      </c>
      <c r="AM6" s="2991">
        <v>0.02</v>
      </c>
      <c r="AN6" s="2355"/>
      <c r="AO6" s="1984"/>
      <c r="AP6" s="1200">
        <f>ROUND(1-1/(1+H6)^F6,3)</f>
        <v>0.95299999999999996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3003</v>
      </c>
      <c r="D7" s="2292">
        <f>SUMIF(项目基本情况!D$15:I$15,C7,项目基本情况!D$18:I$18)</f>
        <v>40</v>
      </c>
      <c r="E7" s="2293">
        <f>IF(B7="","",SUMIF(项目基本情况!D$15:I$15,C7,项目基本情况!D$17:I$17))</f>
        <v>58106</v>
      </c>
      <c r="F7" s="174">
        <f>SUMIF(项目基本情况!D$15:I$15,C7,项目基本情况!D$19:I$19)</f>
        <v>39.24</v>
      </c>
      <c r="G7" s="175">
        <f t="shared" ref="G7:G11" si="2">IF(ISERROR(ROUND(POWER(1+H7,D7-F7)*(POWER(1+H7,F7)-1)/(POWER(1+H7,D7)-1),3)),0,ROUND(POWER(1+H7,D7-F7)*(POWER(1+H7,F7)-1)/(POWER(1+H7,D7)-1),3))</f>
        <v>0.99399999999999999</v>
      </c>
      <c r="H7" s="2977">
        <v>5.5E-2</v>
      </c>
      <c r="I7" s="2977">
        <v>0.06</v>
      </c>
      <c r="J7" s="176">
        <v>8.5000000000000006E-2</v>
      </c>
      <c r="K7" s="179">
        <f>SUMIF('数据-汇总表'!C$19:C$33,'数据-取费表'!A7,'数据-汇总表'!E$19:E$33)</f>
        <v>125</v>
      </c>
      <c r="L7" s="2978">
        <v>3000</v>
      </c>
      <c r="M7" s="177">
        <f t="shared" si="0"/>
        <v>38</v>
      </c>
      <c r="N7" s="2979">
        <v>0</v>
      </c>
      <c r="O7" s="177">
        <f t="shared" ref="O7:O14" si="3">IF($N$5="成新度","——",ROUND(M7*N7,0))</f>
        <v>0</v>
      </c>
      <c r="P7" s="178">
        <f t="shared" ref="P7:P14" si="4">IF($N$5="成新度","——",M7-O7)</f>
        <v>38</v>
      </c>
      <c r="Q7" s="2980">
        <v>0.2</v>
      </c>
      <c r="R7" s="179">
        <f>SUMIF('数据-汇总表'!C$19:C$33,A7,'数据-汇总表'!R$19:R$33)</f>
        <v>40.450000000000003</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v>365</v>
      </c>
      <c r="AJ7" s="188"/>
      <c r="AK7" s="189">
        <v>1.4999999999999999E-2</v>
      </c>
      <c r="AL7" s="190">
        <v>2E-3</v>
      </c>
      <c r="AM7" s="2991">
        <v>0.02</v>
      </c>
      <c r="AN7" s="2355"/>
      <c r="AO7" s="1984"/>
      <c r="AP7" s="1200">
        <f t="shared" ref="AP7:AP13" si="8">ROUND(1-1/(1+H7)^F7,3)</f>
        <v>0.878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还建商业</v>
      </c>
      <c r="B8" s="2321" t="str">
        <f t="shared" si="1"/>
        <v>经营性</v>
      </c>
      <c r="C8" s="173" t="s">
        <v>3003</v>
      </c>
      <c r="D8" s="2292">
        <f>SUMIF(项目基本情况!D$15:I$15,C8,项目基本情况!D$18:I$18)</f>
        <v>40</v>
      </c>
      <c r="E8" s="2293">
        <f>IF(B8="","",SUMIF(项目基本情况!D$15:I$15,C8,项目基本情况!D$17:I$17))</f>
        <v>58106</v>
      </c>
      <c r="F8" s="174">
        <f>SUMIF(项目基本情况!D$15:I$15,C8,项目基本情况!D$19:I$19)</f>
        <v>39.24</v>
      </c>
      <c r="G8" s="175">
        <f t="shared" si="2"/>
        <v>0.99399999999999999</v>
      </c>
      <c r="H8" s="2977">
        <v>5.5E-2</v>
      </c>
      <c r="I8" s="2977">
        <v>0.06</v>
      </c>
      <c r="J8" s="176">
        <v>8.5000000000000006E-2</v>
      </c>
      <c r="K8" s="179">
        <f>SUMIF('数据-汇总表'!C$19:C$33,'数据-取费表'!A8,'数据-汇总表'!E$19:E$33)</f>
        <v>46750</v>
      </c>
      <c r="L8" s="2978">
        <v>3000</v>
      </c>
      <c r="M8" s="177">
        <f>ROUND(K8*L8/10000,0)</f>
        <v>14025</v>
      </c>
      <c r="N8" s="2979">
        <v>0</v>
      </c>
      <c r="O8" s="177">
        <f t="shared" si="3"/>
        <v>0</v>
      </c>
      <c r="P8" s="178">
        <f t="shared" si="4"/>
        <v>14025</v>
      </c>
      <c r="Q8" s="2980">
        <v>0.05</v>
      </c>
      <c r="R8" s="179">
        <f>SUMIF('数据-汇总表'!C$19:C$33,A8,'数据-汇总表'!R$19:R$33)</f>
        <v>15129.54</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v>1.4999999999999999E-2</v>
      </c>
      <c r="AL8" s="190">
        <v>2E-3</v>
      </c>
      <c r="AM8" s="2991">
        <v>0.02</v>
      </c>
      <c r="AN8" s="2355"/>
      <c r="AO8" s="1984"/>
      <c r="AP8" s="1200">
        <f t="shared" si="8"/>
        <v>0.878</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t="str">
        <f>'数据-汇总表'!C22</f>
        <v>回迁房</v>
      </c>
      <c r="B9" s="2321" t="str">
        <f t="shared" si="1"/>
        <v>经营性</v>
      </c>
      <c r="C9" s="173" t="s">
        <v>923</v>
      </c>
      <c r="D9" s="2292">
        <f>SUMIF(项目基本情况!D$15:I$15,C9,项目基本情况!D$18:I$18)</f>
        <v>70</v>
      </c>
      <c r="E9" s="2293">
        <f>IF(B9="","",SUMIF(项目基本情况!D$15:I$15,C9,项目基本情况!D$17:I$17))</f>
        <v>69064</v>
      </c>
      <c r="F9" s="174">
        <f>SUMIF(项目基本情况!D$15:I$15,C9,项目基本情况!D$19:I$19)</f>
        <v>69.260000000000005</v>
      </c>
      <c r="G9" s="175">
        <f t="shared" si="2"/>
        <v>0.998</v>
      </c>
      <c r="H9" s="176">
        <v>4.4999999999999998E-2</v>
      </c>
      <c r="I9" s="176">
        <v>0.05</v>
      </c>
      <c r="J9" s="176">
        <v>8.5000000000000006E-2</v>
      </c>
      <c r="K9" s="179">
        <f>SUMIF('数据-汇总表'!C$19:C$33,'数据-取费表'!A9,'数据-汇总表'!E$19:E$33)</f>
        <v>14150</v>
      </c>
      <c r="L9" s="193">
        <v>2500</v>
      </c>
      <c r="M9" s="177">
        <f t="shared" si="0"/>
        <v>3538</v>
      </c>
      <c r="N9" s="194">
        <v>0</v>
      </c>
      <c r="O9" s="177">
        <f t="shared" si="3"/>
        <v>0</v>
      </c>
      <c r="P9" s="178">
        <f t="shared" si="4"/>
        <v>3538</v>
      </c>
      <c r="Q9" s="192">
        <v>0.03</v>
      </c>
      <c r="R9" s="179">
        <f>SUMIF('数据-汇总表'!C$19:C$33,A9,'数据-汇总表'!R$19:R$33)</f>
        <v>4579.32</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v>1.4999999999999999E-2</v>
      </c>
      <c r="AL9" s="190">
        <v>2E-3</v>
      </c>
      <c r="AM9" s="2991">
        <v>0.02</v>
      </c>
      <c r="AN9" s="2355"/>
      <c r="AO9" s="1984"/>
      <c r="AP9" s="1200">
        <f t="shared" si="8"/>
        <v>0.95299999999999996</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2311</v>
      </c>
      <c r="B14" s="2290" t="s">
        <v>1679</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2313</v>
      </c>
      <c r="B15" s="2290" t="s">
        <v>1679</v>
      </c>
      <c r="C15" s="2291" t="s">
        <v>2312</v>
      </c>
      <c r="D15" s="2292"/>
      <c r="E15" s="2293"/>
      <c r="F15" s="174"/>
      <c r="G15" s="175"/>
      <c r="H15" s="2294"/>
      <c r="I15" s="2294"/>
      <c r="J15" s="2294"/>
      <c r="K15" s="179">
        <f>SUMIF('数据-汇总表'!C$19:C$33,'数据-取费表'!A15,'数据-汇总表'!E$19:E$33)</f>
        <v>13466</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0.997</v>
      </c>
      <c r="H16" s="203">
        <f>ROUND(SUMPRODUCT(H6:H13,K6:K13)/SUMPRODUCT((H6:H13&gt;0)*(K6:K13)),3)</f>
        <v>4.8000000000000001E-2</v>
      </c>
      <c r="I16" s="204"/>
      <c r="J16" s="204"/>
      <c r="K16" s="205">
        <f>SUM(K6:K15)</f>
        <v>162338</v>
      </c>
      <c r="L16" s="206">
        <f>ROUND(M16*10000/SUM(K6:K14),0)</f>
        <v>2953</v>
      </c>
      <c r="M16" s="206">
        <f>SUM(M6:M14)</f>
        <v>43955</v>
      </c>
      <c r="N16" s="207">
        <f>ROUND(SUMPRODUCT(M6:M14,N6:N14)/M16,3)</f>
        <v>0</v>
      </c>
      <c r="O16" s="206">
        <f>SUM(O6:O14)</f>
        <v>0</v>
      </c>
      <c r="P16" s="206">
        <f>SUM(P6:P14)</f>
        <v>43955</v>
      </c>
      <c r="Q16" s="208">
        <f>ROUND(SUMPRODUCT(Q6:Q13,K6:K13)/SUMPRODUCT((Q6:Q13&gt;0)*(K6:K13)),2)</f>
        <v>0.11</v>
      </c>
      <c r="R16" s="2295">
        <f>SUM(R6:R13)</f>
        <v>52536.9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0.92900000000000005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4</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4</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4</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2335</v>
      </c>
      <c r="B27" s="227">
        <v>160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2336</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2334</v>
      </c>
      <c r="B29" s="232">
        <f>ROUND((K7+K8)*200/10000,0)+ROUND((K16-K7-K8)*160/10000,0)</f>
        <v>2785</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2888</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182">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2898</v>
      </c>
      <c r="D53" s="3028"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2900</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2901</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2902</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2903</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2904</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2905</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875" style="2008" customWidth="1"/>
    <col min="10" max="10" width="2.625" style="2009" customWidth="1"/>
    <col min="11" max="11" width="11.875" style="2007" customWidth="1"/>
    <col min="12" max="12" width="16.875" style="2008" customWidth="1"/>
    <col min="13" max="13" width="2.625" style="2009" customWidth="1"/>
    <col min="14" max="14" width="11.875" style="2007" customWidth="1"/>
    <col min="15" max="15" width="16.875" style="2008" customWidth="1"/>
    <col min="16" max="16" width="2.625" style="2009" customWidth="1"/>
    <col min="17" max="17" width="11.875" style="2007" customWidth="1"/>
    <col min="18" max="18" width="16.875" style="2010" customWidth="1"/>
    <col min="19" max="16384" width="9" style="1992"/>
  </cols>
  <sheetData>
    <row r="1" spans="1:18" s="1991" customFormat="1" ht="19.5" thickBot="1">
      <c r="A1" s="3269" t="s">
        <v>1663</v>
      </c>
      <c r="B1" s="3270"/>
      <c r="C1" s="3270"/>
      <c r="D1" s="3270"/>
      <c r="E1" s="3270"/>
      <c r="F1" s="3270"/>
      <c r="G1" s="3270"/>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2916</v>
      </c>
      <c r="D3" s="1993"/>
      <c r="E3" s="1225" t="s">
        <v>1666</v>
      </c>
      <c r="F3" s="1226" t="s">
        <v>1654</v>
      </c>
      <c r="G3" s="3036" t="s">
        <v>2915</v>
      </c>
      <c r="H3" s="1992"/>
      <c r="I3" s="1992"/>
      <c r="J3" s="1992"/>
      <c r="K3" s="1992"/>
      <c r="L3" s="1992"/>
      <c r="M3" s="1992"/>
      <c r="N3" s="1992"/>
      <c r="O3" s="1992"/>
      <c r="P3" s="1992"/>
      <c r="Q3" s="1992"/>
      <c r="R3" s="1992"/>
    </row>
    <row r="4" spans="1:18" ht="41.25">
      <c r="A4" s="1225"/>
      <c r="B4" s="1227" t="s">
        <v>1667</v>
      </c>
      <c r="C4" s="3033" t="s">
        <v>2917</v>
      </c>
      <c r="D4" s="1993"/>
      <c r="E4" s="1228"/>
      <c r="F4" s="1229" t="s">
        <v>1668</v>
      </c>
      <c r="G4" s="3034" t="s">
        <v>2912</v>
      </c>
      <c r="H4" s="1992"/>
      <c r="I4" s="1992"/>
      <c r="J4" s="1992"/>
      <c r="K4" s="1992"/>
      <c r="L4" s="1992"/>
      <c r="M4" s="1992"/>
      <c r="N4" s="1992"/>
      <c r="O4" s="1992"/>
      <c r="P4" s="1992"/>
      <c r="Q4" s="1992"/>
      <c r="R4" s="1992"/>
    </row>
    <row r="5" spans="1:18" ht="41.25">
      <c r="A5" s="1225"/>
      <c r="B5" s="1227" t="s">
        <v>1669</v>
      </c>
      <c r="C5" s="3033" t="s">
        <v>2918</v>
      </c>
      <c r="D5" s="1993"/>
      <c r="E5" s="1228"/>
      <c r="F5" s="1227" t="s">
        <v>2543</v>
      </c>
      <c r="G5" s="3034" t="s">
        <v>2913</v>
      </c>
      <c r="H5" s="1992"/>
      <c r="I5" s="1992"/>
      <c r="J5" s="1992"/>
      <c r="K5" s="1992"/>
      <c r="L5" s="1992"/>
      <c r="M5" s="1992"/>
      <c r="N5" s="1992"/>
      <c r="O5" s="1992"/>
      <c r="P5" s="1992"/>
      <c r="Q5" s="1992"/>
      <c r="R5" s="1992"/>
    </row>
    <row r="6" spans="1:18" ht="54">
      <c r="A6" s="1225"/>
      <c r="B6" s="1227" t="s">
        <v>1655</v>
      </c>
      <c r="C6" s="3034" t="s">
        <v>2912</v>
      </c>
      <c r="D6" s="1993"/>
      <c r="E6" s="1228"/>
      <c r="F6" s="1227" t="s">
        <v>2544</v>
      </c>
      <c r="G6" s="3034" t="s">
        <v>2910</v>
      </c>
      <c r="H6" s="1992"/>
      <c r="I6" s="1992"/>
      <c r="J6" s="1992"/>
      <c r="K6" s="1992"/>
      <c r="L6" s="1992"/>
      <c r="M6" s="1992"/>
      <c r="N6" s="1992"/>
      <c r="O6" s="1992"/>
      <c r="P6" s="1992"/>
      <c r="Q6" s="1992"/>
      <c r="R6" s="1992"/>
    </row>
    <row r="7" spans="1:18" ht="41.25" thickBot="1">
      <c r="A7" s="1225"/>
      <c r="B7" s="1227" t="s">
        <v>2543</v>
      </c>
      <c r="C7" s="3034" t="s">
        <v>2913</v>
      </c>
      <c r="D7" s="1994"/>
      <c r="E7" s="1230"/>
      <c r="F7" s="1231" t="s">
        <v>1670</v>
      </c>
      <c r="G7" s="3037" t="s">
        <v>2914</v>
      </c>
      <c r="H7" s="1992"/>
      <c r="I7" s="1992"/>
      <c r="J7" s="1992"/>
      <c r="K7" s="1992"/>
      <c r="L7" s="1992"/>
      <c r="M7" s="1992"/>
      <c r="N7" s="1992"/>
      <c r="O7" s="1992"/>
      <c r="P7" s="1992"/>
      <c r="Q7" s="1992"/>
      <c r="R7" s="1992"/>
    </row>
    <row r="8" spans="1:18" ht="27">
      <c r="A8" s="1225"/>
      <c r="B8" s="1227" t="s">
        <v>2544</v>
      </c>
      <c r="C8" s="3034" t="s">
        <v>2910</v>
      </c>
      <c r="D8" s="1994"/>
      <c r="E8" s="1994"/>
      <c r="F8" s="1539"/>
      <c r="G8" s="1539"/>
      <c r="H8" s="1992"/>
      <c r="I8" s="1992"/>
      <c r="J8" s="1992"/>
      <c r="K8" s="1992"/>
      <c r="L8" s="1992"/>
      <c r="M8" s="1992"/>
      <c r="N8" s="1992"/>
      <c r="O8" s="1992"/>
      <c r="P8" s="1992"/>
      <c r="Q8" s="1992"/>
      <c r="R8" s="1992"/>
    </row>
    <row r="9" spans="1:18" ht="40.5">
      <c r="A9" s="1225"/>
      <c r="B9" s="1227" t="s">
        <v>1656</v>
      </c>
      <c r="C9" s="3033" t="s">
        <v>2911</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2543</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2544</v>
      </c>
      <c r="G20" s="1005" t="str">
        <f>G6</f>
        <v>估价对象所在区域基础设施水平</v>
      </c>
    </row>
    <row r="21" spans="1:7" ht="27">
      <c r="A21" s="2552"/>
      <c r="B21" s="1227" t="s">
        <v>2543</v>
      </c>
      <c r="C21" s="1005" t="str">
        <f>C7</f>
        <v>估价对象所在区域公共配套设施齐备情况</v>
      </c>
      <c r="D21" s="1993"/>
      <c r="E21" s="2549"/>
      <c r="F21" s="1243" t="s">
        <v>1661</v>
      </c>
      <c r="G21" s="3038"/>
    </row>
    <row r="22" spans="1:7" ht="27">
      <c r="A22" s="2552"/>
      <c r="B22" s="1227" t="s">
        <v>2544</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162338</v>
      </c>
      <c r="C1" s="2997"/>
      <c r="D1" s="2997"/>
      <c r="E1" s="2997"/>
      <c r="F1" s="2997"/>
    </row>
    <row r="2" spans="1:9" ht="16.5">
      <c r="A2" s="2996" t="s">
        <v>2842</v>
      </c>
      <c r="B2" s="2996">
        <f>SUM(C14:C23)</f>
        <v>52536.9</v>
      </c>
      <c r="C2" s="2997"/>
      <c r="D2" s="2997"/>
      <c r="E2" s="2997"/>
      <c r="F2" s="2997"/>
    </row>
    <row r="3" spans="1:9" ht="16.5">
      <c r="A3" s="2996" t="s">
        <v>2843</v>
      </c>
      <c r="B3" s="2998">
        <f>项目基本情况!D3</f>
        <v>43782</v>
      </c>
      <c r="C3" s="2997"/>
      <c r="D3" s="2997"/>
      <c r="E3" s="2997"/>
      <c r="F3" s="2997"/>
    </row>
    <row r="4" spans="1:9" ht="33">
      <c r="A4" s="2996" t="s">
        <v>2844</v>
      </c>
      <c r="B4" s="2996" t="s">
        <v>2845</v>
      </c>
      <c r="C4" s="2996" t="s">
        <v>2846</v>
      </c>
      <c r="D4" s="2996" t="s">
        <v>2847</v>
      </c>
      <c r="E4" s="2997"/>
      <c r="F4" s="2997"/>
    </row>
    <row r="5" spans="1:9" ht="16.5">
      <c r="A5" s="2996" t="s">
        <v>2848</v>
      </c>
      <c r="B5" s="2996">
        <f ca="1">SUM(D14:D23)</f>
        <v>387488</v>
      </c>
      <c r="C5" s="2996">
        <f ca="1">ROUND(B5*10000/$B$1,0)</f>
        <v>23869</v>
      </c>
      <c r="D5" s="2996">
        <f ca="1">ROUND(B5*10000/$B$2,0)</f>
        <v>73755</v>
      </c>
      <c r="E5" s="2997"/>
      <c r="F5" s="2997"/>
    </row>
    <row r="6" spans="1:9" ht="16.5">
      <c r="A6" s="2996" t="s">
        <v>2849</v>
      </c>
      <c r="B6" s="2996">
        <f ca="1">SUM(G14:G23)</f>
        <v>387488</v>
      </c>
      <c r="C6" s="2996">
        <f t="shared" ref="C6:C8" ca="1" si="0">ROUND(B6*10000/$B$1,0)</f>
        <v>23869</v>
      </c>
      <c r="D6" s="2996">
        <f t="shared" ref="D6:D8" ca="1" si="1">ROUND(B6*10000/$B$2,0)</f>
        <v>73755</v>
      </c>
      <c r="E6" s="2997"/>
      <c r="F6" s="2997"/>
    </row>
    <row r="7" spans="1:9" ht="16.5">
      <c r="A7" s="2996" t="s">
        <v>2850</v>
      </c>
      <c r="B7" s="2996">
        <f>SUM(H14:H23)</f>
        <v>0</v>
      </c>
      <c r="C7" s="2996">
        <f t="shared" si="0"/>
        <v>0</v>
      </c>
      <c r="D7" s="2996">
        <f t="shared" si="1"/>
        <v>0</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162338</v>
      </c>
      <c r="C14" s="3000">
        <f>结果表!K38</f>
        <v>52536.9</v>
      </c>
      <c r="D14" s="3000">
        <f ca="1">结果表!C42</f>
        <v>387488</v>
      </c>
      <c r="E14" s="3000">
        <f ca="1">ROUND(D14*10000/B14,0)</f>
        <v>23869</v>
      </c>
      <c r="F14" s="3000">
        <f ca="1">ROUND(D14*10000/C14,0)</f>
        <v>73755</v>
      </c>
      <c r="G14" s="3000">
        <f ca="1">结果表!C44</f>
        <v>387488</v>
      </c>
      <c r="H14" s="3000" t="str">
        <f>结果表!C45</f>
        <v>——</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topLeftCell="E15" zoomScaleSheetLayoutView="100" workbookViewId="0">
      <selection activeCell="M38" sqref="M38:O38"/>
    </sheetView>
  </sheetViews>
  <sheetFormatPr defaultColWidth="12.625" defaultRowHeight="21.75" customHeight="1"/>
  <cols>
    <col min="1" max="2" width="12.875" style="1246" bestFit="1" customWidth="1"/>
    <col min="3" max="4" width="12.625" style="1246" customWidth="1"/>
    <col min="5" max="9" width="12.875" style="1246"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6"/>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307" t="str">
        <f>项目基本情况!K2</f>
        <v>北京市丰台区花乡郭公庄村1518-L04、L05地块城镇住宅用地及1518-L06、L07地块商务金融用地（商业、办公）出让国有建设用地使用权出让国有建设用地使用权</v>
      </c>
      <c r="B2" s="3308"/>
      <c r="C2" s="3309"/>
      <c r="D2" s="3309"/>
      <c r="E2" s="3309"/>
      <c r="F2" s="3309"/>
      <c r="G2" s="3308"/>
      <c r="H2" s="3308"/>
      <c r="I2" s="3310"/>
      <c r="J2" s="2014"/>
      <c r="K2" s="2013"/>
      <c r="L2" s="2013"/>
      <c r="M2" s="2013"/>
      <c r="N2" s="2013"/>
      <c r="O2" s="2013"/>
      <c r="P2" s="2013"/>
      <c r="Q2" s="2013"/>
      <c r="R2" s="2013"/>
      <c r="S2" s="2013"/>
      <c r="T2" s="2013"/>
      <c r="U2" s="2013"/>
      <c r="V2" s="2013"/>
    </row>
    <row r="3" spans="1:22" ht="14.25">
      <c r="A3" s="3300" t="s">
        <v>298</v>
      </c>
      <c r="B3" s="3301"/>
      <c r="C3" s="3301"/>
      <c r="D3" s="3301"/>
      <c r="E3" s="3301"/>
      <c r="F3" s="3301"/>
      <c r="G3" s="3301"/>
      <c r="H3" s="3301"/>
      <c r="I3" s="3301"/>
      <c r="J3" s="2014"/>
      <c r="K3" s="2013"/>
      <c r="L3" s="2013"/>
      <c r="M3" s="2013"/>
      <c r="N3" s="2013"/>
      <c r="O3" s="2013"/>
      <c r="P3" s="2013"/>
      <c r="Q3" s="2013"/>
      <c r="R3" s="2013"/>
      <c r="S3" s="2013"/>
      <c r="T3" s="2013"/>
      <c r="U3" s="2013"/>
      <c r="V3" s="2013"/>
    </row>
    <row r="4" spans="1:22" ht="14.25">
      <c r="A4" s="258" t="s">
        <v>299</v>
      </c>
      <c r="B4" s="259" t="s">
        <v>300</v>
      </c>
      <c r="C4" s="260" t="s">
        <v>3144</v>
      </c>
      <c r="D4" s="260" t="s">
        <v>3145</v>
      </c>
      <c r="E4" s="3272" t="s">
        <v>301</v>
      </c>
      <c r="F4" s="3273"/>
      <c r="G4" s="3273"/>
      <c r="H4" s="3273"/>
      <c r="I4" s="3302"/>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271" t="s">
        <v>302</v>
      </c>
      <c r="B5" s="3297">
        <v>25</v>
      </c>
      <c r="C5" s="3295"/>
      <c r="D5" s="3299"/>
      <c r="E5" s="261" t="s">
        <v>303</v>
      </c>
      <c r="F5" s="262"/>
      <c r="G5" s="262"/>
      <c r="H5" s="262"/>
      <c r="I5" s="263"/>
      <c r="J5" s="2014"/>
      <c r="K5" s="2013"/>
      <c r="L5" s="2013"/>
      <c r="M5" s="2013"/>
      <c r="N5" s="2013"/>
      <c r="O5" s="2013"/>
      <c r="P5" s="2013"/>
      <c r="Q5" s="2013"/>
      <c r="R5" s="2013"/>
      <c r="S5" s="2013"/>
      <c r="T5" s="2013"/>
      <c r="U5" s="2013"/>
      <c r="V5" s="2013"/>
    </row>
    <row r="6" spans="1:22" ht="14.25">
      <c r="A6" s="3271"/>
      <c r="B6" s="3297"/>
      <c r="C6" s="3298"/>
      <c r="D6" s="3299"/>
      <c r="E6" s="261" t="s">
        <v>304</v>
      </c>
      <c r="F6" s="262"/>
      <c r="G6" s="262"/>
      <c r="H6" s="262"/>
      <c r="I6" s="263"/>
      <c r="J6" s="2014"/>
      <c r="K6" s="2013"/>
      <c r="L6" s="2013"/>
      <c r="M6" s="2013"/>
      <c r="N6" s="2013"/>
      <c r="O6" s="2013"/>
      <c r="P6" s="2013"/>
      <c r="Q6" s="2013"/>
      <c r="R6" s="2013"/>
      <c r="S6" s="2013"/>
      <c r="T6" s="2013"/>
      <c r="U6" s="2013"/>
      <c r="V6" s="2013"/>
    </row>
    <row r="7" spans="1:22" ht="14.25">
      <c r="A7" s="3271"/>
      <c r="B7" s="3297"/>
      <c r="C7" s="3296"/>
      <c r="D7" s="3299"/>
      <c r="E7" s="261" t="s">
        <v>305</v>
      </c>
      <c r="F7" s="262"/>
      <c r="G7" s="262"/>
      <c r="H7" s="262"/>
      <c r="I7" s="263"/>
      <c r="J7" s="2014"/>
      <c r="K7" s="2013"/>
      <c r="L7" s="2013"/>
      <c r="M7" s="2013"/>
      <c r="N7" s="2013"/>
      <c r="O7" s="2013"/>
      <c r="P7" s="2013"/>
      <c r="Q7" s="2013"/>
      <c r="R7" s="2013"/>
      <c r="S7" s="2013"/>
      <c r="T7" s="2013"/>
      <c r="U7" s="2013"/>
      <c r="V7" s="2013"/>
    </row>
    <row r="8" spans="1:22" ht="14.25">
      <c r="A8" s="3271" t="s">
        <v>306</v>
      </c>
      <c r="B8" s="3297">
        <v>15</v>
      </c>
      <c r="C8" s="3295"/>
      <c r="D8" s="3299"/>
      <c r="E8" s="261" t="s">
        <v>307</v>
      </c>
      <c r="F8" s="262"/>
      <c r="G8" s="262"/>
      <c r="H8" s="262"/>
      <c r="I8" s="263"/>
      <c r="J8" s="2014"/>
      <c r="K8" s="2013"/>
      <c r="L8" s="2013"/>
      <c r="M8" s="2013"/>
      <c r="N8" s="2013"/>
      <c r="O8" s="2013"/>
      <c r="P8" s="2013"/>
      <c r="Q8" s="2013"/>
      <c r="R8" s="2013"/>
      <c r="S8" s="2013"/>
      <c r="T8" s="2013"/>
      <c r="U8" s="2013"/>
      <c r="V8" s="2013"/>
    </row>
    <row r="9" spans="1:22" ht="14.25">
      <c r="A9" s="3271"/>
      <c r="B9" s="3297"/>
      <c r="C9" s="3296"/>
      <c r="D9" s="3299"/>
      <c r="E9" s="261" t="s">
        <v>308</v>
      </c>
      <c r="F9" s="262"/>
      <c r="G9" s="262"/>
      <c r="H9" s="262"/>
      <c r="I9" s="263"/>
      <c r="J9" s="2014"/>
      <c r="K9" s="2013"/>
      <c r="L9" s="2013"/>
      <c r="M9" s="2013"/>
      <c r="N9" s="2013"/>
      <c r="O9" s="2013"/>
      <c r="P9" s="2013"/>
      <c r="Q9" s="2013"/>
      <c r="R9" s="2013"/>
      <c r="S9" s="2013"/>
      <c r="T9" s="2013"/>
      <c r="U9" s="2013"/>
      <c r="V9" s="2013"/>
    </row>
    <row r="10" spans="1:22" ht="14.25">
      <c r="A10" s="3271" t="s">
        <v>309</v>
      </c>
      <c r="B10" s="3297">
        <v>15</v>
      </c>
      <c r="C10" s="3295"/>
      <c r="D10" s="3299"/>
      <c r="E10" s="261" t="s">
        <v>310</v>
      </c>
      <c r="F10" s="262"/>
      <c r="G10" s="262"/>
      <c r="H10" s="262"/>
      <c r="I10" s="263"/>
      <c r="J10" s="2014"/>
      <c r="K10" s="2013"/>
      <c r="L10" s="2013"/>
      <c r="M10" s="2013"/>
      <c r="N10" s="2013"/>
      <c r="O10" s="2013"/>
      <c r="P10" s="2013"/>
      <c r="Q10" s="2013"/>
      <c r="R10" s="2013"/>
      <c r="S10" s="2013"/>
      <c r="T10" s="2013"/>
      <c r="U10" s="2013"/>
      <c r="V10" s="2013"/>
    </row>
    <row r="11" spans="1:22" ht="14.25">
      <c r="A11" s="3271"/>
      <c r="B11" s="3297"/>
      <c r="C11" s="3296"/>
      <c r="D11" s="3299"/>
      <c r="E11" s="261" t="s">
        <v>311</v>
      </c>
      <c r="F11" s="262"/>
      <c r="G11" s="262"/>
      <c r="H11" s="262"/>
      <c r="I11" s="263"/>
      <c r="J11" s="2014"/>
      <c r="K11" s="2013"/>
      <c r="L11" s="2013"/>
      <c r="M11" s="2013"/>
      <c r="N11" s="2013"/>
      <c r="O11" s="2013"/>
      <c r="P11" s="2013"/>
      <c r="Q11" s="2013"/>
      <c r="R11" s="2013"/>
      <c r="S11" s="2013"/>
      <c r="T11" s="2013"/>
      <c r="U11" s="2013"/>
      <c r="V11" s="2013"/>
    </row>
    <row r="12" spans="1:22" ht="14.25">
      <c r="A12" s="3271" t="s">
        <v>312</v>
      </c>
      <c r="B12" s="3297">
        <v>15</v>
      </c>
      <c r="C12" s="3295"/>
      <c r="D12" s="3299"/>
      <c r="E12" s="261" t="s">
        <v>313</v>
      </c>
      <c r="F12" s="262"/>
      <c r="G12" s="262"/>
      <c r="H12" s="262"/>
      <c r="I12" s="263"/>
      <c r="J12" s="2014"/>
      <c r="K12" s="2013"/>
      <c r="L12" s="2013"/>
      <c r="M12" s="2013"/>
      <c r="N12" s="2013"/>
      <c r="O12" s="2013"/>
      <c r="P12" s="2013"/>
      <c r="Q12" s="2013"/>
      <c r="R12" s="2013"/>
      <c r="S12" s="2013"/>
      <c r="T12" s="2013"/>
      <c r="U12" s="2013"/>
      <c r="V12" s="2013"/>
    </row>
    <row r="13" spans="1:22" ht="14.25">
      <c r="A13" s="3271"/>
      <c r="B13" s="3297"/>
      <c r="C13" s="3296"/>
      <c r="D13" s="3299"/>
      <c r="E13" s="261" t="s">
        <v>314</v>
      </c>
      <c r="F13" s="262"/>
      <c r="G13" s="262"/>
      <c r="H13" s="262"/>
      <c r="I13" s="263"/>
      <c r="J13" s="2014"/>
      <c r="K13" s="2013"/>
      <c r="L13" s="2013"/>
      <c r="M13" s="2013"/>
      <c r="N13" s="2013"/>
      <c r="O13" s="2013"/>
      <c r="P13" s="2013"/>
      <c r="Q13" s="2013"/>
      <c r="R13" s="2013"/>
      <c r="S13" s="2013"/>
      <c r="T13" s="2013"/>
      <c r="U13" s="2013"/>
      <c r="V13" s="2013"/>
    </row>
    <row r="14" spans="1:22" ht="14.25">
      <c r="A14" s="3271" t="s">
        <v>315</v>
      </c>
      <c r="B14" s="3297">
        <v>30</v>
      </c>
      <c r="C14" s="3295">
        <v>5</v>
      </c>
      <c r="D14" s="3299">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71"/>
      <c r="B15" s="3297"/>
      <c r="C15" s="3298"/>
      <c r="D15" s="3299"/>
      <c r="E15" s="261" t="s">
        <v>317</v>
      </c>
      <c r="F15" s="262"/>
      <c r="G15" s="262"/>
      <c r="H15" s="262"/>
      <c r="I15" s="263"/>
      <c r="J15" s="2014"/>
      <c r="K15" s="2013"/>
      <c r="L15" s="2013"/>
      <c r="M15" s="2013"/>
      <c r="N15" s="2013"/>
      <c r="O15" s="2013"/>
      <c r="P15" s="2013"/>
      <c r="Q15" s="2013"/>
      <c r="R15" s="2013"/>
      <c r="S15" s="2013"/>
      <c r="T15" s="2013"/>
      <c r="U15" s="2013"/>
      <c r="V15" s="2013"/>
    </row>
    <row r="16" spans="1:22" ht="14.25">
      <c r="A16" s="3271"/>
      <c r="B16" s="3297"/>
      <c r="C16" s="3296"/>
      <c r="D16" s="329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390825</v>
      </c>
      <c r="D19" s="271">
        <f ca="1">SUMIF(INDIRECT("'"&amp;D4&amp;"'"&amp;"!A:A"),结果表!B19,INDIRECT("'"&amp;D4&amp;"'"&amp;"!B:B"))</f>
        <v>384151</v>
      </c>
      <c r="E19" s="268" t="s">
        <v>323</v>
      </c>
      <c r="F19" s="269" t="s">
        <v>322</v>
      </c>
      <c r="G19" s="272">
        <f ca="1">ROUND(C19*$C$18+D19*$D$18,0)</f>
        <v>387488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24075</v>
      </c>
      <c r="D20" s="277">
        <f ca="1">SUMIF(INDIRECT("'"&amp;D4&amp;"'"&amp;"!A:A"),结果表!B20,INDIRECT("'"&amp;D4&amp;"'"&amp;"!B:B"))</f>
        <v>23664</v>
      </c>
      <c r="E20" s="274"/>
      <c r="F20" s="275" t="s">
        <v>325</v>
      </c>
      <c r="G20" s="278">
        <f ca="1">ROUND(C20*$C$18+D20*$D$18,0)</f>
        <v>23870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74391</v>
      </c>
      <c r="D21" s="151">
        <f ca="1">SUMIF(INDIRECT("'"&amp;D4&amp;"'"&amp;"!A:A"),结果表!B21,INDIRECT("'"&amp;D4&amp;"'"&amp;"!B:B"))</f>
        <v>73120</v>
      </c>
      <c r="E21" s="274"/>
      <c r="F21" s="280" t="s">
        <v>327</v>
      </c>
      <c r="G21" s="282">
        <f ca="1">ROUND(C21*$C$18+D21*$D$18,0)</f>
        <v>73756</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1.7373376614924885E-2</v>
      </c>
      <c r="E22" s="284"/>
      <c r="F22" s="285"/>
      <c r="G22" s="286">
        <f ca="1">ROUND(G19/('数据-汇总表'!D3/666.67),0)</f>
        <v>4917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7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78"/>
      <c r="B25" s="1317" t="s">
        <v>331</v>
      </c>
      <c r="C25" s="290">
        <f>IF(B30=0,0,C30)</f>
        <v>0</v>
      </c>
      <c r="D25" s="291"/>
      <c r="E25" s="311"/>
      <c r="F25" s="311"/>
      <c r="G25" s="311"/>
      <c r="H25" s="311"/>
      <c r="I25" s="311"/>
      <c r="J25" s="2013"/>
      <c r="K25" s="1251" t="str">
        <f ca="1">项目基本情况!B16&amp;"国有建设用地使用权价格："&amp;O38&amp;"万元"</f>
        <v>出让国有建设用地使用权价格：387488万元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大写金额：人民币叁拾捌亿柒仟肆佰捌拾捌万元整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单位面积地价：73755元/平方米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楼面地价：23869元/平方米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抵押价格：387488万元</v>
      </c>
      <c r="L29" s="1248"/>
      <c r="M29" s="1248"/>
      <c r="N29" s="1248"/>
      <c r="O29" s="1247"/>
      <c r="P29" s="2013"/>
      <c r="V29" s="2013"/>
    </row>
    <row r="30" spans="1:26" ht="18.75" thickBot="1">
      <c r="A30" s="3080" t="s">
        <v>336</v>
      </c>
      <c r="B30" s="309"/>
      <c r="C30" s="309"/>
      <c r="D30" s="310"/>
      <c r="E30" s="3081" t="s">
        <v>2962</v>
      </c>
      <c r="F30" s="311"/>
      <c r="G30" s="311"/>
      <c r="H30" s="311"/>
      <c r="I30" s="311"/>
      <c r="J30" s="2013"/>
      <c r="K30" s="1254" t="str">
        <f ca="1">IF(K29="——","——","大写金额：人民币"&amp;NUMBERSTRING(INT(O39*10000),2)&amp;"元整")</f>
        <v>大写金额：人民币叁拾捌亿柒仟肆佰捌拾捌万元整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387488</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23869</v>
      </c>
      <c r="D33" s="1381" t="s">
        <v>1691</v>
      </c>
      <c r="E33" s="3277"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73755</v>
      </c>
      <c r="D34" s="1383" t="s">
        <v>1691</v>
      </c>
      <c r="E34" s="3318"/>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4917</v>
      </c>
      <c r="D35" s="1386" t="s">
        <v>1693</v>
      </c>
      <c r="E35" s="3319"/>
      <c r="F35" s="301" t="s">
        <v>342</v>
      </c>
      <c r="G35" s="982"/>
      <c r="H35" s="981" t="s">
        <v>343</v>
      </c>
      <c r="I35" s="311"/>
      <c r="J35" s="2013"/>
      <c r="K35" s="3292" t="s">
        <v>350</v>
      </c>
      <c r="L35" s="3292" t="s">
        <v>351</v>
      </c>
      <c r="M35" s="1260" t="s">
        <v>352</v>
      </c>
      <c r="N35" s="3292" t="s">
        <v>353</v>
      </c>
      <c r="O35" s="3292" t="s">
        <v>354</v>
      </c>
      <c r="P35" s="2013"/>
      <c r="V35" s="2013"/>
    </row>
    <row r="36" spans="1:26" ht="16.5" customHeight="1">
      <c r="A36" s="303" t="s">
        <v>344</v>
      </c>
      <c r="B36" s="304" t="s">
        <v>333</v>
      </c>
      <c r="C36" s="305" t="s">
        <v>345</v>
      </c>
      <c r="D36" s="305" t="s">
        <v>346</v>
      </c>
      <c r="E36" s="306" t="s">
        <v>347</v>
      </c>
      <c r="F36" s="311"/>
      <c r="G36" s="311"/>
      <c r="H36" s="311"/>
      <c r="I36" s="311"/>
      <c r="J36" s="2015"/>
      <c r="K36" s="3293"/>
      <c r="L36" s="3293"/>
      <c r="M36" s="1262" t="s">
        <v>355</v>
      </c>
      <c r="N36" s="3293"/>
      <c r="O36" s="3293"/>
      <c r="P36" s="2013"/>
      <c r="V36" s="2013"/>
    </row>
    <row r="37" spans="1:26" ht="16.5" customHeight="1" thickBot="1">
      <c r="A37" s="1256" t="s">
        <v>348</v>
      </c>
      <c r="B37" s="307"/>
      <c r="C37" s="294"/>
      <c r="D37" s="294"/>
      <c r="E37" s="295"/>
      <c r="F37" s="311"/>
      <c r="G37" s="311"/>
      <c r="H37" s="311"/>
      <c r="I37" s="311"/>
      <c r="J37" s="2015"/>
      <c r="K37" s="3294"/>
      <c r="L37" s="3294"/>
      <c r="M37" s="1263"/>
      <c r="N37" s="3294"/>
      <c r="O37" s="3294"/>
      <c r="P37" s="2013"/>
      <c r="V37" s="2013"/>
    </row>
    <row r="38" spans="1:26" ht="16.5" customHeight="1" thickBot="1">
      <c r="A38" s="1256" t="s">
        <v>349</v>
      </c>
      <c r="B38" s="307"/>
      <c r="C38" s="294"/>
      <c r="D38" s="294"/>
      <c r="E38" s="295"/>
      <c r="F38" s="311"/>
      <c r="G38" s="311"/>
      <c r="H38" s="311"/>
      <c r="I38" s="311"/>
      <c r="J38" s="2015"/>
      <c r="K38" s="1264">
        <f>'数据-汇总表'!D3</f>
        <v>52536.9</v>
      </c>
      <c r="L38" s="1265">
        <f>'数据-汇总表'!E3</f>
        <v>162338</v>
      </c>
      <c r="M38" s="1265">
        <f ca="1">C34</f>
        <v>73755</v>
      </c>
      <c r="N38" s="1265">
        <f ca="1">C33</f>
        <v>23869</v>
      </c>
      <c r="O38" s="1266">
        <f ca="1">C32</f>
        <v>387488</v>
      </c>
      <c r="P38" s="2013"/>
      <c r="V38" s="2013"/>
    </row>
    <row r="39" spans="1:26" ht="16.5" customHeight="1" thickBot="1">
      <c r="A39" s="1261"/>
      <c r="B39" s="308"/>
      <c r="C39" s="309"/>
      <c r="D39" s="309"/>
      <c r="E39" s="310"/>
      <c r="F39" s="311"/>
      <c r="G39" s="311"/>
      <c r="H39" s="311"/>
      <c r="I39" s="311"/>
      <c r="J39" s="2015"/>
      <c r="K39" s="3337" t="str">
        <f>MID(A44,3,LEN(A44)-2)</f>
        <v>抵押价格</v>
      </c>
      <c r="L39" s="3338"/>
      <c r="M39" s="3338"/>
      <c r="N39" s="3339"/>
      <c r="O39" s="1388">
        <f ca="1">C44</f>
        <v>387488</v>
      </c>
      <c r="P39" s="2013"/>
      <c r="V39" s="2013"/>
    </row>
    <row r="40" spans="1:26" ht="19.5" thickBot="1">
      <c r="A40" s="104" t="s">
        <v>873</v>
      </c>
      <c r="B40" s="311"/>
      <c r="C40" s="311"/>
      <c r="D40" s="311"/>
      <c r="E40" s="311"/>
      <c r="F40" s="311"/>
      <c r="G40" s="311"/>
      <c r="H40" s="311"/>
      <c r="I40" s="311"/>
      <c r="J40" s="2015"/>
      <c r="K40" s="3337" t="str">
        <f t="shared" ref="K40:K41" si="0">MID(A45,3,LEN(A45)-2)</f>
        <v/>
      </c>
      <c r="L40" s="3338"/>
      <c r="M40" s="3338"/>
      <c r="N40" s="3339"/>
      <c r="O40" s="1388" t="str">
        <f>C45</f>
        <v>——</v>
      </c>
      <c r="P40" s="2013"/>
      <c r="V40" s="2013"/>
    </row>
    <row r="41" spans="1:26" ht="16.5" thickBot="1">
      <c r="A41" s="312" t="s">
        <v>356</v>
      </c>
      <c r="B41" s="313"/>
      <c r="C41" s="314" t="s">
        <v>357</v>
      </c>
      <c r="D41" s="315" t="s">
        <v>358</v>
      </c>
      <c r="E41" s="315" t="s">
        <v>359</v>
      </c>
      <c r="F41" s="316" t="s">
        <v>360</v>
      </c>
      <c r="G41" s="311"/>
      <c r="H41" s="311"/>
      <c r="I41" s="311"/>
      <c r="J41" s="2015"/>
      <c r="K41" s="3337" t="str">
        <f t="shared" si="0"/>
        <v/>
      </c>
      <c r="L41" s="3338"/>
      <c r="M41" s="3338"/>
      <c r="N41" s="3339"/>
      <c r="O41" s="1388" t="str">
        <f>C46</f>
        <v>——</v>
      </c>
      <c r="P41" s="2013"/>
      <c r="V41" s="2013"/>
    </row>
    <row r="42" spans="1:26" ht="29.25">
      <c r="A42" s="3279" t="s">
        <v>2064</v>
      </c>
      <c r="B42" s="3280"/>
      <c r="C42" s="264">
        <f ca="1">C32</f>
        <v>387488</v>
      </c>
      <c r="D42" s="317">
        <f ca="1">C33</f>
        <v>23869</v>
      </c>
      <c r="E42" s="317">
        <f ca="1">C34</f>
        <v>73755</v>
      </c>
      <c r="F42" s="318">
        <f ca="1">C35</f>
        <v>4917</v>
      </c>
      <c r="G42" s="311"/>
      <c r="H42" s="311"/>
      <c r="I42" s="319"/>
      <c r="J42" s="2015"/>
      <c r="K42" s="1267" t="s">
        <v>361</v>
      </c>
      <c r="L42" s="2032" t="s">
        <v>362</v>
      </c>
      <c r="M42" s="1268" t="s">
        <v>363</v>
      </c>
      <c r="N42" s="2033" t="s">
        <v>364</v>
      </c>
      <c r="O42" s="2034" t="s">
        <v>365</v>
      </c>
      <c r="P42" s="2013"/>
      <c r="V42" s="2013"/>
    </row>
    <row r="43" spans="1:26" ht="18">
      <c r="A43" s="3290" t="s">
        <v>2727</v>
      </c>
      <c r="B43" s="3291"/>
      <c r="C43" s="264">
        <f>IF(H33="正常操作",G33+G34+G35,G34+G35)</f>
        <v>0</v>
      </c>
      <c r="D43" s="317" t="s">
        <v>43</v>
      </c>
      <c r="E43" s="317" t="s">
        <v>44</v>
      </c>
      <c r="F43" s="318" t="s">
        <v>44</v>
      </c>
      <c r="G43" s="2821" t="s">
        <v>952</v>
      </c>
      <c r="H43" s="311"/>
      <c r="I43" s="319"/>
      <c r="J43" s="2015"/>
      <c r="K43" s="1269" t="str">
        <f>C4</f>
        <v>剩余法-待开发</v>
      </c>
      <c r="L43" s="1270">
        <f ca="1">IF(L42="估价结果/万元",C19,C20)</f>
        <v>390825</v>
      </c>
      <c r="M43" s="1271">
        <f>C18</f>
        <v>0.5</v>
      </c>
      <c r="N43" s="1272">
        <f ca="1">IF(N42="测算结果/万元",G19,G20)</f>
        <v>387488</v>
      </c>
      <c r="O43" s="1273">
        <f ca="1">IF(O42="最终结果/万元",C32,C33)</f>
        <v>387488</v>
      </c>
      <c r="P43" s="2013"/>
      <c r="V43" s="2013"/>
    </row>
    <row r="44" spans="1:26" ht="18.75" thickBot="1">
      <c r="A44" s="3279" t="str">
        <f>IF(OR(项目基本情况!E8="抵押价格",项目基本情况!E8="已注销及未注销"),"3.抵押价格","——")</f>
        <v>3.抵押价格</v>
      </c>
      <c r="B44" s="3280"/>
      <c r="C44" s="264">
        <f ca="1">IF(A44="——","——",C42-C43)</f>
        <v>387488</v>
      </c>
      <c r="D44" s="317">
        <f ca="1">ROUND(C44*10000/'数据-汇总表'!E3,0)</f>
        <v>23869</v>
      </c>
      <c r="E44" s="317">
        <f ca="1">ROUND(C44*10000/'数据-汇总表'!D3,0)</f>
        <v>73755</v>
      </c>
      <c r="F44" s="318">
        <f ca="1">ROUND(C44/('数据-汇总表'!D3/666.67),0)</f>
        <v>4917</v>
      </c>
      <c r="G44" s="311"/>
      <c r="H44" s="311"/>
      <c r="I44" s="319"/>
      <c r="J44" s="2015"/>
      <c r="K44" s="1274" t="str">
        <f>D4</f>
        <v>比较法-住宅、综合</v>
      </c>
      <c r="L44" s="1275">
        <f ca="1">IF(L42="估价结果/万元",D19,D20)</f>
        <v>384151</v>
      </c>
      <c r="M44" s="1276">
        <f>D18</f>
        <v>0.5</v>
      </c>
      <c r="N44" s="1277"/>
      <c r="O44" s="1278"/>
      <c r="P44" s="2013"/>
      <c r="V44" s="2013"/>
    </row>
    <row r="45" spans="1:26" ht="15">
      <c r="A45" s="3285" t="str">
        <f>IF(项目基本情况!E8="已注销及未注销","4.抵押担保权已注销时的抵押价格",IF(项目基本情况!E8="已注销","3.抵押担保权已注销时的抵押价格","——"))</f>
        <v>——</v>
      </c>
      <c r="B45" s="328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6" t="s">
        <v>374</v>
      </c>
      <c r="B63" s="3327"/>
      <c r="C63" s="3328"/>
      <c r="D63" s="341">
        <f ca="1">ROUND(C42*F63,0)</f>
        <v>232493</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287" t="s">
        <v>378</v>
      </c>
      <c r="B64" s="3288"/>
      <c r="C64" s="3288"/>
      <c r="D64" s="3288"/>
      <c r="E64" s="3288"/>
      <c r="F64" s="3288"/>
      <c r="G64" s="3289"/>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83" t="s">
        <v>386</v>
      </c>
      <c r="B66" s="3284"/>
      <c r="C66" s="3284"/>
      <c r="D66" s="261">
        <f ca="1">IF(H66="情况1",0,IF(H66="情况2",D70,IF(H66="情况3",D71,IF(H66="情况4",D72))))</f>
        <v>12400</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41" t="s">
        <v>385</v>
      </c>
      <c r="M66" s="3342"/>
      <c r="N66" s="2422"/>
      <c r="O66" s="2423"/>
      <c r="P66" s="2424"/>
      <c r="Q66" s="2013"/>
      <c r="R66" s="2013"/>
      <c r="S66" s="2013"/>
      <c r="T66" s="2013"/>
      <c r="U66" s="2013"/>
      <c r="V66" s="2013"/>
    </row>
    <row r="67" spans="1:22" ht="25.5" customHeight="1">
      <c r="A67" s="352" t="s">
        <v>390</v>
      </c>
      <c r="B67" s="3274" t="s">
        <v>391</v>
      </c>
      <c r="C67" s="3274"/>
      <c r="D67" s="353">
        <v>0</v>
      </c>
      <c r="E67" s="41" t="s">
        <v>392</v>
      </c>
      <c r="F67" s="62" t="s">
        <v>21</v>
      </c>
      <c r="G67" s="3329"/>
      <c r="H67" s="311"/>
      <c r="I67" s="1288"/>
      <c r="J67" s="2020"/>
      <c r="K67" s="1961">
        <v>2</v>
      </c>
      <c r="L67" s="3340" t="s">
        <v>389</v>
      </c>
      <c r="M67" s="3340"/>
      <c r="N67" s="1321">
        <f>'数据-取费表'!B2</f>
        <v>43782</v>
      </c>
      <c r="O67" s="1321"/>
      <c r="P67" s="1321"/>
      <c r="Q67" s="2013"/>
      <c r="R67" s="2013"/>
      <c r="S67" s="2013"/>
      <c r="T67" s="2013"/>
      <c r="U67" s="2013"/>
      <c r="V67" s="2013"/>
    </row>
    <row r="68" spans="1:22" ht="25.5" customHeight="1">
      <c r="A68" s="354"/>
      <c r="B68" s="3274" t="s">
        <v>394</v>
      </c>
      <c r="C68" s="3274"/>
      <c r="D68" s="355"/>
      <c r="E68" s="77"/>
      <c r="F68" s="356"/>
      <c r="G68" s="3330"/>
      <c r="H68" s="311"/>
      <c r="I68" s="1288"/>
      <c r="J68" s="2020"/>
      <c r="K68" s="1961">
        <v>3</v>
      </c>
      <c r="L68" s="3340" t="s">
        <v>393</v>
      </c>
      <c r="M68" s="3340"/>
      <c r="N68" s="1289">
        <f ca="1">C42</f>
        <v>387488</v>
      </c>
      <c r="O68" s="1289"/>
      <c r="P68" s="1289"/>
      <c r="Q68" s="2013"/>
      <c r="R68" s="2013"/>
      <c r="S68" s="2013"/>
      <c r="T68" s="2013"/>
      <c r="U68" s="2013"/>
      <c r="V68" s="2013"/>
    </row>
    <row r="69" spans="1:22" ht="12" customHeight="1">
      <c r="A69" s="357"/>
      <c r="B69" s="3274" t="s">
        <v>395</v>
      </c>
      <c r="C69" s="3274"/>
      <c r="D69" s="358"/>
      <c r="E69" s="73"/>
      <c r="F69" s="356"/>
      <c r="G69" s="3331"/>
      <c r="H69" s="311"/>
      <c r="I69" s="1288"/>
      <c r="J69" s="2020"/>
      <c r="K69" s="1290">
        <v>4</v>
      </c>
      <c r="L69" s="3345" t="s">
        <v>2880</v>
      </c>
      <c r="M69" s="3346"/>
      <c r="N69" s="1291">
        <f ca="1">C44</f>
        <v>387488</v>
      </c>
      <c r="O69" s="1291"/>
      <c r="P69" s="1291"/>
      <c r="Q69" s="2013"/>
      <c r="R69" s="2013"/>
      <c r="S69" s="2013"/>
      <c r="T69" s="2013"/>
      <c r="U69" s="2013"/>
      <c r="V69" s="2013"/>
    </row>
    <row r="70" spans="1:22" ht="24" customHeight="1">
      <c r="A70" s="359" t="s">
        <v>396</v>
      </c>
      <c r="B70" s="3274" t="s">
        <v>397</v>
      </c>
      <c r="C70" s="3274"/>
      <c r="D70" s="358">
        <f ca="1">ROUND(D63*'数据-取费表'!B41/(1+'数据-取费表'!C42),0)</f>
        <v>12400</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75" t="s">
        <v>405</v>
      </c>
      <c r="C71" s="3276"/>
      <c r="D71" s="358">
        <f ca="1">ROUND(D63*'数据-取费表'!B41/(1+'数据-取费表'!C42),0)</f>
        <v>12400</v>
      </c>
      <c r="E71" s="17" t="s">
        <v>398</v>
      </c>
      <c r="F71" s="360">
        <f>'数据-取费表'!B41</f>
        <v>5.6000000000000001E-2</v>
      </c>
      <c r="G71" s="361"/>
      <c r="H71" s="311"/>
      <c r="I71" s="1288"/>
      <c r="J71" s="2020"/>
      <c r="K71" s="3012" t="s">
        <v>399</v>
      </c>
      <c r="L71" s="3347" t="s">
        <v>400</v>
      </c>
      <c r="M71" s="3347"/>
      <c r="N71" s="3012" t="s">
        <v>401</v>
      </c>
      <c r="O71" s="3012" t="s">
        <v>402</v>
      </c>
      <c r="P71" s="3012" t="s">
        <v>403</v>
      </c>
      <c r="Q71" s="2013"/>
      <c r="R71" s="2013"/>
      <c r="S71" s="2013"/>
      <c r="T71" s="2013"/>
      <c r="U71" s="2013"/>
      <c r="V71" s="2013"/>
    </row>
    <row r="72" spans="1:22" ht="12" customHeight="1">
      <c r="A72" s="359" t="s">
        <v>407</v>
      </c>
      <c r="B72" s="3275" t="s">
        <v>408</v>
      </c>
      <c r="C72" s="3276"/>
      <c r="D72" s="358">
        <f ca="1">C86</f>
        <v>12288</v>
      </c>
      <c r="E72" s="73" t="s">
        <v>409</v>
      </c>
      <c r="F72" s="360">
        <f>'数据-取费表'!B41</f>
        <v>5.6000000000000001E-2</v>
      </c>
      <c r="G72" s="361"/>
      <c r="H72" s="1294"/>
      <c r="I72" s="1288"/>
      <c r="J72" s="2020"/>
      <c r="K72" s="1961">
        <v>1</v>
      </c>
      <c r="L72" s="3322" t="s">
        <v>406</v>
      </c>
      <c r="M72" s="3322"/>
      <c r="N72" s="1292">
        <f ca="1">D66</f>
        <v>12400</v>
      </c>
      <c r="O72" s="1844" t="str">
        <f>E66</f>
        <v>销售额×税（费）率</v>
      </c>
      <c r="P72" s="1293">
        <f>F66</f>
        <v>5.6000000000000001E-2</v>
      </c>
      <c r="Q72" s="2013"/>
      <c r="R72" s="2013"/>
      <c r="S72" s="2013"/>
      <c r="T72" s="2013"/>
      <c r="U72" s="2013"/>
      <c r="V72" s="2013"/>
    </row>
    <row r="73" spans="1:22" ht="24" customHeight="1">
      <c r="A73" s="3316" t="s">
        <v>411</v>
      </c>
      <c r="B73" s="3284"/>
      <c r="C73" s="3284"/>
      <c r="D73" s="362">
        <f>IF(H73="个人住宅",0,ROUND(D63*I73,0))</f>
        <v>0</v>
      </c>
      <c r="E73" s="17" t="s">
        <v>412</v>
      </c>
      <c r="F73" s="360" t="str">
        <f>IF(H73="正常",I73,"免征")</f>
        <v>免征</v>
      </c>
      <c r="G73" s="361"/>
      <c r="H73" s="191" t="s">
        <v>2452</v>
      </c>
      <c r="I73" s="360">
        <f>'数据-取费表'!B49</f>
        <v>5.0000000000000001E-4</v>
      </c>
      <c r="J73" s="2020"/>
      <c r="K73" s="1961">
        <v>2</v>
      </c>
      <c r="L73" s="3322" t="s">
        <v>410</v>
      </c>
      <c r="M73" s="3322"/>
      <c r="N73" s="1292">
        <f t="shared" ref="N73:P74" si="1">D73</f>
        <v>0</v>
      </c>
      <c r="O73" s="1844" t="str">
        <f t="shared" si="1"/>
        <v>销售额×税（费）率</v>
      </c>
      <c r="P73" s="1293" t="str">
        <f t="shared" si="1"/>
        <v>免征</v>
      </c>
      <c r="Q73" s="2013"/>
      <c r="R73" s="2013"/>
      <c r="S73" s="2013"/>
      <c r="T73" s="2013"/>
      <c r="U73" s="2013"/>
      <c r="V73" s="2013"/>
    </row>
    <row r="74" spans="1:22" ht="24.75">
      <c r="A74" s="3316" t="s">
        <v>415</v>
      </c>
      <c r="B74" s="3284"/>
      <c r="C74" s="3284"/>
      <c r="D74" s="362">
        <f ca="1">IF(H74="个人住宅",D75,D76)</f>
        <v>130935</v>
      </c>
      <c r="E74" s="17" t="s">
        <v>416</v>
      </c>
      <c r="F74" s="360" t="str">
        <f>IF(H74="正常",F76,"免征")</f>
        <v>——</v>
      </c>
      <c r="G74" s="983" t="s">
        <v>417</v>
      </c>
      <c r="H74" s="363" t="s">
        <v>413</v>
      </c>
      <c r="I74" s="42"/>
      <c r="J74" s="2020"/>
      <c r="K74" s="1961">
        <v>3</v>
      </c>
      <c r="L74" s="3322" t="s">
        <v>414</v>
      </c>
      <c r="M74" s="3322"/>
      <c r="N74" s="1292">
        <f t="shared" ca="1" si="1"/>
        <v>130935</v>
      </c>
      <c r="O74" s="1844" t="str">
        <f t="shared" si="1"/>
        <v>增值额×税（费）率</v>
      </c>
      <c r="P74" s="1295" t="str">
        <f t="shared" si="1"/>
        <v>——</v>
      </c>
      <c r="Q74" s="2013"/>
      <c r="R74" s="2013"/>
      <c r="S74" s="2013"/>
      <c r="T74" s="2013"/>
      <c r="U74" s="2013"/>
      <c r="V74" s="2013"/>
    </row>
    <row r="75" spans="1:22" ht="24">
      <c r="A75" s="359" t="s">
        <v>418</v>
      </c>
      <c r="B75" s="3272" t="s">
        <v>419</v>
      </c>
      <c r="C75" s="3302"/>
      <c r="D75" s="364">
        <v>0</v>
      </c>
      <c r="E75" s="41" t="s">
        <v>420</v>
      </c>
      <c r="F75" s="365"/>
      <c r="G75" s="361"/>
      <c r="H75" s="42"/>
      <c r="I75" s="42"/>
      <c r="J75" s="2020"/>
      <c r="K75" s="3005">
        <f>IF(H77="非个人房产","",4)</f>
        <v>4</v>
      </c>
      <c r="L75" s="3322" t="str">
        <f>IF(H77="非个人房产","——","个人所得税")</f>
        <v>个人所得税</v>
      </c>
      <c r="M75" s="3322"/>
      <c r="N75" s="1296">
        <f ca="1">D77</f>
        <v>2325</v>
      </c>
      <c r="O75" s="1857" t="str">
        <f>E77</f>
        <v>销售额×税（费）率</v>
      </c>
      <c r="P75" s="1297">
        <f>F77</f>
        <v>0.01</v>
      </c>
      <c r="Q75" s="2013"/>
      <c r="R75" s="2013"/>
      <c r="S75" s="2013"/>
      <c r="T75" s="2013"/>
      <c r="U75" s="2013"/>
      <c r="V75" s="2013"/>
    </row>
    <row r="76" spans="1:22" ht="24.75">
      <c r="A76" s="359" t="s">
        <v>396</v>
      </c>
      <c r="B76" s="3272" t="s">
        <v>422</v>
      </c>
      <c r="C76" s="3273"/>
      <c r="D76" s="362">
        <f ca="1">IF(H76="转让取得",C99,C115)</f>
        <v>130935</v>
      </c>
      <c r="E76" s="17" t="s">
        <v>423</v>
      </c>
      <c r="F76" s="53" t="s">
        <v>21</v>
      </c>
      <c r="G76" s="361"/>
      <c r="H76" s="363" t="s">
        <v>424</v>
      </c>
      <c r="I76" s="42"/>
      <c r="J76" s="2020"/>
      <c r="K76" s="3005" t="str">
        <f>IF(项目基本情况!K6="上海银行",IF(K75="",4,K75+1),"")</f>
        <v/>
      </c>
      <c r="L76" s="3333" t="str">
        <f>IF(项目基本情况!K6="上海银行","其他处置费用","")</f>
        <v/>
      </c>
      <c r="M76" s="3334"/>
      <c r="N76" s="1292" t="str">
        <f>IF(项目基本情况!K6="上海银行",N89,"")</f>
        <v/>
      </c>
      <c r="O76" s="3335" t="str">
        <f>IF(项目基本情况!K6="上海银行","包含处置中涉及的律师、诉讼、拍卖、评估等费用","")</f>
        <v/>
      </c>
      <c r="P76" s="3336"/>
      <c r="Q76" s="2013"/>
      <c r="R76" s="2013"/>
      <c r="S76" s="2013"/>
      <c r="T76" s="2013"/>
      <c r="U76" s="2013"/>
      <c r="V76" s="2013"/>
    </row>
    <row r="77" spans="1:22" ht="26.25" thickBot="1">
      <c r="A77" s="3324" t="s">
        <v>426</v>
      </c>
      <c r="B77" s="3325"/>
      <c r="C77" s="3325"/>
      <c r="D77" s="366">
        <f ca="1">IF(H77="非个人房产","——",IF(H77="个人住宅",0,ROUND(D63*I77,0)))</f>
        <v>2325</v>
      </c>
      <c r="E77" s="367" t="str">
        <f>IF(H77="非个人房产","——","销售额×税（费）率")</f>
        <v>销售额×税（费）率</v>
      </c>
      <c r="F77" s="368">
        <f>IF(H77="非个人房产","——",IF(H77="个人住宅","免征",I77))</f>
        <v>0.01</v>
      </c>
      <c r="G77" s="984" t="s">
        <v>417</v>
      </c>
      <c r="H77" s="363" t="s">
        <v>2881</v>
      </c>
      <c r="I77" s="369">
        <v>0.01</v>
      </c>
      <c r="J77" s="2020"/>
      <c r="K77" s="3323">
        <f>IF(AND(K75="",K76=""),4,IF(项目基本情况!K6="上海银行",K76+1,K75+1))</f>
        <v>5</v>
      </c>
      <c r="L77" s="3322" t="s">
        <v>2882</v>
      </c>
      <c r="M77" s="3011" t="s">
        <v>421</v>
      </c>
      <c r="N77" s="1298"/>
      <c r="O77" s="1299">
        <f ca="1">SUMIF(N72:N76,"&lt;9e307")</f>
        <v>145660</v>
      </c>
      <c r="P77" s="1300"/>
      <c r="Q77" s="3009">
        <f ca="1">O77/N69</f>
        <v>0.37590841522834256</v>
      </c>
      <c r="R77" s="2013"/>
      <c r="S77" s="2013"/>
      <c r="T77" s="2013"/>
      <c r="U77" s="2013"/>
      <c r="V77" s="2013"/>
    </row>
    <row r="78" spans="1:22" ht="12" customHeight="1">
      <c r="A78" s="1301"/>
      <c r="B78" s="311"/>
      <c r="C78" s="311"/>
      <c r="D78" s="311"/>
      <c r="E78" s="42"/>
      <c r="F78" s="42"/>
      <c r="G78" s="42"/>
      <c r="H78" s="1003"/>
      <c r="I78" s="311"/>
      <c r="J78" s="2020"/>
      <c r="K78" s="3323"/>
      <c r="L78" s="3322"/>
      <c r="M78" s="3011" t="s">
        <v>425</v>
      </c>
      <c r="N78" s="1298"/>
      <c r="O78" s="1299" t="str">
        <f ca="1">NUMBERSTRING(INT(O77*10000),2)&amp;"元整"</f>
        <v>壹拾肆亿伍仟陆佰陆拾万元整</v>
      </c>
      <c r="P78" s="1300"/>
      <c r="Q78" s="2013"/>
      <c r="R78" s="2013"/>
      <c r="S78" s="2013"/>
      <c r="T78" s="2013"/>
      <c r="U78" s="2013"/>
      <c r="V78" s="2013"/>
    </row>
    <row r="79" spans="1:22" ht="13.5" thickBot="1">
      <c r="A79" s="3317" t="s">
        <v>427</v>
      </c>
      <c r="B79" s="3317"/>
      <c r="C79" s="3317"/>
      <c r="D79" s="3317"/>
      <c r="E79" s="3317"/>
      <c r="F79" s="42"/>
      <c r="G79" s="42"/>
      <c r="H79" s="1003"/>
      <c r="I79" s="311"/>
      <c r="J79" s="2020"/>
      <c r="K79" s="3343">
        <f>K77+1</f>
        <v>6</v>
      </c>
      <c r="L79" s="3322" t="s">
        <v>2883</v>
      </c>
      <c r="M79" s="3011" t="s">
        <v>421</v>
      </c>
      <c r="N79" s="1298"/>
      <c r="O79" s="1299">
        <f ca="1">N69-O77</f>
        <v>241828</v>
      </c>
      <c r="P79" s="1300"/>
      <c r="Q79" s="2013"/>
      <c r="R79" s="2013"/>
      <c r="S79" s="2013"/>
      <c r="T79" s="2013"/>
      <c r="U79" s="2013"/>
      <c r="V79" s="2013"/>
    </row>
    <row r="80" spans="1:22" ht="12.75">
      <c r="A80" s="3312" t="s">
        <v>428</v>
      </c>
      <c r="B80" s="3313"/>
      <c r="C80" s="994"/>
      <c r="D80" s="994" t="s">
        <v>429</v>
      </c>
      <c r="E80" s="370" t="s">
        <v>430</v>
      </c>
      <c r="F80" s="42"/>
      <c r="G80" s="42"/>
      <c r="H80" s="1003"/>
      <c r="I80" s="311"/>
      <c r="J80" s="2013"/>
      <c r="K80" s="3344"/>
      <c r="L80" s="3322"/>
      <c r="M80" s="3011" t="s">
        <v>425</v>
      </c>
      <c r="N80" s="1298"/>
      <c r="O80" s="1299" t="str">
        <f ca="1">NUMBERSTRING(INT(O79*10000),2)&amp;"元整"</f>
        <v>贰拾肆亿壹仟捌佰贰拾捌万元整</v>
      </c>
      <c r="P80" s="1300"/>
      <c r="Q80" s="2013"/>
      <c r="R80" s="2013"/>
      <c r="S80" s="2013"/>
      <c r="T80" s="2013"/>
      <c r="U80" s="2013"/>
      <c r="V80" s="2013"/>
    </row>
    <row r="81" spans="1:26" ht="13.5" thickBot="1">
      <c r="A81" s="381" t="s">
        <v>1823</v>
      </c>
      <c r="B81" s="371" t="s">
        <v>431</v>
      </c>
      <c r="C81" s="372">
        <f ca="1">ROUND((C82+C83)/(1+'数据-取费表'!C42),0)</f>
        <v>221422</v>
      </c>
      <c r="D81" s="373"/>
      <c r="E81" s="374"/>
      <c r="F81" s="42"/>
      <c r="G81" s="42"/>
      <c r="H81" s="1003"/>
      <c r="I81" s="311"/>
      <c r="J81" s="2013"/>
      <c r="K81" s="3005">
        <f>K79+1</f>
        <v>7</v>
      </c>
      <c r="L81" s="3320" t="s">
        <v>2884</v>
      </c>
      <c r="M81" s="3321"/>
      <c r="N81" s="1302"/>
      <c r="O81" s="1303">
        <f ca="1">ROUND(O79*10000/'数据-汇总表'!E3,0)</f>
        <v>14897</v>
      </c>
      <c r="P81" s="1304"/>
      <c r="Q81" s="2013"/>
      <c r="R81" s="2013"/>
      <c r="S81" s="2013"/>
      <c r="T81" s="2013"/>
      <c r="U81" s="2013"/>
      <c r="V81" s="2013"/>
    </row>
    <row r="82" spans="1:26" ht="13.5" thickTop="1">
      <c r="A82" s="375" t="s">
        <v>1824</v>
      </c>
      <c r="B82" s="376" t="s">
        <v>432</v>
      </c>
      <c r="C82" s="377">
        <f ca="1">D63</f>
        <v>232493</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32" t="s">
        <v>2871</v>
      </c>
      <c r="L83" s="3017" t="s">
        <v>2872</v>
      </c>
      <c r="M83" s="3007">
        <f ca="1">IF(N69&gt;10000,N69*0.5%,IF(AND(N69&gt;1000,N69&lt;=10000),N69*1%,IF(AND(N69&gt;100,N69&lt;=1000),N69*3%,IF(AND(N69&gt;10,N69&lt;=100),N69*5%,N69*8%))))</f>
        <v>1937.44</v>
      </c>
      <c r="N83" s="53">
        <f ca="1">ROUND(M83,1)</f>
        <v>1937.4</v>
      </c>
      <c r="O83" s="3010"/>
      <c r="P83" s="2013"/>
      <c r="Q83" s="2013"/>
      <c r="R83" s="2013"/>
      <c r="S83" s="2013"/>
      <c r="T83" s="2013"/>
      <c r="U83" s="2013"/>
      <c r="V83" s="2013"/>
    </row>
    <row r="84" spans="1:26" ht="12.75">
      <c r="A84" s="381" t="s">
        <v>1826</v>
      </c>
      <c r="B84" s="382" t="s">
        <v>434</v>
      </c>
      <c r="C84" s="383">
        <v>2000</v>
      </c>
      <c r="D84" s="384" t="s">
        <v>19</v>
      </c>
      <c r="E84" s="3051" t="s">
        <v>2935</v>
      </c>
      <c r="F84" s="42"/>
      <c r="G84" s="42"/>
      <c r="H84" s="1003"/>
      <c r="I84" s="311"/>
      <c r="J84" s="2013"/>
      <c r="K84" s="3332"/>
      <c r="L84" s="3017" t="s">
        <v>2873</v>
      </c>
      <c r="M84" s="3007">
        <f ca="1">IF(N69&gt;2000,N69*0.5%,IF(AND(N69&gt;1000,N69&lt;=2000),N69*0.6%,IF(AND(N69&gt;500,N69&lt;=1000),N69*0.7%,IF(AND(N69&gt;200,N69&lt;=500),N69*0.8%,IF(AND(N69&gt;100,N69&lt;=200),N69*0.9%,IF(AND(N69&gt;50,N69&lt;=100),N69*1%,IF(AND(N69&gt;20,N69&lt;=50),N69*1.5%,IF(AND(N69&gt;10,N69&lt;=20),N69*2%,IF(AND(N69&gt;1,N69&lt;=10),N69*2.5%)))))))))</f>
        <v>1937.44</v>
      </c>
      <c r="N84" s="53">
        <f t="shared" ref="N84:N85" ca="1" si="2">ROUND(M84,1)</f>
        <v>1937.4</v>
      </c>
      <c r="O84" s="2013" t="s">
        <v>2874</v>
      </c>
      <c r="P84" s="2013"/>
      <c r="Q84" s="2013"/>
      <c r="R84" s="2013"/>
      <c r="S84" s="2013"/>
      <c r="T84" s="2013"/>
      <c r="U84" s="2013"/>
      <c r="V84" s="2013"/>
    </row>
    <row r="85" spans="1:26" ht="12.75">
      <c r="A85" s="381" t="s">
        <v>1827</v>
      </c>
      <c r="B85" s="382" t="s">
        <v>435</v>
      </c>
      <c r="C85" s="385">
        <f ca="1">C81-C84</f>
        <v>219422</v>
      </c>
      <c r="D85" s="378" t="s">
        <v>19</v>
      </c>
      <c r="E85" s="379"/>
      <c r="F85" s="42"/>
      <c r="G85" s="42"/>
      <c r="H85" s="1003"/>
      <c r="I85" s="311"/>
      <c r="J85" s="2013"/>
      <c r="K85" s="3332"/>
      <c r="L85" s="3017" t="s">
        <v>2875</v>
      </c>
      <c r="M85" s="3007">
        <f ca="1">IF(N69&gt;1000,N69*0.1%,IF(AND(N69&gt;500,N69&lt;=1000),N69*0.5%,IF(AND(N69&gt;50,N69&lt;=500),N69*1%,IF(AND(N69&gt;1,N69&lt;=50),N69*1.5%))))</f>
        <v>387.488</v>
      </c>
      <c r="N85" s="53">
        <f t="shared" ca="1" si="2"/>
        <v>387.5</v>
      </c>
      <c r="O85" s="2013" t="s">
        <v>2874</v>
      </c>
      <c r="P85" s="2013"/>
      <c r="Q85" s="2013"/>
      <c r="R85" s="2013"/>
      <c r="S85" s="2013"/>
      <c r="T85" s="2013"/>
      <c r="U85" s="2013"/>
      <c r="V85" s="2013"/>
    </row>
    <row r="86" spans="1:26" ht="13.5" thickBot="1">
      <c r="A86" s="386" t="s">
        <v>1828</v>
      </c>
      <c r="B86" s="387" t="s">
        <v>436</v>
      </c>
      <c r="C86" s="388">
        <f ca="1">IF(C85&lt;=0,0,ROUND(C85*D86,0))</f>
        <v>12288</v>
      </c>
      <c r="D86" s="389">
        <f>'数据-取费表'!B41</f>
        <v>5.6000000000000001E-2</v>
      </c>
      <c r="E86" s="390"/>
      <c r="F86" s="42"/>
      <c r="G86" s="42"/>
      <c r="H86" s="1003"/>
      <c r="I86" s="311"/>
      <c r="J86" s="2013"/>
      <c r="K86" s="3332"/>
      <c r="L86" s="3017" t="s">
        <v>2876</v>
      </c>
      <c r="M86" s="3007">
        <f ca="1">N69*0.5%</f>
        <v>1937.44</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32"/>
      <c r="L87" s="3017" t="s">
        <v>2878</v>
      </c>
      <c r="M87" s="3007">
        <f ca="1">IF(N69&gt;=10000,(8.25+(N69-10000)*0.01%),IF(AND(N69&gt;=8000,N69&lt;10000),(7.85+(N69-8000)*0.02%),IF(AND(N69&gt;=5000,N69&lt;8000),(6.65+(N69-5000)*0.04%),IF(AND(N69&gt;=2000,N69&lt;5000),(4.25+(PN69-2000)*0.08%),IF(AND(N69&gt;=1000,N69&lt;2000),(2.75+(N69-1000)*0.15%),IF(AND(N69&gt;=100,N69&lt;1000),(0.5+(N69-100)*0.25%),IF(AND(N69&gt;0,N69&lt;100),N69*0.5%)))))))</f>
        <v>45.998800000000003</v>
      </c>
      <c r="N87" s="53">
        <f ca="1">ROUND(M87*0.9,1)</f>
        <v>41.4</v>
      </c>
      <c r="O87" s="3010"/>
      <c r="P87" s="311"/>
      <c r="Q87" s="2013"/>
      <c r="R87" s="2013"/>
      <c r="S87" s="2013"/>
      <c r="T87" s="2013"/>
      <c r="U87" s="2013"/>
      <c r="V87" s="2013"/>
      <c r="W87" s="292"/>
      <c r="X87" s="292"/>
      <c r="Y87" s="292"/>
      <c r="Z87" s="292"/>
    </row>
    <row r="88" spans="1:26" s="1310" customFormat="1" ht="15" thickBot="1">
      <c r="A88" s="3314" t="s">
        <v>437</v>
      </c>
      <c r="B88" s="3315"/>
      <c r="C88" s="3315"/>
      <c r="D88" s="3315"/>
      <c r="E88" s="3315"/>
      <c r="F88" s="3315"/>
      <c r="G88" s="3315"/>
      <c r="H88" s="3315"/>
      <c r="I88" s="1311"/>
      <c r="J88" s="2021"/>
      <c r="K88" s="3332"/>
      <c r="L88" s="3017" t="s">
        <v>2879</v>
      </c>
      <c r="M88" s="3007">
        <f ca="1">IF(N69&gt;10000,N69*0.5%,IF(AND(N69&gt;5000,N69&lt;=10000),N69*1%,IF(AND(N69&gt;1000,N69&lt;=5000),N69*2%,IF(AND(N69&gt;200,N69&lt;=1000),N69*3%,N69*5%))))</f>
        <v>1937.44</v>
      </c>
      <c r="N88" s="53">
        <f ca="1">ROUND(M88,1)</f>
        <v>1937.4</v>
      </c>
      <c r="O88" s="3010"/>
      <c r="P88" s="11"/>
      <c r="Q88" s="2018"/>
      <c r="R88" s="2018"/>
      <c r="S88" s="2018"/>
      <c r="T88" s="2018"/>
      <c r="U88" s="2018"/>
      <c r="V88" s="2018"/>
      <c r="W88" s="2022"/>
      <c r="X88" s="2022"/>
      <c r="Y88" s="2022"/>
      <c r="Z88" s="2022"/>
    </row>
    <row r="89" spans="1:26" s="1310" customFormat="1" ht="14.25">
      <c r="A89" s="3312" t="s">
        <v>428</v>
      </c>
      <c r="B89" s="3313"/>
      <c r="C89" s="994"/>
      <c r="D89" s="994" t="s">
        <v>429</v>
      </c>
      <c r="E89" s="391" t="s">
        <v>438</v>
      </c>
      <c r="F89" s="392"/>
      <c r="G89" s="392"/>
      <c r="H89" s="393"/>
      <c r="I89" s="1312"/>
      <c r="J89" s="2023"/>
      <c r="K89" s="3332"/>
      <c r="L89" s="3017" t="s">
        <v>27</v>
      </c>
      <c r="M89" s="3008"/>
      <c r="N89" s="53">
        <f ca="1">ROUND(SUM(N83:N88),0)</f>
        <v>6242</v>
      </c>
      <c r="O89" s="3018">
        <f ca="1">N89/N69</f>
        <v>1.6108885952597241E-2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221422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3890</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75" t="s">
        <v>447</v>
      </c>
      <c r="F94" s="3274"/>
      <c r="G94" s="3274"/>
      <c r="H94" s="331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1329</v>
      </c>
      <c r="D96" s="406">
        <f>'数据-取费表'!B43</f>
        <v>6.000000000000001E-3</v>
      </c>
      <c r="E96" s="3303" t="s">
        <v>2425</v>
      </c>
      <c r="F96" s="3304"/>
      <c r="G96" s="3304"/>
      <c r="H96" s="330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217532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55.92082262210797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129158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14" t="s">
        <v>454</v>
      </c>
      <c r="B101" s="3315"/>
      <c r="C101" s="3315"/>
      <c r="D101" s="3315"/>
      <c r="E101" s="3315"/>
      <c r="F101" s="3315"/>
      <c r="G101" s="3315"/>
      <c r="H101" s="331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12" t="s">
        <v>428</v>
      </c>
      <c r="B102" s="3313"/>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221422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2019</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06" t="s">
        <v>462</v>
      </c>
      <c r="F109" s="3304"/>
      <c r="G109" s="3304"/>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06" t="s">
        <v>464</v>
      </c>
      <c r="F110" s="3304"/>
      <c r="G110" s="3304"/>
      <c r="H110" s="330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1329</v>
      </c>
      <c r="D111" s="406">
        <f>'数据-取费表'!B43</f>
        <v>6.000000000000001E-3</v>
      </c>
      <c r="E111" s="3303" t="s">
        <v>2425</v>
      </c>
      <c r="F111" s="3304"/>
      <c r="G111" s="3304"/>
      <c r="H111" s="330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06" t="s">
        <v>2450</v>
      </c>
      <c r="F112" s="3304"/>
      <c r="G112" s="3304"/>
      <c r="H112" s="330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219403</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108.6691431401684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130935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G23" sqref="G23"/>
    </sheetView>
  </sheetViews>
  <sheetFormatPr defaultColWidth="6.625" defaultRowHeight="12.75"/>
  <cols>
    <col min="1" max="1" width="9.875" style="2109" customWidth="1"/>
    <col min="2" max="2" width="25.8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10</v>
      </c>
    </row>
    <row r="2" spans="1:31" s="2026" customFormat="1" ht="18" customHeight="1">
      <c r="A2" s="2086" t="s">
        <v>467</v>
      </c>
      <c r="B2" s="2090">
        <f ca="1">C36</f>
        <v>390825</v>
      </c>
      <c r="C2" s="2089"/>
      <c r="D2" s="2089"/>
      <c r="E2" s="2089"/>
      <c r="F2" s="2089"/>
      <c r="G2" s="2089"/>
      <c r="H2" s="2089"/>
      <c r="I2" s="2089"/>
      <c r="J2" s="2089"/>
      <c r="K2" s="2089"/>
    </row>
    <row r="3" spans="1:31" s="2026" customFormat="1" ht="18" customHeight="1">
      <c r="A3" s="2091" t="s">
        <v>1684</v>
      </c>
      <c r="B3" s="2092">
        <f ca="1">ROUND(B2*10000/IF(B1="",'数据-汇总表'!E3,INDIRECT("'数据-取费表'!K"&amp;$K$1)),0)</f>
        <v>24075</v>
      </c>
      <c r="C3" s="2089"/>
      <c r="D3" s="2089"/>
      <c r="E3" s="2089"/>
      <c r="F3" s="2089"/>
      <c r="G3" s="2089"/>
      <c r="H3" s="2089"/>
      <c r="I3" s="2089"/>
      <c r="J3" s="2089"/>
      <c r="K3" s="2089"/>
    </row>
    <row r="4" spans="1:31" s="2026" customFormat="1" ht="18" customHeight="1">
      <c r="A4" s="426" t="s">
        <v>468</v>
      </c>
      <c r="B4" s="427">
        <f ca="1">ROUND(B2*10000/IF(B1="",'数据-汇总表'!D3,INDIRECT("'数据-取费表'!R"&amp;$K$1)),0)</f>
        <v>74391</v>
      </c>
      <c r="C4" s="428"/>
      <c r="D4" s="422"/>
      <c r="E4" s="422"/>
      <c r="F4" s="422"/>
      <c r="G4" s="422"/>
      <c r="H4" s="422"/>
      <c r="I4" s="422"/>
      <c r="J4" s="422"/>
      <c r="K4" s="422"/>
    </row>
    <row r="5" spans="1:31" s="2026" customFormat="1" ht="18" customHeight="1" thickBot="1">
      <c r="A5" s="429"/>
      <c r="B5" s="430">
        <f ca="1">ROUND(B2/(IF(B1="",'数据-汇总表'!D3,INDIRECT("'数据-取费表'!R"&amp;$K$1))/666.67),0)</f>
        <v>4959</v>
      </c>
      <c r="C5" s="431" t="s">
        <v>469</v>
      </c>
      <c r="D5" s="422"/>
      <c r="E5" s="422"/>
      <c r="F5" s="422"/>
      <c r="G5" s="422"/>
      <c r="H5" s="422"/>
      <c r="I5" s="422"/>
      <c r="J5" s="422"/>
      <c r="K5" s="422"/>
    </row>
    <row r="6" spans="1:31" s="2096" customFormat="1" ht="16.5" customHeight="1">
      <c r="A6" s="2783" t="s">
        <v>1842</v>
      </c>
      <c r="B6" s="2784"/>
      <c r="C6" s="2785">
        <f>SUM(C10:K10)</f>
        <v>643779.25939999998</v>
      </c>
      <c r="D6" s="2784"/>
      <c r="E6" s="2784"/>
      <c r="F6" s="2784"/>
      <c r="G6" s="2784"/>
      <c r="H6" s="2784"/>
      <c r="I6" s="2784"/>
      <c r="J6" s="2784"/>
      <c r="K6" s="2786"/>
    </row>
    <row r="7" spans="1:31" s="2098" customFormat="1" ht="15">
      <c r="A7" s="2787" t="s">
        <v>470</v>
      </c>
      <c r="B7" s="2788" t="s">
        <v>471</v>
      </c>
      <c r="C7" s="436" t="s">
        <v>923</v>
      </c>
      <c r="D7" s="436" t="s">
        <v>3017</v>
      </c>
      <c r="E7" s="436" t="s">
        <v>3003</v>
      </c>
      <c r="F7" s="436" t="s">
        <v>3020</v>
      </c>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67702</v>
      </c>
      <c r="D8" s="2789">
        <v>5000</v>
      </c>
      <c r="E8" s="2789">
        <v>8952</v>
      </c>
      <c r="F8" s="2789">
        <v>8952</v>
      </c>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87847</v>
      </c>
      <c r="D9" s="441">
        <f>SUMIF('数据-汇总表'!$C19:$C33,'剩余法-待开发'!D7,'数据-汇总表'!$E19:$E33)</f>
        <v>14150</v>
      </c>
      <c r="E9" s="441">
        <f>SUMIF('数据-汇总表'!$C19:$C33,'剩余法-待开发'!E7,'数据-汇总表'!$E19:$E33)</f>
        <v>125</v>
      </c>
      <c r="F9" s="441">
        <f>SUMIF('数据-汇总表'!$C19:$C33,'剩余法-待开发'!F7,'数据-汇总表'!$E19:$E33)</f>
        <v>46750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C8*C9/10000</f>
        <v>594741.75939999998</v>
      </c>
      <c r="D10" s="2981">
        <f>D8*D9/10000</f>
        <v>7075</v>
      </c>
      <c r="E10" s="2981">
        <f>E8*E9/10000</f>
        <v>111.9</v>
      </c>
      <c r="F10" s="2792">
        <f>F8*F9/10000</f>
        <v>41850.6</v>
      </c>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43955</v>
      </c>
      <c r="D13" s="2799"/>
      <c r="E13" s="2800"/>
      <c r="F13" s="2801"/>
      <c r="G13" s="2767"/>
      <c r="H13" s="2768"/>
      <c r="I13" s="2768"/>
      <c r="J13" s="2768"/>
      <c r="K13" s="2769"/>
    </row>
    <row r="14" spans="1:31" s="2101" customFormat="1" ht="13.5" customHeight="1">
      <c r="A14" s="2797" t="s">
        <v>1849</v>
      </c>
      <c r="B14" s="2798" t="s">
        <v>480</v>
      </c>
      <c r="C14" s="53">
        <f ca="1">ROUND(C13*F14,0)</f>
        <v>1319</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1495</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3247</v>
      </c>
      <c r="D16" s="2799">
        <f ca="1">IF(B1="",'数据-汇总表'!E3,INDIRECT("'数据-取费表'!K"&amp;$K$1)+INDIRECT("'数据-取费表'!S"&amp;$K$1))</f>
        <v>162338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659</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50675</v>
      </c>
      <c r="D18" s="2808"/>
      <c r="E18" s="468"/>
      <c r="F18" s="468"/>
      <c r="G18" s="2771" t="s">
        <v>2427</v>
      </c>
      <c r="H18" s="2772"/>
      <c r="I18" s="2772"/>
      <c r="J18" s="2772"/>
      <c r="K18" s="2773"/>
    </row>
    <row r="19" spans="1:14" s="2101" customFormat="1" ht="13.5" customHeight="1">
      <c r="A19" s="2805" t="s">
        <v>1854</v>
      </c>
      <c r="B19" s="2806" t="s">
        <v>488</v>
      </c>
      <c r="C19" s="2763">
        <f ca="1">ROUND(D19*E19/10000,0)</f>
        <v>2435</v>
      </c>
      <c r="D19" s="2809">
        <f ca="1">D16</f>
        <v>162338</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54</v>
      </c>
      <c r="D20" s="2809"/>
      <c r="E20" s="2763"/>
      <c r="F20" s="2810"/>
      <c r="G20" s="3040" t="s">
        <v>3031</v>
      </c>
      <c r="H20" s="2765"/>
      <c r="I20" s="2766" t="s">
        <v>2648</v>
      </c>
      <c r="J20" s="2772"/>
      <c r="K20" s="2773"/>
    </row>
    <row r="21" spans="1:14" s="2101" customFormat="1" ht="13.5" customHeight="1">
      <c r="A21" s="2797" t="s">
        <v>1856</v>
      </c>
      <c r="B21" s="2798" t="s">
        <v>491</v>
      </c>
      <c r="C21" s="53">
        <f ca="1">ROUND(D21*E21/10000,0)</f>
        <v>1632</v>
      </c>
      <c r="D21" s="2799">
        <f ca="1">IF(B1="",'数据-汇总表'!E5,IF(INDIRECT("'数据-取费表'!c"&amp;$K$1)="住宅",INDIRECT("'数据-取费表'!k"&amp;$K$1),0))</f>
        <v>101997</v>
      </c>
      <c r="E21" s="53">
        <f>'数据-取费表'!B27</f>
        <v>160</v>
      </c>
      <c r="F21" s="2802"/>
      <c r="G21" s="26"/>
      <c r="H21" s="51"/>
      <c r="I21" s="51"/>
      <c r="J21" s="51"/>
      <c r="K21" s="2774"/>
    </row>
    <row r="22" spans="1:14" s="2101" customFormat="1" ht="13.5" customHeight="1">
      <c r="A22" s="2797" t="s">
        <v>1857</v>
      </c>
      <c r="B22" s="2798" t="s">
        <v>492</v>
      </c>
      <c r="C22" s="53">
        <f ca="1">ROUND(D22*E22/10000,0)</f>
        <v>1207</v>
      </c>
      <c r="D22" s="2799">
        <f ca="1">IF(B1="",'数据-汇总表'!E6,IF(INDIRECT("'数据-取费表'!c"&amp;$K$1)="住宅",INDIRECT("'数据-取费表'!s"&amp;$K$1),INDIRECT("'数据-取费表'!k"&amp;$K$1)+INDIRECT("'数据-取费表'!s"&amp;$K$1)))</f>
        <v>60341</v>
      </c>
      <c r="E22" s="53">
        <f>'数据-取费表'!B28</f>
        <v>200</v>
      </c>
      <c r="F22" s="2802"/>
      <c r="G22" s="26"/>
      <c r="H22" s="51"/>
      <c r="I22" s="51"/>
      <c r="J22" s="51"/>
      <c r="K22" s="2774"/>
    </row>
    <row r="23" spans="1:14" s="2101" customFormat="1" ht="13.5" customHeight="1">
      <c r="A23" s="2805" t="s">
        <v>1858</v>
      </c>
      <c r="B23" s="2987" t="s">
        <v>2831</v>
      </c>
      <c r="C23" s="2807">
        <f ca="1">ROUND((C18+C19+C20)*F23,0)</f>
        <v>1063</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7" t="s">
        <v>2834</v>
      </c>
      <c r="C24" s="2807">
        <f>ROUND(C6*F24,0)</f>
        <v>12876</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2286</v>
      </c>
      <c r="H25" s="2768"/>
      <c r="I25" s="2768"/>
      <c r="J25" s="2768"/>
      <c r="K25" s="2769"/>
    </row>
    <row r="26" spans="1:14" s="2103" customFormat="1" ht="13.5" customHeight="1">
      <c r="A26" s="2805" t="s">
        <v>1861</v>
      </c>
      <c r="B26" s="2988" t="s">
        <v>2833</v>
      </c>
      <c r="C26" s="2812">
        <f ca="1">C28</f>
        <v>6526</v>
      </c>
      <c r="D26" s="467">
        <f ca="1">C27</f>
        <v>0.2099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0.2099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6526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34335</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107964</v>
      </c>
      <c r="D30" s="477">
        <f ca="1">C32</f>
        <v>0.2389</v>
      </c>
      <c r="E30" s="469" t="s">
        <v>495</v>
      </c>
      <c r="F30" s="471"/>
      <c r="G30" s="2775" t="s">
        <v>2966</v>
      </c>
      <c r="H30" s="2768"/>
      <c r="I30" s="2768"/>
      <c r="J30" s="2768"/>
      <c r="K30" s="2769"/>
    </row>
    <row r="31" spans="1:14" s="2105" customFormat="1" ht="13.5" customHeight="1">
      <c r="A31" s="803" t="s">
        <v>1856</v>
      </c>
      <c r="B31" s="2813"/>
      <c r="C31" s="450">
        <f ca="1">C18+C19+C20+C23+C24+C26+C29</f>
        <v>107964</v>
      </c>
      <c r="D31" s="472"/>
      <c r="E31" s="473"/>
      <c r="F31" s="474"/>
      <c r="G31" s="261"/>
      <c r="H31" s="2770"/>
      <c r="I31" s="2770"/>
      <c r="J31" s="2770"/>
      <c r="K31" s="279"/>
    </row>
    <row r="32" spans="1:14" s="2105" customFormat="1" ht="13.5" customHeight="1">
      <c r="A32" s="803" t="s">
        <v>1857</v>
      </c>
      <c r="B32" s="2813"/>
      <c r="C32" s="53">
        <f ca="1">ROUND(C25+D26,4)</f>
        <v>0.2389</v>
      </c>
      <c r="D32" s="472"/>
      <c r="E32" s="473"/>
      <c r="F32" s="474"/>
      <c r="G32" s="261"/>
      <c r="H32" s="2770"/>
      <c r="I32" s="2770"/>
      <c r="J32" s="2770"/>
      <c r="K32" s="279"/>
    </row>
    <row r="33" spans="1:11" s="2107" customFormat="1" ht="13.5" customHeight="1">
      <c r="A33" s="2986" t="s">
        <v>2830</v>
      </c>
      <c r="B33" s="2984" t="s">
        <v>2828</v>
      </c>
      <c r="C33" s="478">
        <f ca="1">C35</f>
        <v>7381</v>
      </c>
      <c r="D33" s="467">
        <f ca="1">C34</f>
        <v>0.1132</v>
      </c>
      <c r="E33" s="469" t="s">
        <v>495</v>
      </c>
      <c r="F33" s="479">
        <f ca="1">IF(B1="",'数据-取费表'!Q16,INDIRECT("'数据-取费表'!q"&amp;$K$1))</f>
        <v>0.11</v>
      </c>
      <c r="G33" s="2771"/>
      <c r="H33" s="2772"/>
      <c r="I33" s="2772"/>
      <c r="J33" s="2772"/>
      <c r="K33" s="2773"/>
    </row>
    <row r="34" spans="1:11" s="2108" customFormat="1" ht="13.5" customHeight="1">
      <c r="A34" s="375" t="s">
        <v>1856</v>
      </c>
      <c r="B34" s="2818" t="s">
        <v>501</v>
      </c>
      <c r="C34" s="472">
        <f ca="1">ROUND((1+C25)*F33,4)</f>
        <v>0.1132</v>
      </c>
      <c r="D34" s="472"/>
      <c r="E34" s="473"/>
      <c r="F34" s="480"/>
      <c r="G34" s="261" t="s">
        <v>2287</v>
      </c>
      <c r="H34" s="2770"/>
      <c r="I34" s="2770"/>
      <c r="J34" s="2770"/>
      <c r="K34" s="279"/>
    </row>
    <row r="35" spans="1:11" s="2108" customFormat="1" ht="13.5" customHeight="1" thickBot="1">
      <c r="A35" s="1621" t="s">
        <v>1857</v>
      </c>
      <c r="B35" s="2985" t="s">
        <v>2836</v>
      </c>
      <c r="C35" s="1613">
        <f ca="1">ROUND((C18+C19+C20+C23+C24)*F33,0)</f>
        <v>7381</v>
      </c>
      <c r="D35" s="1614"/>
      <c r="E35" s="2819"/>
      <c r="F35" s="1615"/>
      <c r="G35" s="2777"/>
      <c r="H35" s="2778"/>
      <c r="I35" s="2778"/>
      <c r="J35" s="2778"/>
      <c r="K35" s="2779"/>
    </row>
    <row r="36" spans="1:11" s="2070" customFormat="1" ht="13.5" customHeight="1" thickBot="1">
      <c r="A36" s="284" t="s">
        <v>1844</v>
      </c>
      <c r="B36" s="2781"/>
      <c r="C36" s="2820">
        <f ca="1">ROUND((C6-C30-C33)/(1+D30+D33),0)</f>
        <v>390825</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8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10</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43955</v>
      </c>
      <c r="D13" s="451"/>
      <c r="E13" s="365"/>
      <c r="F13" s="452"/>
      <c r="G13" s="444"/>
      <c r="H13" s="447"/>
      <c r="I13" s="447"/>
      <c r="J13" s="447"/>
      <c r="K13" s="448"/>
    </row>
    <row r="14" spans="1:41" s="2101" customFormat="1" ht="13.5" customHeight="1">
      <c r="A14" s="1618" t="s">
        <v>1849</v>
      </c>
      <c r="B14" s="449" t="s">
        <v>480</v>
      </c>
      <c r="C14" s="53">
        <f ca="1">ROUND(C13*F14,0)</f>
        <v>1319</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1495</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3247</v>
      </c>
      <c r="D16" s="451">
        <f ca="1">IF(B1="",'数据-汇总表'!E3,INDIRECT("'数据-取费表'!K"&amp;$K$1)+INDIRECT("'数据-取费表'!S"&amp;$K$1))</f>
        <v>162338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659</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50675</v>
      </c>
      <c r="D18" s="461"/>
      <c r="E18" s="462"/>
      <c r="F18" s="462"/>
      <c r="G18" s="1323" t="s">
        <v>2429</v>
      </c>
      <c r="H18" s="447"/>
      <c r="I18" s="447"/>
      <c r="J18" s="447"/>
      <c r="K18" s="448"/>
    </row>
    <row r="19" spans="1:14" s="2104" customFormat="1" ht="13.5" customHeight="1">
      <c r="A19" s="1619" t="s">
        <v>1854</v>
      </c>
      <c r="B19" s="459" t="s">
        <v>493</v>
      </c>
      <c r="C19" s="460">
        <f ca="1">ROUND(C18*F19,0)</f>
        <v>1014</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5027</v>
      </c>
      <c r="D21" s="467">
        <f ca="1">C23</f>
        <v>1.9E-3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1848</v>
      </c>
      <c r="B22" s="1324" t="s">
        <v>2432</v>
      </c>
      <c r="C22" s="487">
        <f ca="1">ROUND(IF('数据-取费表'!B22&lt;=1,(C18+C19)*F21*'数据-取费表'!B20/2,(C18+C19)*(POWER((1+F21),'数据-取费表'!B20/2)-1)),0)</f>
        <v>5027</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5686</v>
      </c>
      <c r="D24" s="489">
        <f ca="1">C26</f>
        <v>2.2000000000000001E-3</v>
      </c>
      <c r="E24" s="469" t="s">
        <v>507</v>
      </c>
      <c r="F24" s="479">
        <f ca="1">IF(B1="",'数据-取费表'!Q16,INDIRECT("'数据-取费表'!q"&amp;$K$1))</f>
        <v>0.11</v>
      </c>
      <c r="G24" s="444"/>
      <c r="H24" s="447"/>
      <c r="I24" s="447"/>
      <c r="J24" s="447"/>
      <c r="K24" s="448"/>
    </row>
    <row r="25" spans="1:14" s="2105" customFormat="1" ht="13.5" customHeight="1">
      <c r="A25" s="1618" t="s">
        <v>1848</v>
      </c>
      <c r="B25" s="1324" t="s">
        <v>2433</v>
      </c>
      <c r="C25" s="490">
        <f ca="1">ROUND((C18+C19)*F24,0)</f>
        <v>5686</v>
      </c>
      <c r="D25" s="472"/>
      <c r="E25" s="473"/>
      <c r="F25" s="480"/>
      <c r="G25" s="1322" t="s">
        <v>2430</v>
      </c>
      <c r="H25" s="457"/>
      <c r="I25" s="457"/>
      <c r="J25" s="457"/>
      <c r="K25" s="458"/>
    </row>
    <row r="26" spans="1:14" s="2105" customFormat="1" ht="13.5" customHeight="1">
      <c r="A26" s="1618" t="s">
        <v>1849</v>
      </c>
      <c r="B26" s="1324" t="s">
        <v>509</v>
      </c>
      <c r="C26" s="491">
        <f ca="1">ROUND(F20*F24,4)</f>
        <v>2.2000000000000001E-3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2827</v>
      </c>
      <c r="E27" s="462"/>
      <c r="F27" s="466">
        <f>'数据-取费表'!B41</f>
        <v>5.6000000000000001E-2</v>
      </c>
      <c r="G27" s="1945" t="s">
        <v>2288</v>
      </c>
      <c r="H27" s="447"/>
      <c r="I27" s="447"/>
      <c r="J27" s="447"/>
      <c r="K27" s="448"/>
    </row>
    <row r="28" spans="1:14" s="2106" customFormat="1" ht="13.5" customHeight="1">
      <c r="A28" s="1622" t="s">
        <v>1868</v>
      </c>
      <c r="B28" s="476" t="s">
        <v>512</v>
      </c>
      <c r="C28" s="470">
        <f ca="1">ROUND((C18+C19+C21+C24)/(1-C20-D21-D24-C27),0)</f>
        <v>67637</v>
      </c>
      <c r="D28" s="477"/>
      <c r="E28" s="469"/>
      <c r="F28" s="471"/>
      <c r="G28" s="1323" t="s">
        <v>2431</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0" customWidth="1"/>
    <col min="2" max="2" width="10.8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83" t="str">
        <f>项目基本情况!B1</f>
        <v>北京市丰台区花乡郭公庄村1518-L04、L05地块城镇住宅用地及1518-L06、L07地块商务金融用地（商业、办公）出让国有建设用地使用权出让国有建设用地使用权抵押价格预评估</v>
      </c>
      <c r="C37" s="3183"/>
      <c r="D37" s="3183"/>
      <c r="E37" s="3183"/>
      <c r="F37" s="3183"/>
      <c r="G37" s="3183"/>
      <c r="H37" s="3183"/>
      <c r="I37" s="3183"/>
    </row>
    <row r="38" spans="1:9">
      <c r="A38" s="1641"/>
      <c r="B38" s="1641"/>
    </row>
    <row r="39" spans="1:9">
      <c r="A39" s="1639" t="s">
        <v>1901</v>
      </c>
      <c r="B39" s="1639" t="s">
        <v>2043</v>
      </c>
    </row>
    <row r="40" spans="1:9">
      <c r="A40" s="1639"/>
      <c r="B40" s="1639" t="str">
        <f>项目基本情况!B5</f>
        <v>农村商业银行卢沟桥支行</v>
      </c>
    </row>
    <row r="41" spans="1:9">
      <c r="A41" s="1639"/>
      <c r="B41" s="1639"/>
    </row>
    <row r="42" spans="1:9">
      <c r="A42" s="1639" t="s">
        <v>1901</v>
      </c>
      <c r="B42" s="1639" t="s">
        <v>2044</v>
      </c>
    </row>
    <row r="43" spans="1:9">
      <c r="A43" s="1639"/>
      <c r="B43" s="1639" t="s">
        <v>1903</v>
      </c>
    </row>
    <row r="44" spans="1:9">
      <c r="A44" s="1639"/>
      <c r="B44" s="1639"/>
    </row>
    <row r="45" spans="1:9">
      <c r="A45" s="1639" t="s">
        <v>1901</v>
      </c>
      <c r="B45" s="1639" t="s">
        <v>2042</v>
      </c>
    </row>
    <row r="46" spans="1:9" s="1639" customFormat="1" ht="12.75">
      <c r="B46" s="1639" t="str">
        <f>项目基本情况!K4</f>
        <v>崔锴、赵雯</v>
      </c>
    </row>
    <row r="47" spans="1:9">
      <c r="A47" s="1639"/>
      <c r="B47" s="1639"/>
    </row>
    <row r="48" spans="1:9">
      <c r="A48" s="1639" t="s">
        <v>1901</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2" zoomScale="80" zoomScaleNormal="95" zoomScaleSheetLayoutView="80" zoomScalePageLayoutView="95" workbookViewId="0">
      <selection activeCell="F67" sqref="F67"/>
    </sheetView>
  </sheetViews>
  <sheetFormatPr defaultColWidth="9" defaultRowHeight="14.25"/>
  <cols>
    <col min="1" max="1" width="15.625" style="1333" customWidth="1"/>
    <col min="2" max="2" width="15.87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384151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23664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73120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4875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57" t="s">
        <v>522</v>
      </c>
      <c r="D6" s="3358"/>
      <c r="E6" s="3357" t="s">
        <v>523</v>
      </c>
      <c r="F6" s="3358"/>
      <c r="G6" s="3357" t="s">
        <v>524</v>
      </c>
      <c r="H6" s="3358"/>
      <c r="I6" s="3357" t="s">
        <v>525</v>
      </c>
      <c r="J6" s="3358"/>
      <c r="K6" s="514" t="s">
        <v>526</v>
      </c>
      <c r="L6" s="2118"/>
      <c r="M6" s="2117"/>
      <c r="N6" s="2117"/>
      <c r="O6" s="2119"/>
      <c r="P6" s="3359" t="s">
        <v>527</v>
      </c>
      <c r="Q6" s="3360"/>
      <c r="R6" s="3365" t="s">
        <v>523</v>
      </c>
      <c r="S6" s="3366"/>
      <c r="T6" s="3365" t="s">
        <v>524</v>
      </c>
      <c r="U6" s="3366"/>
      <c r="V6" s="3352" t="s">
        <v>525</v>
      </c>
      <c r="W6" s="3352"/>
      <c r="X6" s="1553"/>
      <c r="Y6" s="3365" t="s">
        <v>527</v>
      </c>
      <c r="Z6" s="3366"/>
      <c r="AA6" s="3354" t="s">
        <v>523</v>
      </c>
      <c r="AB6" s="3355" t="s">
        <v>524</v>
      </c>
      <c r="AC6" s="3354" t="s">
        <v>525</v>
      </c>
    </row>
    <row r="7" spans="1:30" ht="20.25">
      <c r="A7" s="515"/>
      <c r="B7" s="516"/>
      <c r="C7" s="3373" t="s">
        <v>2924</v>
      </c>
      <c r="D7" s="3374"/>
      <c r="E7" s="3373" t="str">
        <f>Sheet1!A6</f>
        <v>北京市丰台区花乡白盆窑村BPY-L011地块R2二类居住用地</v>
      </c>
      <c r="F7" s="3374"/>
      <c r="G7" s="3373" t="str">
        <f>Sheet1!A7</f>
        <v>北京市丰台区花乡白盆窑村BPY-L010、BPY-L013地块R2二类居住用地、A33基础教育用地</v>
      </c>
      <c r="H7" s="3374"/>
      <c r="I7" s="3373" t="str">
        <f>Sheet1!A9</f>
        <v>北京市丰台区卢沟桥乡小瓦窑村XWY-01地块R2二类居住用地</v>
      </c>
      <c r="J7" s="3374"/>
      <c r="K7" s="514"/>
      <c r="L7" s="2118"/>
      <c r="M7" s="2117"/>
      <c r="N7" s="2117"/>
      <c r="O7" s="2119"/>
      <c r="P7" s="3361"/>
      <c r="Q7" s="3362"/>
      <c r="R7" s="3367"/>
      <c r="S7" s="3368"/>
      <c r="T7" s="3367"/>
      <c r="U7" s="3368"/>
      <c r="V7" s="3352"/>
      <c r="W7" s="3352"/>
      <c r="X7" s="1553"/>
      <c r="Y7" s="3367"/>
      <c r="Z7" s="3368"/>
      <c r="AA7" s="3355"/>
      <c r="AB7" s="3355"/>
      <c r="AC7" s="3355"/>
    </row>
    <row r="8" spans="1:30" ht="21" thickBot="1">
      <c r="A8" s="515"/>
      <c r="B8" s="516"/>
      <c r="C8" s="3375" t="s">
        <v>2928</v>
      </c>
      <c r="D8" s="3376"/>
      <c r="E8" s="3375" t="s">
        <v>2928</v>
      </c>
      <c r="F8" s="3376"/>
      <c r="G8" s="3371" t="s">
        <v>2928</v>
      </c>
      <c r="H8" s="3372"/>
      <c r="I8" s="3371" t="s">
        <v>2928</v>
      </c>
      <c r="J8" s="3372"/>
      <c r="K8" s="514" t="s">
        <v>528</v>
      </c>
      <c r="L8" s="2118"/>
      <c r="M8" s="2117"/>
      <c r="N8" s="2117"/>
      <c r="O8" s="2119"/>
      <c r="P8" s="3363"/>
      <c r="Q8" s="3364"/>
      <c r="R8" s="3367"/>
      <c r="S8" s="3368"/>
      <c r="T8" s="3369"/>
      <c r="U8" s="3370"/>
      <c r="V8" s="3352"/>
      <c r="W8" s="3352"/>
      <c r="X8" s="1553"/>
      <c r="Y8" s="3369"/>
      <c r="Z8" s="3370"/>
      <c r="AA8" s="3356"/>
      <c r="AB8" s="3356"/>
      <c r="AC8" s="3356"/>
    </row>
    <row r="9" spans="1:30" s="1216" customFormat="1" ht="21" thickBot="1">
      <c r="A9" s="2867"/>
      <c r="B9" s="2874" t="s">
        <v>529</v>
      </c>
      <c r="C9" s="2866">
        <f>'数据-取费表'!B2</f>
        <v>43782</v>
      </c>
      <c r="D9" s="520">
        <v>100</v>
      </c>
      <c r="E9" s="521" t="str">
        <f>Sheet1!H6</f>
        <v>2018-11-26</v>
      </c>
      <c r="F9" s="522">
        <f>SUMIF(72:72,YEAR(E9)&amp;"-"&amp;INT((MONTH(E9)+2)/3),73:73)</f>
        <v>98</v>
      </c>
      <c r="G9" s="523" t="str">
        <f>Sheet1!H7</f>
        <v>2018-11-26</v>
      </c>
      <c r="H9" s="520">
        <f>SUMIF(72:72,YEAR(G9)&amp;"-"&amp;INT((MONTH(G9)+2)/3),73:73)</f>
        <v>98</v>
      </c>
      <c r="I9" s="523" t="str">
        <f>Sheet1!H9</f>
        <v>2018-01-30</v>
      </c>
      <c r="J9" s="520">
        <f>SUMIF(72:72,YEAR(I9)&amp;"-"&amp;INT((MONTH(I9)+2)/3),73:73)</f>
        <v>96.5</v>
      </c>
      <c r="K9" s="524"/>
      <c r="L9" s="2120"/>
      <c r="M9" s="2117"/>
      <c r="N9" s="2117"/>
      <c r="O9" s="2121"/>
      <c r="P9" s="3382" t="s">
        <v>530</v>
      </c>
      <c r="Q9" s="3384"/>
      <c r="R9" s="1554" t="s">
        <v>8</v>
      </c>
      <c r="S9" s="1555">
        <f t="shared" ref="S9:S17" si="0">F9</f>
        <v>98</v>
      </c>
      <c r="T9" s="1554" t="s">
        <v>8</v>
      </c>
      <c r="U9" s="1555">
        <f t="shared" ref="U9:U17" si="1">H9</f>
        <v>98</v>
      </c>
      <c r="V9" s="1554" t="s">
        <v>8</v>
      </c>
      <c r="W9" s="1555">
        <f t="shared" ref="W9:W17" si="2">J9</f>
        <v>96.5</v>
      </c>
      <c r="X9" s="1556"/>
      <c r="Y9" s="3382" t="s">
        <v>530</v>
      </c>
      <c r="Z9" s="3383"/>
      <c r="AA9" s="1557">
        <f>D9/F9</f>
        <v>1.0204081632653061</v>
      </c>
      <c r="AB9" s="1557">
        <f>D9/H9</f>
        <v>1.0204081632653061</v>
      </c>
      <c r="AC9" s="1557">
        <f>D9/J9</f>
        <v>1.0362694300518134</v>
      </c>
    </row>
    <row r="10" spans="1:30" s="1216" customFormat="1" ht="21" thickBot="1">
      <c r="A10" s="2868"/>
      <c r="B10" s="2875" t="s">
        <v>531</v>
      </c>
      <c r="C10" s="856" t="s">
        <v>532</v>
      </c>
      <c r="D10" s="520">
        <v>100</v>
      </c>
      <c r="E10" s="525" t="s">
        <v>3100</v>
      </c>
      <c r="F10" s="522">
        <f>SUMIF(75:75,E10,76:76)-SUMIF(75:75,C10,76:76)+100</f>
        <v>100</v>
      </c>
      <c r="G10" s="525" t="s">
        <v>3100</v>
      </c>
      <c r="H10" s="520">
        <f>SUMIF(75:75,G10,76:76)-SUMIF(75:75,C10,76:76)+100</f>
        <v>100</v>
      </c>
      <c r="I10" s="525" t="s">
        <v>3100</v>
      </c>
      <c r="J10" s="520">
        <f>SUMIF(75:75,I10,76:76)-SUMIF(75:75,C10,76:76)+100</f>
        <v>100</v>
      </c>
      <c r="K10" s="524"/>
      <c r="L10" s="2120"/>
      <c r="M10" s="2117"/>
      <c r="N10" s="2117"/>
      <c r="O10" s="2121"/>
      <c r="P10" s="3382" t="s">
        <v>533</v>
      </c>
      <c r="Q10" s="3383"/>
      <c r="R10" s="1554" t="s">
        <v>8</v>
      </c>
      <c r="S10" s="1555">
        <f t="shared" si="0"/>
        <v>100</v>
      </c>
      <c r="T10" s="1554" t="s">
        <v>8</v>
      </c>
      <c r="U10" s="1555">
        <f t="shared" si="1"/>
        <v>100</v>
      </c>
      <c r="V10" s="1554" t="s">
        <v>8</v>
      </c>
      <c r="W10" s="1555">
        <f t="shared" si="2"/>
        <v>100</v>
      </c>
      <c r="X10" s="1556"/>
      <c r="Y10" s="3382" t="s">
        <v>533</v>
      </c>
      <c r="Z10" s="3383"/>
      <c r="AA10" s="1557">
        <f t="shared" ref="AA10:AA47" si="3">D10/F10</f>
        <v>1</v>
      </c>
      <c r="AB10" s="1557">
        <f t="shared" ref="AB10:AB47" si="4">D10/H10</f>
        <v>1</v>
      </c>
      <c r="AC10" s="1557">
        <f t="shared" ref="AC10:AC47" si="5">D10/J10</f>
        <v>1</v>
      </c>
    </row>
    <row r="11" spans="1:30" s="1216" customFormat="1" ht="20.25">
      <c r="A11" s="2869"/>
      <c r="B11" s="2876" t="s">
        <v>2753</v>
      </c>
      <c r="C11" s="2863" t="s">
        <v>923</v>
      </c>
      <c r="D11" s="254">
        <v>100</v>
      </c>
      <c r="E11" s="2863" t="s">
        <v>923</v>
      </c>
      <c r="F11" s="254">
        <f>SUMIF(77:77,E11,78:78)-SUMIF(77:77,C11,78:78)+100</f>
        <v>100</v>
      </c>
      <c r="G11" s="2863" t="s">
        <v>923</v>
      </c>
      <c r="H11" s="254">
        <f>SUMIF(77:77,G11,78:78)-SUMIF(77:77,C11,78:78)+100</f>
        <v>100</v>
      </c>
      <c r="I11" s="2863" t="s">
        <v>923</v>
      </c>
      <c r="J11" s="254">
        <f>SUMIF(77:77,I11,78:78)-SUMIF(77:77,C11,78:78)+100</f>
        <v>100</v>
      </c>
      <c r="K11" s="524"/>
      <c r="L11" s="2120"/>
      <c r="M11" s="2117"/>
      <c r="N11" s="2117"/>
      <c r="O11" s="2122"/>
      <c r="P11" s="3351" t="s">
        <v>535</v>
      </c>
      <c r="Q11" s="1147" t="str">
        <f t="shared" ref="Q11:Q17" si="6">B11</f>
        <v>用途</v>
      </c>
      <c r="R11" s="1554" t="s">
        <v>8</v>
      </c>
      <c r="S11" s="1555">
        <f t="shared" si="0"/>
        <v>100</v>
      </c>
      <c r="T11" s="1554" t="s">
        <v>8</v>
      </c>
      <c r="U11" s="1555">
        <f t="shared" si="1"/>
        <v>100</v>
      </c>
      <c r="V11" s="1554" t="s">
        <v>8</v>
      </c>
      <c r="W11" s="1555">
        <f t="shared" si="2"/>
        <v>100</v>
      </c>
      <c r="X11" s="1556"/>
      <c r="Y11" s="3297" t="s">
        <v>536</v>
      </c>
      <c r="Z11" s="1146" t="str">
        <f t="shared" ref="Z11:Z17" si="7">Q11</f>
        <v>用途</v>
      </c>
      <c r="AA11" s="1557">
        <f t="shared" si="3"/>
        <v>1</v>
      </c>
      <c r="AB11" s="1557">
        <f t="shared" si="4"/>
        <v>1</v>
      </c>
      <c r="AC11" s="1557">
        <f t="shared" si="5"/>
        <v>1</v>
      </c>
    </row>
    <row r="12" spans="1:30" s="1334" customFormat="1" ht="27">
      <c r="A12" s="2870"/>
      <c r="B12" s="2875" t="s">
        <v>2754</v>
      </c>
      <c r="C12" s="910">
        <f>'数据-取费表'!F6</f>
        <v>69.260000000000005</v>
      </c>
      <c r="D12" s="255">
        <v>100</v>
      </c>
      <c r="E12" s="529" t="s">
        <v>3102</v>
      </c>
      <c r="F12" s="255">
        <f>ROUND(100/'数据-取费表'!G16,0)</f>
        <v>100</v>
      </c>
      <c r="G12" s="530" t="s">
        <v>3103</v>
      </c>
      <c r="H12" s="255">
        <f>ROUND(100/'数据-取费表'!G16,0)</f>
        <v>100</v>
      </c>
      <c r="I12" s="530" t="s">
        <v>3103</v>
      </c>
      <c r="J12" s="255">
        <f>ROUND(100/'数据-取费表'!G16,0)</f>
        <v>100</v>
      </c>
      <c r="K12" s="531"/>
      <c r="L12" s="2123"/>
      <c r="M12" s="2117"/>
      <c r="N12" s="2117"/>
      <c r="O12" s="2124"/>
      <c r="P12" s="3351"/>
      <c r="Q12" s="1147" t="str">
        <f t="shared" si="6"/>
        <v>土地使用年限（年）</v>
      </c>
      <c r="R12" s="1554" t="s">
        <v>8</v>
      </c>
      <c r="S12" s="1555">
        <f t="shared" si="0"/>
        <v>100</v>
      </c>
      <c r="T12" s="1554" t="s">
        <v>8</v>
      </c>
      <c r="U12" s="1555">
        <f t="shared" si="1"/>
        <v>100</v>
      </c>
      <c r="V12" s="1554" t="s">
        <v>8</v>
      </c>
      <c r="W12" s="1555">
        <f t="shared" si="2"/>
        <v>100</v>
      </c>
      <c r="X12" s="1556"/>
      <c r="Y12" s="3297"/>
      <c r="Z12" s="1146" t="str">
        <f t="shared" si="7"/>
        <v>土地使用年限（年）</v>
      </c>
      <c r="AA12" s="1557">
        <f t="shared" si="3"/>
        <v>1</v>
      </c>
      <c r="AB12" s="1557">
        <f t="shared" si="4"/>
        <v>1</v>
      </c>
      <c r="AC12" s="1557">
        <f t="shared" si="5"/>
        <v>1</v>
      </c>
    </row>
    <row r="13" spans="1:30" ht="20.25">
      <c r="A13" s="2871"/>
      <c r="B13" s="2875" t="s">
        <v>2755</v>
      </c>
      <c r="C13" s="534">
        <v>2.85</v>
      </c>
      <c r="D13" s="255">
        <v>100</v>
      </c>
      <c r="E13" s="533">
        <f>Sheet1!F6</f>
        <v>3.05</v>
      </c>
      <c r="F13" s="255">
        <f>LOOKUP(E13,82:82,83:83)-LOOKUP(C13,82:82,83:83)+100</f>
        <v>99</v>
      </c>
      <c r="G13" s="534">
        <f>Sheet1!F7</f>
        <v>2.79</v>
      </c>
      <c r="H13" s="255">
        <f>LOOKUP(G13,82:82,83:83)-LOOKUP(C13,82:82,83:83)+100</f>
        <v>100</v>
      </c>
      <c r="I13" s="533">
        <f>Sheet1!F9</f>
        <v>2.8</v>
      </c>
      <c r="J13" s="255">
        <f>LOOKUP(I13,82:82,83:83)-LOOKUP(C13,82:82,83:83)+100</f>
        <v>100</v>
      </c>
      <c r="K13" s="535">
        <v>1</v>
      </c>
      <c r="L13" s="2125"/>
      <c r="M13" s="2117"/>
      <c r="N13" s="2117"/>
      <c r="O13" s="2126"/>
      <c r="P13" s="3351"/>
      <c r="Q13" s="1147" t="str">
        <f t="shared" si="6"/>
        <v>容积率</v>
      </c>
      <c r="R13" s="1554" t="s">
        <v>8</v>
      </c>
      <c r="S13" s="1555">
        <f t="shared" si="0"/>
        <v>99</v>
      </c>
      <c r="T13" s="1554" t="s">
        <v>8</v>
      </c>
      <c r="U13" s="1555">
        <f t="shared" si="1"/>
        <v>100</v>
      </c>
      <c r="V13" s="1554" t="s">
        <v>8</v>
      </c>
      <c r="W13" s="1555">
        <f t="shared" si="2"/>
        <v>100</v>
      </c>
      <c r="X13" s="1556"/>
      <c r="Y13" s="3297"/>
      <c r="Z13" s="1146" t="str">
        <f t="shared" si="7"/>
        <v>容积率</v>
      </c>
      <c r="AA13" s="1557">
        <f t="shared" si="3"/>
        <v>1.0101010101010102</v>
      </c>
      <c r="AB13" s="1557">
        <f t="shared" si="4"/>
        <v>1</v>
      </c>
      <c r="AC13" s="1557">
        <f t="shared" si="5"/>
        <v>1</v>
      </c>
    </row>
    <row r="14" spans="1:30" s="1216" customFormat="1" ht="20.25">
      <c r="A14" s="2868"/>
      <c r="B14" s="2877" t="s">
        <v>2756</v>
      </c>
      <c r="C14" s="2864" t="s">
        <v>3107</v>
      </c>
      <c r="D14" s="538">
        <v>100</v>
      </c>
      <c r="E14" s="1370" t="s">
        <v>3109</v>
      </c>
      <c r="F14" s="255">
        <f>SUMIF(84:84,E14,85:85)-SUMIF(84:84,C14,85:85)+100</f>
        <v>120</v>
      </c>
      <c r="G14" s="3484" t="s">
        <v>3108</v>
      </c>
      <c r="H14" s="255">
        <f>SUMIF(84:84,G14,85:85)-SUMIF(84:84,C14,85:85)+100</f>
        <v>120</v>
      </c>
      <c r="I14" s="3485" t="s">
        <v>3108</v>
      </c>
      <c r="J14" s="255">
        <f>SUMIF(84:84,I14,85:85)-SUMIF(84:84,C14,85:85)+100</f>
        <v>120</v>
      </c>
      <c r="K14" s="531"/>
      <c r="L14" s="2120"/>
      <c r="M14" s="2117"/>
      <c r="N14" s="2117"/>
      <c r="O14" s="2122"/>
      <c r="P14" s="3351"/>
      <c r="Q14" s="1147" t="str">
        <f t="shared" si="6"/>
        <v>配建</v>
      </c>
      <c r="R14" s="1554" t="s">
        <v>8</v>
      </c>
      <c r="S14" s="1555">
        <f t="shared" si="0"/>
        <v>120</v>
      </c>
      <c r="T14" s="1554" t="s">
        <v>8</v>
      </c>
      <c r="U14" s="1555">
        <f t="shared" si="1"/>
        <v>120</v>
      </c>
      <c r="V14" s="1554" t="s">
        <v>8</v>
      </c>
      <c r="W14" s="1555">
        <f t="shared" si="2"/>
        <v>120</v>
      </c>
      <c r="X14" s="1556"/>
      <c r="Y14" s="3297"/>
      <c r="Z14" s="1146" t="str">
        <f t="shared" si="7"/>
        <v>配建</v>
      </c>
      <c r="AA14" s="1557">
        <f>D14/F14</f>
        <v>0.83333333333333337</v>
      </c>
      <c r="AB14" s="1557">
        <f>D14/H14</f>
        <v>0.83333333333333337</v>
      </c>
      <c r="AC14" s="1557">
        <f>D14/J14</f>
        <v>0.83333333333333337</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51"/>
      <c r="Q15" s="1147">
        <f t="shared" si="6"/>
        <v>111</v>
      </c>
      <c r="R15" s="1554" t="s">
        <v>8</v>
      </c>
      <c r="S15" s="1555">
        <f t="shared" si="0"/>
        <v>100</v>
      </c>
      <c r="T15" s="1554" t="s">
        <v>8</v>
      </c>
      <c r="U15" s="1555">
        <f t="shared" si="1"/>
        <v>100</v>
      </c>
      <c r="V15" s="1554" t="s">
        <v>8</v>
      </c>
      <c r="W15" s="1555">
        <f t="shared" si="2"/>
        <v>100</v>
      </c>
      <c r="X15" s="1556"/>
      <c r="Y15" s="3297"/>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51"/>
      <c r="Q16" s="1147">
        <f t="shared" si="6"/>
        <v>111</v>
      </c>
      <c r="R16" s="1554" t="s">
        <v>8</v>
      </c>
      <c r="S16" s="1555">
        <f t="shared" si="0"/>
        <v>100</v>
      </c>
      <c r="T16" s="1554" t="s">
        <v>8</v>
      </c>
      <c r="U16" s="1555">
        <f t="shared" si="1"/>
        <v>100</v>
      </c>
      <c r="V16" s="1554" t="s">
        <v>8</v>
      </c>
      <c r="W16" s="1555">
        <f t="shared" si="2"/>
        <v>100</v>
      </c>
      <c r="X16" s="1556"/>
      <c r="Y16" s="3297"/>
      <c r="Z16" s="1146">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2</v>
      </c>
      <c r="L17" s="2127"/>
      <c r="M17" s="2117"/>
      <c r="N17" s="2117"/>
      <c r="O17" s="2126"/>
      <c r="P17" s="3385" t="s">
        <v>540</v>
      </c>
      <c r="Q17" s="1558" t="str">
        <f t="shared" si="6"/>
        <v>居住社区成熟度</v>
      </c>
      <c r="R17" s="1559" t="s">
        <v>8</v>
      </c>
      <c r="S17" s="1560">
        <f t="shared" si="0"/>
        <v>100</v>
      </c>
      <c r="T17" s="1559" t="s">
        <v>8</v>
      </c>
      <c r="U17" s="1560">
        <f t="shared" si="1"/>
        <v>100</v>
      </c>
      <c r="V17" s="1559" t="s">
        <v>8</v>
      </c>
      <c r="W17" s="1560">
        <f t="shared" si="2"/>
        <v>100</v>
      </c>
      <c r="X17" s="1553"/>
      <c r="Y17" s="3385" t="s">
        <v>540</v>
      </c>
      <c r="Z17" s="1561" t="str">
        <f t="shared" si="7"/>
        <v>居住社区成熟度</v>
      </c>
      <c r="AA17" s="1562">
        <f t="shared" si="3"/>
        <v>1</v>
      </c>
      <c r="AB17" s="1562">
        <f t="shared" si="4"/>
        <v>1</v>
      </c>
      <c r="AC17" s="1562">
        <f t="shared" si="5"/>
        <v>1</v>
      </c>
    </row>
    <row r="18" spans="1:29" ht="20.25">
      <c r="A18" s="532"/>
      <c r="B18" s="553"/>
      <c r="C18" s="554" t="s">
        <v>3104</v>
      </c>
      <c r="D18" s="557"/>
      <c r="E18" s="558" t="s">
        <v>3104</v>
      </c>
      <c r="F18" s="555"/>
      <c r="G18" s="558" t="s">
        <v>3104</v>
      </c>
      <c r="H18" s="559"/>
      <c r="I18" s="558" t="s">
        <v>3104</v>
      </c>
      <c r="J18" s="555"/>
      <c r="K18" s="531"/>
      <c r="L18" s="2127"/>
      <c r="M18" s="2117"/>
      <c r="N18" s="2117"/>
      <c r="O18" s="2126"/>
      <c r="P18" s="3386"/>
      <c r="Q18" s="1558"/>
      <c r="R18" s="1559"/>
      <c r="S18" s="1560"/>
      <c r="T18" s="1559"/>
      <c r="U18" s="1560"/>
      <c r="V18" s="1559"/>
      <c r="W18" s="1560"/>
      <c r="X18" s="1553"/>
      <c r="Y18" s="3386"/>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c r="L19" s="2127"/>
      <c r="M19" s="2117"/>
      <c r="N19" s="2117"/>
      <c r="O19" s="2126"/>
      <c r="P19" s="3386"/>
      <c r="Q19" s="1558" t="str">
        <f>B19</f>
        <v>商业繁华度</v>
      </c>
      <c r="R19" s="1559" t="s">
        <v>8</v>
      </c>
      <c r="S19" s="1560">
        <f>F19</f>
        <v>100</v>
      </c>
      <c r="T19" s="1559" t="s">
        <v>8</v>
      </c>
      <c r="U19" s="1560">
        <f>H19</f>
        <v>100</v>
      </c>
      <c r="V19" s="1559" t="s">
        <v>8</v>
      </c>
      <c r="W19" s="1560">
        <f>J19</f>
        <v>100</v>
      </c>
      <c r="X19" s="1553"/>
      <c r="Y19" s="3386"/>
      <c r="Z19" s="1561" t="str">
        <f>Q19</f>
        <v>商业繁华度</v>
      </c>
      <c r="AA19" s="1562">
        <f t="shared" si="3"/>
        <v>1</v>
      </c>
      <c r="AB19" s="1562">
        <f t="shared" si="4"/>
        <v>1</v>
      </c>
      <c r="AC19" s="1562">
        <f t="shared" si="5"/>
        <v>1</v>
      </c>
    </row>
    <row r="20" spans="1:29" ht="20.25" hidden="1">
      <c r="A20" s="532"/>
      <c r="B20" s="566"/>
      <c r="C20" s="567"/>
      <c r="D20" s="563"/>
      <c r="E20" s="569"/>
      <c r="F20" s="559"/>
      <c r="G20" s="569"/>
      <c r="H20" s="555"/>
      <c r="I20" s="569"/>
      <c r="J20" s="555"/>
      <c r="K20" s="531"/>
      <c r="L20" s="2127"/>
      <c r="M20" s="2117"/>
      <c r="N20" s="2117"/>
      <c r="O20" s="2126"/>
      <c r="P20" s="3386"/>
      <c r="Q20" s="1558"/>
      <c r="R20" s="1559"/>
      <c r="S20" s="1560"/>
      <c r="T20" s="1559"/>
      <c r="U20" s="1560"/>
      <c r="V20" s="1559"/>
      <c r="W20" s="1560"/>
      <c r="X20" s="1553"/>
      <c r="Y20" s="3386"/>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386"/>
      <c r="Q21" s="1558" t="str">
        <f>B21</f>
        <v>办公集聚程度</v>
      </c>
      <c r="R21" s="1559" t="s">
        <v>8</v>
      </c>
      <c r="S21" s="1560">
        <f>F21</f>
        <v>100</v>
      </c>
      <c r="T21" s="1559" t="s">
        <v>8</v>
      </c>
      <c r="U21" s="1560">
        <f>H21</f>
        <v>100</v>
      </c>
      <c r="V21" s="1559" t="s">
        <v>8</v>
      </c>
      <c r="W21" s="1560">
        <f>J21</f>
        <v>100</v>
      </c>
      <c r="X21" s="1553"/>
      <c r="Y21" s="3386"/>
      <c r="Z21" s="1561" t="str">
        <f>Q21</f>
        <v>办公集聚程度</v>
      </c>
      <c r="AA21" s="1562">
        <f t="shared" si="3"/>
        <v>1</v>
      </c>
      <c r="AB21" s="1562">
        <f t="shared" si="4"/>
        <v>1</v>
      </c>
      <c r="AC21" s="1562">
        <f t="shared" si="5"/>
        <v>1</v>
      </c>
    </row>
    <row r="22" spans="1:29" ht="20.25" hidden="1">
      <c r="A22" s="532"/>
      <c r="B22" s="566"/>
      <c r="C22" s="554"/>
      <c r="D22" s="557"/>
      <c r="E22" s="558"/>
      <c r="F22" s="555"/>
      <c r="G22" s="558"/>
      <c r="H22" s="555"/>
      <c r="I22" s="558"/>
      <c r="J22" s="555"/>
      <c r="K22" s="531"/>
      <c r="L22" s="2127"/>
      <c r="M22" s="2117"/>
      <c r="N22" s="2117"/>
      <c r="O22" s="2126"/>
      <c r="P22" s="3386"/>
      <c r="Q22" s="1558"/>
      <c r="R22" s="1559"/>
      <c r="S22" s="1560"/>
      <c r="T22" s="1559"/>
      <c r="U22" s="1560"/>
      <c r="V22" s="1559"/>
      <c r="W22" s="1560"/>
      <c r="X22" s="1553"/>
      <c r="Y22" s="3386"/>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2</v>
      </c>
      <c r="L23" s="2127"/>
      <c r="M23" s="2117"/>
      <c r="N23" s="2117"/>
      <c r="O23" s="2126"/>
      <c r="P23" s="3386"/>
      <c r="Q23" s="1558" t="str">
        <f>B23</f>
        <v>交通便捷度</v>
      </c>
      <c r="R23" s="1559" t="s">
        <v>8</v>
      </c>
      <c r="S23" s="1560">
        <f>F23</f>
        <v>100</v>
      </c>
      <c r="T23" s="1559" t="s">
        <v>8</v>
      </c>
      <c r="U23" s="1560">
        <f>H23</f>
        <v>100</v>
      </c>
      <c r="V23" s="1559" t="s">
        <v>8</v>
      </c>
      <c r="W23" s="1560">
        <f>J23</f>
        <v>100</v>
      </c>
      <c r="X23" s="1553"/>
      <c r="Y23" s="3386"/>
      <c r="Z23" s="1561" t="str">
        <f>Q23</f>
        <v>交通便捷度</v>
      </c>
      <c r="AA23" s="1562">
        <f t="shared" si="3"/>
        <v>1</v>
      </c>
      <c r="AB23" s="1562">
        <f t="shared" si="4"/>
        <v>1</v>
      </c>
      <c r="AC23" s="1562">
        <f t="shared" si="5"/>
        <v>1</v>
      </c>
    </row>
    <row r="24" spans="1:29" ht="20.25">
      <c r="A24" s="532"/>
      <c r="B24" s="578"/>
      <c r="C24" s="554" t="s">
        <v>3104</v>
      </c>
      <c r="D24" s="557"/>
      <c r="E24" s="558" t="s">
        <v>3104</v>
      </c>
      <c r="F24" s="555"/>
      <c r="G24" s="558" t="s">
        <v>3104</v>
      </c>
      <c r="H24" s="555"/>
      <c r="I24" s="558" t="s">
        <v>3104</v>
      </c>
      <c r="J24" s="555"/>
      <c r="K24" s="531"/>
      <c r="L24" s="2127"/>
      <c r="M24" s="2117"/>
      <c r="N24" s="2117"/>
      <c r="O24" s="2126"/>
      <c r="P24" s="3386"/>
      <c r="Q24" s="1558"/>
      <c r="R24" s="1559"/>
      <c r="S24" s="1560"/>
      <c r="T24" s="1559"/>
      <c r="U24" s="1560"/>
      <c r="V24" s="1559"/>
      <c r="W24" s="1560"/>
      <c r="X24" s="1553"/>
      <c r="Y24" s="338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7"/>
      <c r="M25" s="2117"/>
      <c r="N25" s="2117"/>
      <c r="O25" s="2126"/>
      <c r="P25" s="3386"/>
      <c r="Q25" s="1558" t="str">
        <f t="shared" ref="Q25:Q39" si="8">B25</f>
        <v>区域土地利用方向</v>
      </c>
      <c r="R25" s="1559" t="s">
        <v>8</v>
      </c>
      <c r="S25" s="1560">
        <f>F25</f>
        <v>100</v>
      </c>
      <c r="T25" s="1559" t="s">
        <v>8</v>
      </c>
      <c r="U25" s="1560">
        <f>H25</f>
        <v>100</v>
      </c>
      <c r="V25" s="1559" t="s">
        <v>8</v>
      </c>
      <c r="W25" s="1560">
        <f>J25</f>
        <v>100</v>
      </c>
      <c r="X25" s="1553"/>
      <c r="Y25" s="3386"/>
      <c r="Z25" s="1561" t="str">
        <f>Q25</f>
        <v>区域土地利用方向</v>
      </c>
      <c r="AA25" s="1562">
        <f t="shared" si="3"/>
        <v>1</v>
      </c>
      <c r="AB25" s="1562">
        <f t="shared" si="4"/>
        <v>1</v>
      </c>
      <c r="AC25" s="1562">
        <f t="shared" si="5"/>
        <v>1</v>
      </c>
    </row>
    <row r="26" spans="1:29" ht="20.25">
      <c r="A26" s="515"/>
      <c r="B26" s="1007"/>
      <c r="C26" s="554" t="s">
        <v>3104</v>
      </c>
      <c r="D26" s="557"/>
      <c r="E26" s="558" t="s">
        <v>3104</v>
      </c>
      <c r="F26" s="555"/>
      <c r="G26" s="558" t="s">
        <v>3104</v>
      </c>
      <c r="H26" s="555"/>
      <c r="I26" s="558" t="s">
        <v>3104</v>
      </c>
      <c r="J26" s="555"/>
      <c r="K26" s="531"/>
      <c r="L26" s="2127"/>
      <c r="M26" s="2117"/>
      <c r="N26" s="2117"/>
      <c r="O26" s="2126"/>
      <c r="P26" s="3386"/>
      <c r="Q26" s="1558"/>
      <c r="R26" s="1559"/>
      <c r="S26" s="1560"/>
      <c r="T26" s="1559"/>
      <c r="U26" s="1560"/>
      <c r="V26" s="1559"/>
      <c r="W26" s="1560"/>
      <c r="X26" s="1553"/>
      <c r="Y26" s="3386"/>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27"/>
      <c r="M27" s="2117"/>
      <c r="N27" s="2117"/>
      <c r="O27" s="2126"/>
      <c r="P27" s="3386"/>
      <c r="Q27" s="1558" t="str">
        <f t="shared" si="8"/>
        <v>自然及人文环境状况</v>
      </c>
      <c r="R27" s="1559" t="s">
        <v>8</v>
      </c>
      <c r="S27" s="1560">
        <f>F27</f>
        <v>100</v>
      </c>
      <c r="T27" s="1559" t="s">
        <v>8</v>
      </c>
      <c r="U27" s="1560">
        <f>H27</f>
        <v>100</v>
      </c>
      <c r="V27" s="1559" t="s">
        <v>8</v>
      </c>
      <c r="W27" s="1560">
        <f>J27</f>
        <v>100</v>
      </c>
      <c r="X27" s="1553"/>
      <c r="Y27" s="3386"/>
      <c r="Z27" s="1561" t="str">
        <f>Q27</f>
        <v>自然及人文环境状况</v>
      </c>
      <c r="AA27" s="1562">
        <f t="shared" si="3"/>
        <v>1</v>
      </c>
      <c r="AB27" s="1562">
        <f t="shared" si="4"/>
        <v>1</v>
      </c>
      <c r="AC27" s="1562">
        <f t="shared" si="5"/>
        <v>1</v>
      </c>
    </row>
    <row r="28" spans="1:29" ht="20.25">
      <c r="A28" s="515"/>
      <c r="B28" s="566"/>
      <c r="C28" s="554" t="s">
        <v>3104</v>
      </c>
      <c r="D28" s="557"/>
      <c r="E28" s="576" t="s">
        <v>3104</v>
      </c>
      <c r="F28" s="555"/>
      <c r="G28" s="576" t="s">
        <v>3104</v>
      </c>
      <c r="H28" s="555"/>
      <c r="I28" s="576" t="s">
        <v>3104</v>
      </c>
      <c r="J28" s="555"/>
      <c r="K28" s="531"/>
      <c r="L28" s="2127"/>
      <c r="M28" s="2117"/>
      <c r="N28" s="2117"/>
      <c r="O28" s="2126"/>
      <c r="P28" s="3386"/>
      <c r="Q28" s="1558"/>
      <c r="R28" s="1559"/>
      <c r="S28" s="1560"/>
      <c r="T28" s="1559"/>
      <c r="U28" s="1560"/>
      <c r="V28" s="1559"/>
      <c r="W28" s="1560"/>
      <c r="X28" s="1553"/>
      <c r="Y28" s="3386"/>
      <c r="Z28" s="1561"/>
      <c r="AA28" s="1562">
        <v>1</v>
      </c>
      <c r="AB28" s="1562">
        <v>1</v>
      </c>
      <c r="AC28" s="1562">
        <v>1</v>
      </c>
    </row>
    <row r="29" spans="1:29" s="1216" customFormat="1" ht="42.75">
      <c r="A29" s="577"/>
      <c r="B29" s="2555" t="s">
        <v>2545</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20"/>
      <c r="M29" s="2117"/>
      <c r="N29" s="2117"/>
      <c r="O29" s="2122"/>
      <c r="P29" s="3386"/>
      <c r="Q29" s="1147" t="str">
        <f t="shared" si="8"/>
        <v>公共配套设施</v>
      </c>
      <c r="R29" s="1554" t="s">
        <v>8</v>
      </c>
      <c r="S29" s="1555">
        <f>F29</f>
        <v>100</v>
      </c>
      <c r="T29" s="1554" t="s">
        <v>8</v>
      </c>
      <c r="U29" s="1555">
        <f>H29</f>
        <v>100</v>
      </c>
      <c r="V29" s="1554" t="s">
        <v>8</v>
      </c>
      <c r="W29" s="1555">
        <f>J29</f>
        <v>100</v>
      </c>
      <c r="X29" s="1556"/>
      <c r="Y29" s="3386"/>
      <c r="Z29" s="1146" t="str">
        <f>Q29</f>
        <v>公共配套设施</v>
      </c>
      <c r="AA29" s="1562">
        <f>D29/F29</f>
        <v>1</v>
      </c>
      <c r="AB29" s="1562">
        <f>D29/H29</f>
        <v>1</v>
      </c>
      <c r="AC29" s="1562">
        <f>D29/J29</f>
        <v>1</v>
      </c>
    </row>
    <row r="30" spans="1:29" s="1216" customFormat="1" ht="20.25">
      <c r="A30" s="577"/>
      <c r="B30" s="566"/>
      <c r="C30" s="579" t="s">
        <v>3104</v>
      </c>
      <c r="D30" s="557"/>
      <c r="E30" s="576" t="s">
        <v>3104</v>
      </c>
      <c r="F30" s="555"/>
      <c r="G30" s="576" t="s">
        <v>3104</v>
      </c>
      <c r="H30" s="555"/>
      <c r="I30" s="576" t="s">
        <v>3104</v>
      </c>
      <c r="J30" s="555"/>
      <c r="K30" s="531"/>
      <c r="L30" s="2120"/>
      <c r="M30" s="2117"/>
      <c r="N30" s="2117"/>
      <c r="O30" s="2122"/>
      <c r="P30" s="3386"/>
      <c r="Q30" s="1147"/>
      <c r="R30" s="1554"/>
      <c r="S30" s="1555"/>
      <c r="T30" s="1554"/>
      <c r="U30" s="1555"/>
      <c r="V30" s="1554"/>
      <c r="W30" s="1555"/>
      <c r="X30" s="1556"/>
      <c r="Y30" s="3386"/>
      <c r="Z30" s="1146"/>
      <c r="AA30" s="1562">
        <v>1</v>
      </c>
      <c r="AB30" s="1562">
        <v>1</v>
      </c>
      <c r="AC30" s="1562">
        <v>1</v>
      </c>
    </row>
    <row r="31" spans="1:29" s="1216" customFormat="1" ht="28.5">
      <c r="A31" s="577"/>
      <c r="B31" s="2555"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386"/>
      <c r="Q31" s="2542" t="str">
        <f t="shared" ref="Q31" si="9">B31</f>
        <v>基础设施水平</v>
      </c>
      <c r="R31" s="1554" t="s">
        <v>8</v>
      </c>
      <c r="S31" s="1555">
        <f>F31</f>
        <v>100</v>
      </c>
      <c r="T31" s="1554" t="s">
        <v>8</v>
      </c>
      <c r="U31" s="1555">
        <f>H31</f>
        <v>100</v>
      </c>
      <c r="V31" s="1554" t="s">
        <v>8</v>
      </c>
      <c r="W31" s="1555">
        <f>J31</f>
        <v>100</v>
      </c>
      <c r="X31" s="1556"/>
      <c r="Y31" s="3386"/>
      <c r="Z31" s="2539" t="str">
        <f>Q31</f>
        <v>基础设施水平</v>
      </c>
      <c r="AA31" s="1562">
        <f>D31/F31</f>
        <v>1</v>
      </c>
      <c r="AB31" s="1562">
        <f>D31/H31</f>
        <v>1</v>
      </c>
      <c r="AC31" s="1562">
        <f>D31/J31</f>
        <v>1</v>
      </c>
    </row>
    <row r="32" spans="1:29" s="1216" customFormat="1" ht="20.25">
      <c r="A32" s="577"/>
      <c r="B32" s="566"/>
      <c r="C32" s="579" t="s">
        <v>3105</v>
      </c>
      <c r="D32" s="557"/>
      <c r="E32" s="2556" t="s">
        <v>3105</v>
      </c>
      <c r="F32" s="555"/>
      <c r="G32" s="579" t="s">
        <v>3105</v>
      </c>
      <c r="H32" s="555"/>
      <c r="I32" s="579" t="s">
        <v>3105</v>
      </c>
      <c r="J32" s="555"/>
      <c r="K32" s="531"/>
      <c r="L32" s="2120"/>
      <c r="M32" s="2117"/>
      <c r="N32" s="2117"/>
      <c r="O32" s="2122"/>
      <c r="P32" s="3386"/>
      <c r="Q32" s="2542"/>
      <c r="R32" s="1554"/>
      <c r="S32" s="1555"/>
      <c r="T32" s="1554"/>
      <c r="U32" s="1555"/>
      <c r="V32" s="1554"/>
      <c r="W32" s="1555"/>
      <c r="X32" s="1556"/>
      <c r="Y32" s="3386"/>
      <c r="Z32" s="2539"/>
      <c r="AA32" s="1562">
        <v>1</v>
      </c>
      <c r="AB32" s="1562">
        <v>1</v>
      </c>
      <c r="AC32" s="1562">
        <v>1</v>
      </c>
    </row>
    <row r="33" spans="1:29" ht="20.25">
      <c r="A33" s="532"/>
      <c r="B33" s="566" t="s">
        <v>547</v>
      </c>
      <c r="C33" s="580" t="s">
        <v>3106</v>
      </c>
      <c r="D33" s="575">
        <v>100</v>
      </c>
      <c r="E33" s="583" t="s">
        <v>3135</v>
      </c>
      <c r="F33" s="540">
        <f>SUMIF(106:106,E33,107:107)-SUMIF(106:106,C33,107:107)+100</f>
        <v>99</v>
      </c>
      <c r="G33" s="580" t="s">
        <v>3135</v>
      </c>
      <c r="H33" s="540">
        <f>SUMIF(106:106,G33,107:107)-SUMIF(106:106,C33,107:107)+100</f>
        <v>99</v>
      </c>
      <c r="I33" s="580" t="s">
        <v>3135</v>
      </c>
      <c r="J33" s="540">
        <f>SUMIF(106:106,I33,107:107)-SUMIF(106:106,C33,107:107)+100</f>
        <v>99</v>
      </c>
      <c r="K33" s="535">
        <v>1</v>
      </c>
      <c r="L33" s="2127"/>
      <c r="M33" s="2117"/>
      <c r="N33" s="2117"/>
      <c r="O33" s="2126"/>
      <c r="P33" s="3386"/>
      <c r="Q33" s="1558" t="str">
        <f t="shared" si="8"/>
        <v>临街状况</v>
      </c>
      <c r="R33" s="1559" t="s">
        <v>8</v>
      </c>
      <c r="S33" s="1560">
        <f t="shared" ref="S33:S47" si="10">F33</f>
        <v>99</v>
      </c>
      <c r="T33" s="1559" t="s">
        <v>8</v>
      </c>
      <c r="U33" s="1560">
        <f t="shared" ref="U33:U47" si="11">H33</f>
        <v>99</v>
      </c>
      <c r="V33" s="1559" t="s">
        <v>8</v>
      </c>
      <c r="W33" s="1560">
        <f t="shared" ref="W33:W47" si="12">J33</f>
        <v>99</v>
      </c>
      <c r="X33" s="1553"/>
      <c r="Y33" s="3386"/>
      <c r="Z33" s="1561" t="str">
        <f t="shared" ref="Z33:Z47" si="13">Q33</f>
        <v>临街状况</v>
      </c>
      <c r="AA33" s="1562">
        <f t="shared" si="3"/>
        <v>1.0101010101010102</v>
      </c>
      <c r="AB33" s="1562">
        <f t="shared" si="4"/>
        <v>1.0101010101010102</v>
      </c>
      <c r="AC33" s="1562">
        <f t="shared" si="5"/>
        <v>1.0101010101010102</v>
      </c>
    </row>
    <row r="34" spans="1:29" ht="27">
      <c r="A34" s="532"/>
      <c r="B34" s="578" t="s">
        <v>548</v>
      </c>
      <c r="C34" s="562"/>
      <c r="D34" s="563">
        <v>100</v>
      </c>
      <c r="E34" s="564"/>
      <c r="F34" s="559">
        <f>SUMIF(108:108,E35,109:109)-SUMIF(108:108,C35,109:109)+100</f>
        <v>102</v>
      </c>
      <c r="G34" s="562"/>
      <c r="H34" s="559">
        <f>SUMIF(108:108,G35,109:109)-SUMIF(108:108,C35,109:109)+100</f>
        <v>100</v>
      </c>
      <c r="I34" s="564"/>
      <c r="J34" s="559">
        <f>SUMIF(108:108,I35,109:109)-SUMIF(108:108,C35,109:109)+100</f>
        <v>100</v>
      </c>
      <c r="K34" s="535">
        <v>2</v>
      </c>
      <c r="L34" s="2127"/>
      <c r="M34" s="2117"/>
      <c r="N34" s="2117"/>
      <c r="O34" s="2126"/>
      <c r="P34" s="3386"/>
      <c r="Q34" s="1558" t="str">
        <f t="shared" si="8"/>
        <v>毗邻道路的类型与等级</v>
      </c>
      <c r="R34" s="1559" t="s">
        <v>8</v>
      </c>
      <c r="S34" s="1560">
        <f t="shared" si="10"/>
        <v>102</v>
      </c>
      <c r="T34" s="1559" t="s">
        <v>8</v>
      </c>
      <c r="U34" s="1560">
        <f t="shared" si="11"/>
        <v>100</v>
      </c>
      <c r="V34" s="1559" t="s">
        <v>8</v>
      </c>
      <c r="W34" s="1560">
        <f t="shared" si="12"/>
        <v>100</v>
      </c>
      <c r="X34" s="1553"/>
      <c r="Y34" s="3386"/>
      <c r="Z34" s="1561" t="str">
        <f t="shared" si="13"/>
        <v>毗邻道路的类型与等级</v>
      </c>
      <c r="AA34" s="1562">
        <f t="shared" si="3"/>
        <v>0.98039215686274506</v>
      </c>
      <c r="AB34" s="1562">
        <f t="shared" si="4"/>
        <v>1</v>
      </c>
      <c r="AC34" s="1562">
        <f t="shared" si="5"/>
        <v>1</v>
      </c>
    </row>
    <row r="35" spans="1:29" ht="21" thickBot="1">
      <c r="A35" s="532"/>
      <c r="B35" s="566"/>
      <c r="C35" s="554" t="s">
        <v>3115</v>
      </c>
      <c r="D35" s="557"/>
      <c r="E35" s="576" t="s">
        <v>3113</v>
      </c>
      <c r="F35" s="555"/>
      <c r="G35" s="554" t="s">
        <v>3115</v>
      </c>
      <c r="H35" s="555"/>
      <c r="I35" s="576" t="s">
        <v>3115</v>
      </c>
      <c r="J35" s="555"/>
      <c r="K35" s="581"/>
      <c r="L35" s="2127"/>
      <c r="M35" s="2117"/>
      <c r="N35" s="2117"/>
      <c r="O35" s="2126"/>
      <c r="P35" s="3386"/>
      <c r="Q35" s="1558"/>
      <c r="R35" s="1559"/>
      <c r="S35" s="1560"/>
      <c r="T35" s="1559"/>
      <c r="U35" s="1560"/>
      <c r="V35" s="1559"/>
      <c r="W35" s="1560"/>
      <c r="X35" s="1553"/>
      <c r="Y35" s="3386"/>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6"/>
      <c r="Q36" s="1558" t="str">
        <f t="shared" si="8"/>
        <v>土地级别</v>
      </c>
      <c r="R36" s="1559" t="s">
        <v>8</v>
      </c>
      <c r="S36" s="1560">
        <f t="shared" si="10"/>
        <v>100</v>
      </c>
      <c r="T36" s="1559" t="s">
        <v>8</v>
      </c>
      <c r="U36" s="1560">
        <f t="shared" si="11"/>
        <v>100</v>
      </c>
      <c r="V36" s="1559" t="s">
        <v>8</v>
      </c>
      <c r="W36" s="1560">
        <f t="shared" si="12"/>
        <v>100</v>
      </c>
      <c r="X36" s="1553"/>
      <c r="Y36" s="3386"/>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6"/>
      <c r="Q37" s="1558">
        <f t="shared" si="8"/>
        <v>111</v>
      </c>
      <c r="R37" s="1559" t="s">
        <v>8</v>
      </c>
      <c r="S37" s="1560">
        <f t="shared" si="10"/>
        <v>100</v>
      </c>
      <c r="T37" s="1559" t="s">
        <v>8</v>
      </c>
      <c r="U37" s="1560">
        <f t="shared" si="11"/>
        <v>100</v>
      </c>
      <c r="V37" s="1559" t="s">
        <v>8</v>
      </c>
      <c r="W37" s="1560">
        <f t="shared" si="12"/>
        <v>100</v>
      </c>
      <c r="X37" s="1553"/>
      <c r="Y37" s="3386"/>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7" t="s">
        <v>550</v>
      </c>
      <c r="Q38" s="1558">
        <f t="shared" si="8"/>
        <v>111</v>
      </c>
      <c r="R38" s="1559" t="s">
        <v>8</v>
      </c>
      <c r="S38" s="1560">
        <f t="shared" si="10"/>
        <v>100</v>
      </c>
      <c r="T38" s="1559" t="s">
        <v>8</v>
      </c>
      <c r="U38" s="1560">
        <f t="shared" si="11"/>
        <v>100</v>
      </c>
      <c r="V38" s="1559" t="s">
        <v>8</v>
      </c>
      <c r="W38" s="1560">
        <f t="shared" si="12"/>
        <v>100</v>
      </c>
      <c r="X38" s="1553"/>
      <c r="Y38" s="3388" t="s">
        <v>550</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8"/>
      <c r="Q39" s="1558">
        <f t="shared" si="8"/>
        <v>111</v>
      </c>
      <c r="R39" s="1563" t="s">
        <v>8</v>
      </c>
      <c r="S39" s="1564">
        <f t="shared" si="10"/>
        <v>100</v>
      </c>
      <c r="T39" s="1563" t="s">
        <v>8</v>
      </c>
      <c r="U39" s="1564">
        <f t="shared" si="11"/>
        <v>100</v>
      </c>
      <c r="V39" s="1563" t="s">
        <v>8</v>
      </c>
      <c r="W39" s="1564">
        <f t="shared" si="12"/>
        <v>100</v>
      </c>
      <c r="X39" s="1565"/>
      <c r="Y39" s="3388"/>
      <c r="Z39" s="1566">
        <f t="shared" si="13"/>
        <v>111</v>
      </c>
      <c r="AA39" s="1562">
        <f t="shared" si="3"/>
        <v>1</v>
      </c>
      <c r="AB39" s="1562">
        <f t="shared" si="4"/>
        <v>1</v>
      </c>
      <c r="AC39" s="1562">
        <f t="shared" si="5"/>
        <v>1</v>
      </c>
    </row>
    <row r="40" spans="1:29" ht="20.25">
      <c r="A40" s="2862" t="s">
        <v>2752</v>
      </c>
      <c r="B40" s="595" t="s">
        <v>552</v>
      </c>
      <c r="C40" s="596">
        <f>'数据-汇总表'!D3</f>
        <v>52536.9</v>
      </c>
      <c r="D40" s="597">
        <v>100</v>
      </c>
      <c r="E40" s="596">
        <f>Sheet1!D6</f>
        <v>43166.27</v>
      </c>
      <c r="F40" s="597">
        <f>LOOKUP(E40,119:119,120:120)-LOOKUP(C40,119:119,120:120)+100</f>
        <v>100</v>
      </c>
      <c r="G40" s="596">
        <f>Sheet1!D7</f>
        <v>58664.08</v>
      </c>
      <c r="H40" s="597">
        <f>LOOKUP(G40,119:119,120:120)-LOOKUP(C40,119:119,120:120)+100</f>
        <v>100</v>
      </c>
      <c r="I40" s="598">
        <f>Sheet1!D9</f>
        <v>27200</v>
      </c>
      <c r="J40" s="597">
        <f>LOOKUP(I40,119:119,120:120)-LOOKUP(C40,119:119,120:120)+100</f>
        <v>101</v>
      </c>
      <c r="K40" s="581"/>
      <c r="L40" s="2127"/>
      <c r="M40" s="2117"/>
      <c r="N40" s="2117"/>
      <c r="O40" s="2126"/>
      <c r="P40" s="3388"/>
      <c r="Q40" s="1558" t="str">
        <f>B40</f>
        <v>宗地面积</v>
      </c>
      <c r="R40" s="1559" t="s">
        <v>8</v>
      </c>
      <c r="S40" s="1560">
        <f t="shared" si="10"/>
        <v>100</v>
      </c>
      <c r="T40" s="1559" t="s">
        <v>8</v>
      </c>
      <c r="U40" s="1560">
        <f t="shared" si="11"/>
        <v>100</v>
      </c>
      <c r="V40" s="1559" t="s">
        <v>8</v>
      </c>
      <c r="W40" s="1560">
        <f t="shared" si="12"/>
        <v>101</v>
      </c>
      <c r="X40" s="1553"/>
      <c r="Y40" s="3388"/>
      <c r="Z40" s="1561" t="str">
        <f t="shared" si="13"/>
        <v>宗地面积</v>
      </c>
      <c r="AA40" s="1562">
        <f t="shared" si="3"/>
        <v>1</v>
      </c>
      <c r="AB40" s="1562">
        <f t="shared" si="4"/>
        <v>1</v>
      </c>
      <c r="AC40" s="1562">
        <f t="shared" si="5"/>
        <v>0.99009900990099009</v>
      </c>
    </row>
    <row r="41" spans="1:29" ht="20.25">
      <c r="A41" s="594"/>
      <c r="B41" s="527" t="s">
        <v>553</v>
      </c>
      <c r="C41" s="599" t="s">
        <v>3117</v>
      </c>
      <c r="D41" s="540">
        <v>100</v>
      </c>
      <c r="E41" s="599" t="s">
        <v>3117</v>
      </c>
      <c r="F41" s="540">
        <f>SUMIF(121:121,E41,122:122)-SUMIF(121:121,C41,122:122)+100</f>
        <v>100</v>
      </c>
      <c r="G41" s="599" t="s">
        <v>3119</v>
      </c>
      <c r="H41" s="540">
        <f>SUMIF(121:121,G41,122:122)-SUMIF(121:121,C41,122:122)+100</f>
        <v>99</v>
      </c>
      <c r="I41" s="599" t="s">
        <v>3119</v>
      </c>
      <c r="J41" s="540">
        <f>SUMIF(121:121,I41,122:122)-SUMIF(121:121,C41,122:122)+100</f>
        <v>99</v>
      </c>
      <c r="K41" s="584">
        <v>1</v>
      </c>
      <c r="L41" s="2127"/>
      <c r="M41" s="2117"/>
      <c r="N41" s="2117"/>
      <c r="O41" s="2126"/>
      <c r="P41" s="3388"/>
      <c r="Q41" s="1558" t="str">
        <f t="shared" ref="Q41:Q47" si="14">B41</f>
        <v>宗地形状</v>
      </c>
      <c r="R41" s="1559" t="s">
        <v>8</v>
      </c>
      <c r="S41" s="1560">
        <f t="shared" si="10"/>
        <v>100</v>
      </c>
      <c r="T41" s="1559" t="s">
        <v>8</v>
      </c>
      <c r="U41" s="1560">
        <f t="shared" si="11"/>
        <v>99</v>
      </c>
      <c r="V41" s="1559" t="s">
        <v>8</v>
      </c>
      <c r="W41" s="1560">
        <f t="shared" si="12"/>
        <v>99</v>
      </c>
      <c r="X41" s="1553"/>
      <c r="Y41" s="3388"/>
      <c r="Z41" s="1561" t="str">
        <f t="shared" si="13"/>
        <v>宗地形状</v>
      </c>
      <c r="AA41" s="1562">
        <f t="shared" si="3"/>
        <v>1</v>
      </c>
      <c r="AB41" s="1562">
        <f t="shared" si="4"/>
        <v>1.0101010101010102</v>
      </c>
      <c r="AC41" s="1562">
        <f t="shared" si="5"/>
        <v>1.0101010101010102</v>
      </c>
    </row>
    <row r="42" spans="1:29" ht="20.25">
      <c r="A42" s="594"/>
      <c r="B42" s="527" t="s">
        <v>554</v>
      </c>
      <c r="C42" s="599" t="s">
        <v>3125</v>
      </c>
      <c r="D42" s="540">
        <v>100</v>
      </c>
      <c r="E42" s="599" t="s">
        <v>3125</v>
      </c>
      <c r="F42" s="540">
        <f>SUMIF(123:123,E42,124:124)-SUMIF(123:123,C42,124:124)+100</f>
        <v>100</v>
      </c>
      <c r="G42" s="599" t="s">
        <v>3125</v>
      </c>
      <c r="H42" s="540">
        <f>SUMIF(123:123,G42,124:124)-SUMIF(123:123,C42,124:124)+100</f>
        <v>100</v>
      </c>
      <c r="I42" s="599" t="s">
        <v>3125</v>
      </c>
      <c r="J42" s="540">
        <f>SUMIF(123:123,I42,124:124)-SUMIF(123:123,C42,124:124)+100</f>
        <v>100</v>
      </c>
      <c r="K42" s="584">
        <v>2</v>
      </c>
      <c r="L42" s="2127"/>
      <c r="M42" s="2117"/>
      <c r="N42" s="2117"/>
      <c r="O42" s="2126"/>
      <c r="P42" s="3388"/>
      <c r="Q42" s="1558" t="str">
        <f t="shared" si="14"/>
        <v>临街宽度及深度</v>
      </c>
      <c r="R42" s="1559" t="s">
        <v>8</v>
      </c>
      <c r="S42" s="1560">
        <f t="shared" si="10"/>
        <v>100</v>
      </c>
      <c r="T42" s="1559" t="s">
        <v>8</v>
      </c>
      <c r="U42" s="1560">
        <f t="shared" si="11"/>
        <v>100</v>
      </c>
      <c r="V42" s="1559" t="s">
        <v>8</v>
      </c>
      <c r="W42" s="1560">
        <f t="shared" si="12"/>
        <v>100</v>
      </c>
      <c r="X42" s="1553"/>
      <c r="Y42" s="3388"/>
      <c r="Z42" s="1561" t="str">
        <f t="shared" si="13"/>
        <v>临街宽度及深度</v>
      </c>
      <c r="AA42" s="1562">
        <f t="shared" si="3"/>
        <v>1</v>
      </c>
      <c r="AB42" s="1562">
        <f t="shared" si="4"/>
        <v>1</v>
      </c>
      <c r="AC42" s="1562">
        <f t="shared" si="5"/>
        <v>1</v>
      </c>
    </row>
    <row r="43" spans="1:29" s="1216" customFormat="1" ht="20.25">
      <c r="A43" s="600"/>
      <c r="B43" s="1880" t="s">
        <v>2421</v>
      </c>
      <c r="C43" s="601" t="s">
        <v>3138</v>
      </c>
      <c r="D43" s="255">
        <v>100</v>
      </c>
      <c r="E43" s="601" t="s">
        <v>3141</v>
      </c>
      <c r="F43" s="540">
        <f>SUMIF(125:125,E43,126:126)-SUMIF(125:125,C43,126:126)+100</f>
        <v>98</v>
      </c>
      <c r="G43" s="601" t="s">
        <v>3141</v>
      </c>
      <c r="H43" s="540">
        <f>SUMIF(125:125,G43,126:126)-SUMIF(125:125,C43,126:126)+100</f>
        <v>98</v>
      </c>
      <c r="I43" s="601" t="s">
        <v>3141</v>
      </c>
      <c r="J43" s="540">
        <f>SUMIF(125:125,I43,126:126)-SUMIF(125:125,C43,126:126)+100</f>
        <v>98</v>
      </c>
      <c r="K43" s="584">
        <v>1</v>
      </c>
      <c r="L43" s="2120"/>
      <c r="M43" s="2117"/>
      <c r="N43" s="2117"/>
      <c r="O43" s="2122"/>
      <c r="P43" s="3388"/>
      <c r="Q43" s="1558" t="str">
        <f t="shared" si="14"/>
        <v>宗地开发程度</v>
      </c>
      <c r="R43" s="1554" t="s">
        <v>8</v>
      </c>
      <c r="S43" s="1555">
        <f t="shared" si="10"/>
        <v>98</v>
      </c>
      <c r="T43" s="1554" t="s">
        <v>8</v>
      </c>
      <c r="U43" s="1555">
        <f t="shared" si="11"/>
        <v>98</v>
      </c>
      <c r="V43" s="1554" t="s">
        <v>8</v>
      </c>
      <c r="W43" s="1555">
        <f t="shared" si="12"/>
        <v>98</v>
      </c>
      <c r="X43" s="1556"/>
      <c r="Y43" s="3388"/>
      <c r="Z43" s="1146" t="str">
        <f t="shared" si="13"/>
        <v>宗地开发程度</v>
      </c>
      <c r="AA43" s="1557">
        <f t="shared" si="3"/>
        <v>1.0204081632653061</v>
      </c>
      <c r="AB43" s="1557">
        <f t="shared" si="4"/>
        <v>1.0204081632653061</v>
      </c>
      <c r="AC43" s="1557">
        <f t="shared" si="5"/>
        <v>1.0204081632653061</v>
      </c>
    </row>
    <row r="44" spans="1:29" ht="21" thickBot="1">
      <c r="A44" s="594"/>
      <c r="B44" s="527" t="s">
        <v>555</v>
      </c>
      <c r="C44" s="599" t="s">
        <v>3104</v>
      </c>
      <c r="D44" s="540">
        <v>100</v>
      </c>
      <c r="E44" s="599" t="s">
        <v>3104</v>
      </c>
      <c r="F44" s="540">
        <f>SUMIF(127:127,E44,128:128)-SUMIF(127:127,C44,128:128)+100</f>
        <v>100</v>
      </c>
      <c r="G44" s="599" t="s">
        <v>3104</v>
      </c>
      <c r="H44" s="540">
        <f>SUMIF(127:127,G44,128:128)-SUMIF(127:127,C44,128:128)+100</f>
        <v>100</v>
      </c>
      <c r="I44" s="599" t="s">
        <v>3104</v>
      </c>
      <c r="J44" s="540">
        <f>SUMIF(127:127,I44,128:128)-SUMIF(127:127,C44,128:128)+100</f>
        <v>100</v>
      </c>
      <c r="K44" s="584">
        <v>2</v>
      </c>
      <c r="L44" s="2127"/>
      <c r="M44" s="2117"/>
      <c r="N44" s="2117"/>
      <c r="O44" s="2126"/>
      <c r="P44" s="3388" t="s">
        <v>550</v>
      </c>
      <c r="Q44" s="1558" t="str">
        <f t="shared" si="14"/>
        <v>工程地质条件</v>
      </c>
      <c r="R44" s="1559" t="s">
        <v>8</v>
      </c>
      <c r="S44" s="1560">
        <f t="shared" si="10"/>
        <v>100</v>
      </c>
      <c r="T44" s="1559" t="s">
        <v>8</v>
      </c>
      <c r="U44" s="1560">
        <f t="shared" si="11"/>
        <v>100</v>
      </c>
      <c r="V44" s="1559" t="s">
        <v>8</v>
      </c>
      <c r="W44" s="1560">
        <f t="shared" si="12"/>
        <v>100</v>
      </c>
      <c r="X44" s="1553"/>
      <c r="Y44" s="3388"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8"/>
      <c r="Q45" s="1558">
        <f t="shared" si="14"/>
        <v>111</v>
      </c>
      <c r="R45" s="1559" t="s">
        <v>8</v>
      </c>
      <c r="S45" s="1560">
        <f t="shared" si="10"/>
        <v>100</v>
      </c>
      <c r="T45" s="1559" t="s">
        <v>8</v>
      </c>
      <c r="U45" s="1560">
        <f t="shared" si="11"/>
        <v>100</v>
      </c>
      <c r="V45" s="1559" t="s">
        <v>8</v>
      </c>
      <c r="W45" s="1560">
        <f t="shared" si="12"/>
        <v>100</v>
      </c>
      <c r="X45" s="1553"/>
      <c r="Y45" s="3388"/>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8"/>
      <c r="Q46" s="1558">
        <f t="shared" si="14"/>
        <v>111</v>
      </c>
      <c r="R46" s="1559" t="s">
        <v>8</v>
      </c>
      <c r="S46" s="1560">
        <f t="shared" si="10"/>
        <v>100</v>
      </c>
      <c r="T46" s="1559" t="s">
        <v>8</v>
      </c>
      <c r="U46" s="1560">
        <f t="shared" si="11"/>
        <v>100</v>
      </c>
      <c r="V46" s="1559" t="s">
        <v>8</v>
      </c>
      <c r="W46" s="1560">
        <f t="shared" si="12"/>
        <v>100</v>
      </c>
      <c r="X46" s="1553"/>
      <c r="Y46" s="3388"/>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8"/>
      <c r="Q47" s="1558">
        <f t="shared" si="14"/>
        <v>111</v>
      </c>
      <c r="R47" s="1563" t="s">
        <v>8</v>
      </c>
      <c r="S47" s="1564">
        <f t="shared" si="10"/>
        <v>100</v>
      </c>
      <c r="T47" s="1563" t="s">
        <v>8</v>
      </c>
      <c r="U47" s="1564">
        <f t="shared" si="11"/>
        <v>100</v>
      </c>
      <c r="V47" s="1563" t="s">
        <v>8</v>
      </c>
      <c r="W47" s="1564">
        <f t="shared" si="12"/>
        <v>100</v>
      </c>
      <c r="X47" s="1565"/>
      <c r="Y47" s="3388"/>
      <c r="Z47" s="1566">
        <f t="shared" si="13"/>
        <v>111</v>
      </c>
      <c r="AA47" s="1562">
        <f t="shared" si="3"/>
        <v>1</v>
      </c>
      <c r="AB47" s="1562">
        <f t="shared" si="4"/>
        <v>1</v>
      </c>
      <c r="AC47" s="1562">
        <f t="shared" si="5"/>
        <v>1</v>
      </c>
    </row>
    <row r="48" spans="1:29" ht="20.25">
      <c r="A48" s="607" t="s">
        <v>556</v>
      </c>
      <c r="B48" s="608" t="s">
        <v>3143</v>
      </c>
      <c r="C48" s="609" t="s">
        <v>1</v>
      </c>
      <c r="D48" s="610"/>
      <c r="E48" s="611">
        <f>ROUND(Sheet1!K6,0)</f>
        <v>44296</v>
      </c>
      <c r="F48" s="612"/>
      <c r="G48" s="613">
        <f>ROUND(Sheet1!K7,0)</f>
        <v>42942</v>
      </c>
      <c r="H48" s="614"/>
      <c r="I48" s="611">
        <f>ROUND(Sheet1!K9,0)</f>
        <v>41032</v>
      </c>
      <c r="J48" s="614"/>
      <c r="K48" s="1336"/>
      <c r="L48" s="2129"/>
      <c r="M48" s="2117"/>
      <c r="N48" s="2117"/>
      <c r="O48" s="2130"/>
      <c r="P48" s="3351" t="str">
        <f>A48</f>
        <v>成交单价</v>
      </c>
      <c r="Q48" s="3351"/>
      <c r="R48" s="3352">
        <f>E48</f>
        <v>44296</v>
      </c>
      <c r="S48" s="3352"/>
      <c r="T48" s="3352">
        <f>G48</f>
        <v>42942</v>
      </c>
      <c r="U48" s="3352"/>
      <c r="V48" s="3352">
        <f>I48</f>
        <v>41032</v>
      </c>
      <c r="W48" s="3352"/>
      <c r="X48" s="1545"/>
      <c r="Y48" s="1567"/>
      <c r="Z48" s="1545"/>
      <c r="AA48" s="1545"/>
      <c r="AB48" s="1545"/>
      <c r="AC48" s="1545"/>
    </row>
    <row r="49" spans="1:29" ht="21" thickBot="1">
      <c r="A49" s="615" t="s">
        <v>2690</v>
      </c>
      <c r="B49" s="616"/>
      <c r="C49" s="617">
        <f>R50</f>
        <v>37663</v>
      </c>
      <c r="D49" s="618"/>
      <c r="E49" s="617">
        <f>R49</f>
        <v>38447</v>
      </c>
      <c r="F49" s="619"/>
      <c r="G49" s="620">
        <f>T49</f>
        <v>38017</v>
      </c>
      <c r="H49" s="618"/>
      <c r="I49" s="617">
        <f>V49</f>
        <v>36526</v>
      </c>
      <c r="J49" s="618"/>
      <c r="K49" s="1337"/>
      <c r="L49" s="2129"/>
      <c r="M49" s="2117"/>
      <c r="N49" s="2117"/>
      <c r="O49" s="2130"/>
      <c r="P49" s="3351" t="str">
        <f>A49</f>
        <v>比较价格（元/平方米）</v>
      </c>
      <c r="Q49" s="3351"/>
      <c r="R49" s="3353">
        <f>ROUND(PRODUCT(R48,AA9:AA47),0)</f>
        <v>38447</v>
      </c>
      <c r="S49" s="3353"/>
      <c r="T49" s="3353">
        <f>ROUND(PRODUCT(T48,AB9:AB47),0)</f>
        <v>38017</v>
      </c>
      <c r="U49" s="3353"/>
      <c r="V49" s="3353">
        <f>ROUND(PRODUCT(V48,AC9:AC47),0)</f>
        <v>36526</v>
      </c>
      <c r="W49" s="3353"/>
      <c r="X49" s="1545"/>
      <c r="Y49" s="1545"/>
      <c r="Z49" s="1545"/>
      <c r="AA49" s="1545"/>
      <c r="AB49" s="1545"/>
      <c r="AC49" s="1545"/>
    </row>
    <row r="50" spans="1:29" ht="21" thickBot="1">
      <c r="A50" s="621" t="s">
        <v>2930</v>
      </c>
      <c r="B50" s="622"/>
      <c r="C50" s="623">
        <f>R50</f>
        <v>37663</v>
      </c>
      <c r="D50" s="623"/>
      <c r="E50" s="623"/>
      <c r="F50" s="623"/>
      <c r="G50" s="623"/>
      <c r="H50" s="623"/>
      <c r="I50" s="623"/>
      <c r="J50" s="623"/>
      <c r="K50" s="1338"/>
      <c r="L50" s="2129"/>
      <c r="M50" s="2117"/>
      <c r="N50" s="2117"/>
      <c r="O50" s="2130"/>
      <c r="P50" s="3348" t="str">
        <f>A50</f>
        <v>估价对象XX用房的比较价格（楼面单价，元/平方米）</v>
      </c>
      <c r="Q50" s="3349"/>
      <c r="R50" s="3350">
        <f>ROUND(AVERAGE(R49:V49),0)</f>
        <v>37663</v>
      </c>
      <c r="S50" s="3350"/>
      <c r="T50" s="3350"/>
      <c r="U50" s="3350"/>
      <c r="V50" s="3350"/>
      <c r="W50" s="335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0.15213150570915812</v>
      </c>
      <c r="F53" s="627" t="str">
        <f>IF(OR(E53&gt;=0.3,E53&lt;=-0.3),"超过30%","")</f>
        <v/>
      </c>
      <c r="G53" s="626">
        <f>IF(G48&lt;G49,G49/G48-1,G48/G49-1)</f>
        <v>0.12954730778335999</v>
      </c>
      <c r="H53" s="627" t="str">
        <f>IF(OR(G53&gt;=0.3,G53&lt;=-0.3),"超过30%","")</f>
        <v/>
      </c>
      <c r="I53" s="626">
        <f>IF(I48&lt;I49,I49/I48-1,I48/I49-1)</f>
        <v>0.12336417894102825</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1.1310729410526799E-2</v>
      </c>
      <c r="F54" s="627" t="str">
        <f>IF(OR(E54&gt;=0.2,E54&lt;=-0.2),"超过20%","")</f>
        <v/>
      </c>
      <c r="G54" s="626">
        <f>IF(G49&lt;I49,I49/G49-1,G49/I49-1)</f>
        <v>4.0820237638942158E-2</v>
      </c>
      <c r="H54" s="627" t="str">
        <f>IF(OR(G54&gt;=0.2,G54&lt;=-0.2),"超过20%","")</f>
        <v/>
      </c>
      <c r="I54" s="626">
        <f>IF(I49&lt;E49,E49/I49-1,I49/E49-1)</f>
        <v>5.2592673711876481E-2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3.1530902147082207E-2</v>
      </c>
      <c r="F55" s="627" t="str">
        <f>IF(OR(E55&gt;=0.3,E55&lt;=-0.3),"超过30%","")</f>
        <v/>
      </c>
      <c r="G55" s="626">
        <f>IF(G48&lt;I48,I48/G48-1,G48/I48-1)</f>
        <v>4.6549034899590502E-2</v>
      </c>
      <c r="H55" s="627" t="str">
        <f>IF(OR(G55&gt;=0.3,G55&lt;=-0.3),"超过30%","")</f>
        <v/>
      </c>
      <c r="I55" s="626">
        <f>IF(I48&lt;E48,E48/I48-1,I48/E48-1)</f>
        <v>7.954767011113284E-2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2290</v>
      </c>
      <c r="E57" s="631" t="s">
        <v>562</v>
      </c>
      <c r="F57" s="632" t="s">
        <v>563</v>
      </c>
      <c r="G57" s="3377" t="s">
        <v>2278</v>
      </c>
      <c r="H57" s="337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37663</v>
      </c>
      <c r="C58" s="635">
        <v>1</v>
      </c>
      <c r="D58" s="2213">
        <v>1</v>
      </c>
      <c r="E58" s="635">
        <f>'数据-基础表'!I5+'数据-基础表'!K5</f>
        <v>101997</v>
      </c>
      <c r="F58" s="636">
        <f t="shared" ref="F58:F67" si="15">ROUND(B58*E58/10000,0)</f>
        <v>384151</v>
      </c>
      <c r="G58" s="3379"/>
      <c r="H58" s="338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6591</v>
      </c>
      <c r="C59" s="378">
        <f t="shared" ref="C59:C67" si="16">IF($C$57="北京市系数",I59,J59)</f>
        <v>0.7</v>
      </c>
      <c r="D59" s="2214">
        <v>0.25</v>
      </c>
      <c r="E59" s="639">
        <v>0</v>
      </c>
      <c r="F59" s="636">
        <f t="shared" si="15"/>
        <v>0</v>
      </c>
      <c r="G59" s="3381" t="s">
        <v>2279</v>
      </c>
      <c r="H59" s="1933" t="str">
        <f>项目基本情况!B43</f>
        <v>六级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3766</v>
      </c>
      <c r="C60" s="378">
        <f t="shared" si="16"/>
        <v>0.4</v>
      </c>
      <c r="D60" s="2214">
        <v>0.25</v>
      </c>
      <c r="E60" s="639">
        <v>0</v>
      </c>
      <c r="F60" s="636">
        <f t="shared" si="15"/>
        <v>0</v>
      </c>
      <c r="G60" s="3381"/>
      <c r="H60" s="1933" t="str">
        <f>项目基本情况!B43</f>
        <v>六级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2636</v>
      </c>
      <c r="C61" s="378">
        <f t="shared" si="16"/>
        <v>0.28000000000000003</v>
      </c>
      <c r="D61" s="2214">
        <v>0.25</v>
      </c>
      <c r="E61" s="639">
        <v>0</v>
      </c>
      <c r="F61" s="636">
        <f t="shared" si="15"/>
        <v>0</v>
      </c>
      <c r="G61" s="3381"/>
      <c r="H61" s="1933" t="str">
        <f>项目基本情况!B43</f>
        <v>六级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2354</v>
      </c>
      <c r="C62" s="378">
        <f t="shared" si="16"/>
        <v>0.25</v>
      </c>
      <c r="D62" s="2214">
        <v>0.25</v>
      </c>
      <c r="E62" s="639">
        <v>0</v>
      </c>
      <c r="F62" s="636">
        <f t="shared" si="15"/>
        <v>0</v>
      </c>
      <c r="G62" s="3381"/>
      <c r="H62" s="1933" t="str">
        <f>项目基本情况!B43</f>
        <v>六级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2325</v>
      </c>
      <c r="B63" s="638">
        <f t="shared" si="17"/>
        <v>2354</v>
      </c>
      <c r="C63" s="378">
        <f t="shared" si="16"/>
        <v>0.25</v>
      </c>
      <c r="D63" s="2214">
        <v>0.25</v>
      </c>
      <c r="E63" s="641">
        <f>'数据-汇总表'!E11</f>
        <v>0</v>
      </c>
      <c r="F63" s="636">
        <f t="shared" si="15"/>
        <v>0</v>
      </c>
      <c r="G63" s="1930" t="s">
        <v>2280</v>
      </c>
      <c r="H63" s="1933" t="str">
        <f>项目基本情况!C43</f>
        <v>六级</v>
      </c>
      <c r="I63" s="1542">
        <f>SUMIF(修正!$A$45:$A$56,H63,修正!F45:F56)</f>
        <v>0.25</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2354</v>
      </c>
      <c r="C64" s="378">
        <f t="shared" si="16"/>
        <v>0.25</v>
      </c>
      <c r="D64" s="2214">
        <v>0.25</v>
      </c>
      <c r="E64" s="641">
        <f>'数据-汇总表'!E12</f>
        <v>0</v>
      </c>
      <c r="F64" s="636">
        <f t="shared" si="15"/>
        <v>0</v>
      </c>
      <c r="G64" s="1931" t="s">
        <v>1677</v>
      </c>
      <c r="H64" s="1929" t="str">
        <f>IF(G64="商业",项目基本情况!B43,IF(G64="办公",项目基本情况!C43,IF(G64="住宅",项目基本情况!D43,项目基本情况!E43)))</f>
        <v>六级</v>
      </c>
      <c r="I64" s="1542">
        <f>SUMIF(修正!$A$45:$A$56,H64,修正!G45:G56)</f>
        <v>0.25</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1883</v>
      </c>
      <c r="C65" s="378">
        <f t="shared" si="16"/>
        <v>0.2</v>
      </c>
      <c r="D65" s="2214">
        <v>0.25</v>
      </c>
      <c r="E65" s="641">
        <f>'数据-汇总表'!E13</f>
        <v>0</v>
      </c>
      <c r="F65" s="636">
        <f t="shared" si="15"/>
        <v>0</v>
      </c>
      <c r="G65" s="1931" t="s">
        <v>923</v>
      </c>
      <c r="H65" s="1929" t="str">
        <f>IF(G65="商业",项目基本情况!B43,IF(G65="办公",项目基本情况!C43,IF(G65="住宅",项目基本情况!D43,项目基本情况!E43)))</f>
        <v>六级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1883</v>
      </c>
      <c r="C66" s="378">
        <f t="shared" si="16"/>
        <v>0.2</v>
      </c>
      <c r="D66" s="2214">
        <v>0.25</v>
      </c>
      <c r="E66" s="641">
        <f>'数据-汇总表'!E14</f>
        <v>0</v>
      </c>
      <c r="F66" s="636">
        <f t="shared" si="15"/>
        <v>0</v>
      </c>
      <c r="G66" s="1930" t="s">
        <v>2279</v>
      </c>
      <c r="H66" s="1933" t="str">
        <f>项目基本情况!B43</f>
        <v>六级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1883</v>
      </c>
      <c r="C67" s="378">
        <f t="shared" si="16"/>
        <v>0.2</v>
      </c>
      <c r="D67" s="2214">
        <v>0.25</v>
      </c>
      <c r="E67" s="641">
        <f>'数据-汇总表'!E15</f>
        <v>0</v>
      </c>
      <c r="F67" s="636">
        <f t="shared" si="15"/>
        <v>0</v>
      </c>
      <c r="G67" s="1932" t="s">
        <v>2280</v>
      </c>
      <c r="H67" s="1934" t="str">
        <f>项目基本情况!C43</f>
        <v>六级</v>
      </c>
      <c r="I67" s="1542">
        <f>SUMIF(修正!$A$45:$A$56,H67,修正!H45:H56)</f>
        <v>0.2</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2291</v>
      </c>
      <c r="E68" s="643">
        <f>IF(B48="楼面地价",SUM(E58:E67),'数据-汇总表'!D3)</f>
        <v>101997</v>
      </c>
      <c r="F68" s="644">
        <f>IF(B48="楼面地价",SUM(F58:F67),ROUND(C50*E68/10000,0))</f>
        <v>384151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2019-11-1</v>
      </c>
      <c r="D70" s="2754">
        <f>EDATE(C70,-3)</f>
        <v>43678</v>
      </c>
      <c r="E70" s="2754">
        <f t="shared" ref="E70:N70" si="18">EDATE(D70,-3)</f>
        <v>43586</v>
      </c>
      <c r="F70" s="2754">
        <f t="shared" si="18"/>
        <v>43497</v>
      </c>
      <c r="G70" s="2754">
        <f t="shared" si="18"/>
        <v>43405</v>
      </c>
      <c r="H70" s="2754">
        <f t="shared" si="18"/>
        <v>43313</v>
      </c>
      <c r="I70" s="2754">
        <f t="shared" si="18"/>
        <v>43221</v>
      </c>
      <c r="J70" s="2754">
        <f t="shared" si="18"/>
        <v>43132</v>
      </c>
      <c r="K70" s="2754">
        <f t="shared" si="18"/>
        <v>43040</v>
      </c>
      <c r="L70" s="2754">
        <f t="shared" si="18"/>
        <v>42948</v>
      </c>
      <c r="M70" s="2754">
        <f t="shared" si="18"/>
        <v>42856</v>
      </c>
      <c r="N70" s="2754">
        <f t="shared" si="18"/>
        <v>42767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北京市平均增长率1.98%</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482" t="s">
        <v>3101</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3483" t="s">
        <v>3107</v>
      </c>
      <c r="D84" s="1371" t="s">
        <v>3108</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v>100</v>
      </c>
      <c r="D85" s="671">
        <v>120</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483" t="s">
        <v>3110</v>
      </c>
      <c r="D108" s="3483" t="s">
        <v>3111</v>
      </c>
      <c r="E108" s="3483" t="s">
        <v>3112</v>
      </c>
      <c r="F108" s="3483" t="s">
        <v>3114</v>
      </c>
      <c r="G108" s="3483" t="s">
        <v>3116</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6">C119&amp;"(含)"&amp;"-"&amp;D119</f>
        <v>0(含)-20000</v>
      </c>
      <c r="D118" s="704" t="str">
        <f t="shared" si="26"/>
        <v>20000(含)-40000</v>
      </c>
      <c r="E118" s="704" t="str">
        <f t="shared" si="26"/>
        <v>40000(含)-60000</v>
      </c>
      <c r="F118" s="704" t="str">
        <f t="shared" si="26"/>
        <v>60000(含)-</v>
      </c>
      <c r="G118" s="704" t="str">
        <f t="shared" si="26"/>
        <v>(含)-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f>C119+20000</f>
        <v>20000</v>
      </c>
      <c r="E119" s="730">
        <f t="shared" ref="E119:F119" si="27">D119+20000</f>
        <v>40000</v>
      </c>
      <c r="F119" s="730">
        <f t="shared" si="27"/>
        <v>60000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99</v>
      </c>
      <c r="E120" s="726">
        <f t="shared" ref="E120:F120" si="28">D120-1</f>
        <v>98</v>
      </c>
      <c r="F120" s="726">
        <f t="shared" si="28"/>
        <v>97</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486" t="s">
        <v>3118</v>
      </c>
      <c r="D121" s="3486" t="s">
        <v>3120</v>
      </c>
      <c r="E121" s="3486" t="s">
        <v>3121</v>
      </c>
      <c r="F121" s="3486" t="s">
        <v>3122</v>
      </c>
      <c r="G121" s="3486" t="s">
        <v>3123</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483" t="s">
        <v>3124</v>
      </c>
      <c r="D123" s="3483" t="s">
        <v>3126</v>
      </c>
      <c r="E123" s="3483" t="s">
        <v>3127</v>
      </c>
      <c r="F123" s="3486" t="s">
        <v>3128</v>
      </c>
      <c r="G123" s="3486" t="s">
        <v>3129</v>
      </c>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C124-$K42</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1" t="s">
        <v>3136</v>
      </c>
      <c r="D125" s="1371" t="s">
        <v>3137</v>
      </c>
      <c r="E125" s="1371" t="s">
        <v>3139</v>
      </c>
      <c r="F125" s="1371" t="s">
        <v>3140</v>
      </c>
      <c r="G125" s="1371" t="s">
        <v>3142</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1371" t="s">
        <v>3130</v>
      </c>
      <c r="D127" s="1371" t="s">
        <v>3131</v>
      </c>
      <c r="E127" s="1371" t="s">
        <v>3132</v>
      </c>
      <c r="F127" s="1371" t="s">
        <v>3133</v>
      </c>
      <c r="G127" s="1371" t="s">
        <v>3134</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2">C128-$K44</f>
        <v>98</v>
      </c>
      <c r="E128" s="679">
        <f t="shared" si="32"/>
        <v>96</v>
      </c>
      <c r="F128" s="679">
        <f t="shared" si="32"/>
        <v>94</v>
      </c>
      <c r="G128" s="679">
        <f t="shared" si="32"/>
        <v>92</v>
      </c>
      <c r="H128" s="679">
        <f t="shared" si="32"/>
        <v>90</v>
      </c>
      <c r="I128" s="679">
        <f t="shared" si="32"/>
        <v>88</v>
      </c>
      <c r="J128" s="679">
        <f t="shared" si="32"/>
        <v>86</v>
      </c>
      <c r="K128" s="679">
        <f t="shared" si="32"/>
        <v>84</v>
      </c>
      <c r="L128" s="679">
        <f t="shared" si="32"/>
        <v>82</v>
      </c>
      <c r="M128" s="680">
        <f t="shared" si="32"/>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D38" sqref="D38"/>
    </sheetView>
  </sheetViews>
  <sheetFormatPr defaultColWidth="9" defaultRowHeight="14.25"/>
  <cols>
    <col min="1" max="1" width="13.37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57" t="s">
        <v>522</v>
      </c>
      <c r="D6" s="3358"/>
      <c r="E6" s="3391" t="s">
        <v>523</v>
      </c>
      <c r="F6" s="3392"/>
      <c r="G6" s="3357" t="s">
        <v>524</v>
      </c>
      <c r="H6" s="3358"/>
      <c r="I6" s="3357" t="s">
        <v>525</v>
      </c>
      <c r="J6" s="3358"/>
      <c r="K6" s="514" t="s">
        <v>526</v>
      </c>
      <c r="L6" s="2118"/>
      <c r="M6" s="2119"/>
      <c r="N6" s="2119"/>
      <c r="O6" s="2119"/>
      <c r="P6" s="3359" t="s">
        <v>527</v>
      </c>
      <c r="Q6" s="3360"/>
      <c r="R6" s="3365" t="s">
        <v>523</v>
      </c>
      <c r="S6" s="3366"/>
      <c r="T6" s="3365" t="s">
        <v>524</v>
      </c>
      <c r="U6" s="3366"/>
      <c r="V6" s="3352" t="s">
        <v>525</v>
      </c>
      <c r="W6" s="3352"/>
      <c r="X6" s="1553"/>
      <c r="Y6" s="3365" t="s">
        <v>527</v>
      </c>
      <c r="Z6" s="3366"/>
      <c r="AA6" s="3354" t="s">
        <v>523</v>
      </c>
      <c r="AB6" s="3355" t="s">
        <v>524</v>
      </c>
      <c r="AC6" s="3354" t="s">
        <v>525</v>
      </c>
    </row>
    <row r="7" spans="1:29" ht="15">
      <c r="A7" s="515"/>
      <c r="B7" s="516"/>
      <c r="C7" s="3373" t="s">
        <v>2924</v>
      </c>
      <c r="D7" s="3374"/>
      <c r="E7" s="3393" t="s">
        <v>2925</v>
      </c>
      <c r="F7" s="3394"/>
      <c r="G7" s="3373" t="s">
        <v>2926</v>
      </c>
      <c r="H7" s="3374"/>
      <c r="I7" s="3373" t="s">
        <v>2927</v>
      </c>
      <c r="J7" s="3374"/>
      <c r="K7" s="514"/>
      <c r="L7" s="2118"/>
      <c r="M7" s="2119"/>
      <c r="N7" s="2119"/>
      <c r="O7" s="2119"/>
      <c r="P7" s="3361"/>
      <c r="Q7" s="3362"/>
      <c r="R7" s="3367"/>
      <c r="S7" s="3368"/>
      <c r="T7" s="3367"/>
      <c r="U7" s="3368"/>
      <c r="V7" s="3352"/>
      <c r="W7" s="3352"/>
      <c r="X7" s="1553"/>
      <c r="Y7" s="3367"/>
      <c r="Z7" s="3368"/>
      <c r="AA7" s="3355"/>
      <c r="AB7" s="3355"/>
      <c r="AC7" s="3355"/>
    </row>
    <row r="8" spans="1:29" ht="15.75" thickBot="1">
      <c r="A8" s="517"/>
      <c r="B8" s="518"/>
      <c r="C8" s="3371" t="s">
        <v>2928</v>
      </c>
      <c r="D8" s="3372"/>
      <c r="E8" s="3389" t="s">
        <v>2928</v>
      </c>
      <c r="F8" s="3390"/>
      <c r="G8" s="3371" t="s">
        <v>2928</v>
      </c>
      <c r="H8" s="3372"/>
      <c r="I8" s="3371" t="s">
        <v>2928</v>
      </c>
      <c r="J8" s="3372"/>
      <c r="K8" s="514" t="s">
        <v>528</v>
      </c>
      <c r="L8" s="2118"/>
      <c r="M8" s="2119"/>
      <c r="N8" s="2119"/>
      <c r="O8" s="2119"/>
      <c r="P8" s="3363"/>
      <c r="Q8" s="3364"/>
      <c r="R8" s="3367"/>
      <c r="S8" s="3368"/>
      <c r="T8" s="3369"/>
      <c r="U8" s="3370"/>
      <c r="V8" s="3352"/>
      <c r="W8" s="3352"/>
      <c r="X8" s="1553"/>
      <c r="Y8" s="3369"/>
      <c r="Z8" s="3370"/>
      <c r="AA8" s="3356"/>
      <c r="AB8" s="3356"/>
      <c r="AC8" s="3356"/>
    </row>
    <row r="9" spans="1:29" s="1216" customFormat="1" ht="15.75" thickBot="1">
      <c r="A9" s="2867"/>
      <c r="B9" s="2874" t="s">
        <v>529</v>
      </c>
      <c r="C9" s="519">
        <f>'数据-取费表'!B2</f>
        <v>43782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82" t="s">
        <v>530</v>
      </c>
      <c r="Q9" s="3384"/>
      <c r="R9" s="1554" t="s">
        <v>8</v>
      </c>
      <c r="S9" s="1555">
        <f t="shared" ref="S9:S17" si="0">F9</f>
        <v>0</v>
      </c>
      <c r="T9" s="1554" t="s">
        <v>8</v>
      </c>
      <c r="U9" s="1555">
        <f t="shared" ref="U9:U17" si="1">H9</f>
        <v>0</v>
      </c>
      <c r="V9" s="1554" t="s">
        <v>8</v>
      </c>
      <c r="W9" s="1555">
        <f t="shared" ref="W9:W17" si="2">J9</f>
        <v>0</v>
      </c>
      <c r="X9" s="1556"/>
      <c r="Y9" s="3382" t="s">
        <v>530</v>
      </c>
      <c r="Z9" s="3383"/>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82" t="s">
        <v>533</v>
      </c>
      <c r="Q10" s="3383"/>
      <c r="R10" s="1554" t="s">
        <v>8</v>
      </c>
      <c r="S10" s="1555">
        <f t="shared" si="0"/>
        <v>0</v>
      </c>
      <c r="T10" s="1554" t="s">
        <v>8</v>
      </c>
      <c r="U10" s="1555">
        <f t="shared" si="1"/>
        <v>0</v>
      </c>
      <c r="V10" s="1554" t="s">
        <v>8</v>
      </c>
      <c r="W10" s="1555">
        <f t="shared" si="2"/>
        <v>0</v>
      </c>
      <c r="X10" s="1556"/>
      <c r="Y10" s="3382" t="s">
        <v>533</v>
      </c>
      <c r="Z10" s="3383"/>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51" t="s">
        <v>535</v>
      </c>
      <c r="Q11" s="1147" t="str">
        <f t="shared" ref="Q11:Q17" si="6">B11</f>
        <v>用途</v>
      </c>
      <c r="R11" s="1554" t="s">
        <v>8</v>
      </c>
      <c r="S11" s="1555">
        <f t="shared" si="0"/>
        <v>100</v>
      </c>
      <c r="T11" s="1554" t="s">
        <v>8</v>
      </c>
      <c r="U11" s="1555">
        <f t="shared" si="1"/>
        <v>100</v>
      </c>
      <c r="V11" s="1554" t="s">
        <v>8</v>
      </c>
      <c r="W11" s="1555">
        <f t="shared" si="2"/>
        <v>100</v>
      </c>
      <c r="X11" s="1556"/>
      <c r="Y11" s="3297" t="s">
        <v>536</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51"/>
      <c r="Q12" s="1147" t="str">
        <f t="shared" si="6"/>
        <v>土地使用年限（年）</v>
      </c>
      <c r="R12" s="1554" t="s">
        <v>8</v>
      </c>
      <c r="S12" s="1555">
        <f t="shared" si="0"/>
        <v>100</v>
      </c>
      <c r="T12" s="1554" t="s">
        <v>8</v>
      </c>
      <c r="U12" s="1555">
        <f t="shared" si="1"/>
        <v>100</v>
      </c>
      <c r="V12" s="1554" t="s">
        <v>8</v>
      </c>
      <c r="W12" s="1555">
        <f t="shared" si="2"/>
        <v>100</v>
      </c>
      <c r="X12" s="1556"/>
      <c r="Y12" s="3297"/>
      <c r="Z12" s="1146" t="str">
        <f t="shared" si="7"/>
        <v>土地使用年限（年）</v>
      </c>
      <c r="AA12" s="1557">
        <f t="shared" si="3"/>
        <v>1</v>
      </c>
      <c r="AB12" s="1557">
        <f t="shared" si="4"/>
        <v>1</v>
      </c>
      <c r="AC12" s="1557">
        <f t="shared" si="5"/>
        <v>1</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51"/>
      <c r="Q13" s="1147" t="str">
        <f t="shared" si="6"/>
        <v>容积率</v>
      </c>
      <c r="R13" s="1554" t="s">
        <v>8</v>
      </c>
      <c r="S13" s="1555" t="e">
        <f t="shared" si="0"/>
        <v>#N/A</v>
      </c>
      <c r="T13" s="1554" t="s">
        <v>8</v>
      </c>
      <c r="U13" s="1555" t="e">
        <f t="shared" si="1"/>
        <v>#N/A</v>
      </c>
      <c r="V13" s="1554" t="s">
        <v>8</v>
      </c>
      <c r="W13" s="1555" t="e">
        <f t="shared" si="2"/>
        <v>#N/A</v>
      </c>
      <c r="X13" s="1556"/>
      <c r="Y13" s="3297"/>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51"/>
      <c r="Q14" s="1147">
        <f t="shared" si="6"/>
        <v>111</v>
      </c>
      <c r="R14" s="1554" t="s">
        <v>8</v>
      </c>
      <c r="S14" s="1555">
        <f t="shared" si="0"/>
        <v>100</v>
      </c>
      <c r="T14" s="1554" t="s">
        <v>8</v>
      </c>
      <c r="U14" s="1555">
        <f t="shared" si="1"/>
        <v>100</v>
      </c>
      <c r="V14" s="1554" t="s">
        <v>8</v>
      </c>
      <c r="W14" s="1555">
        <f t="shared" si="2"/>
        <v>100</v>
      </c>
      <c r="X14" s="1556"/>
      <c r="Y14" s="3297"/>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51"/>
      <c r="Q15" s="1147">
        <f t="shared" si="6"/>
        <v>111</v>
      </c>
      <c r="R15" s="1554" t="s">
        <v>8</v>
      </c>
      <c r="S15" s="1555">
        <f t="shared" si="0"/>
        <v>100</v>
      </c>
      <c r="T15" s="1554" t="s">
        <v>8</v>
      </c>
      <c r="U15" s="1555">
        <f t="shared" si="1"/>
        <v>100</v>
      </c>
      <c r="V15" s="1554" t="s">
        <v>8</v>
      </c>
      <c r="W15" s="1555">
        <f t="shared" si="2"/>
        <v>100</v>
      </c>
      <c r="X15" s="1556"/>
      <c r="Y15" s="3297"/>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51"/>
      <c r="Q16" s="1147">
        <f t="shared" si="6"/>
        <v>111</v>
      </c>
      <c r="R16" s="1554" t="s">
        <v>8</v>
      </c>
      <c r="S16" s="1555">
        <f t="shared" si="0"/>
        <v>100</v>
      </c>
      <c r="T16" s="1554" t="s">
        <v>8</v>
      </c>
      <c r="U16" s="1555">
        <f t="shared" si="1"/>
        <v>100</v>
      </c>
      <c r="V16" s="1554" t="s">
        <v>8</v>
      </c>
      <c r="W16" s="1555">
        <f t="shared" si="2"/>
        <v>100</v>
      </c>
      <c r="X16" s="1556"/>
      <c r="Y16" s="3297"/>
      <c r="Z16" s="1146">
        <f t="shared" si="7"/>
        <v>111</v>
      </c>
      <c r="AA16" s="1557">
        <f t="shared" si="3"/>
        <v>1</v>
      </c>
      <c r="AB16" s="1557">
        <f t="shared" si="4"/>
        <v>1</v>
      </c>
      <c r="AC16" s="1557">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5" t="s">
        <v>540</v>
      </c>
      <c r="Q17" s="1558" t="str">
        <f t="shared" si="6"/>
        <v>产业集聚程度</v>
      </c>
      <c r="R17" s="1559" t="s">
        <v>8</v>
      </c>
      <c r="S17" s="1560">
        <f t="shared" si="0"/>
        <v>100</v>
      </c>
      <c r="T17" s="1559" t="s">
        <v>8</v>
      </c>
      <c r="U17" s="1560">
        <f t="shared" si="1"/>
        <v>100</v>
      </c>
      <c r="V17" s="1559" t="s">
        <v>8</v>
      </c>
      <c r="W17" s="1560">
        <f t="shared" si="2"/>
        <v>100</v>
      </c>
      <c r="X17" s="1553"/>
      <c r="Y17" s="338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6"/>
      <c r="Q18" s="1558"/>
      <c r="R18" s="1559"/>
      <c r="S18" s="1560"/>
      <c r="T18" s="1559"/>
      <c r="U18" s="1560"/>
      <c r="V18" s="1559"/>
      <c r="W18" s="1560"/>
      <c r="X18" s="1553"/>
      <c r="Y18" s="3386"/>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6"/>
      <c r="Q19" s="1558" t="str">
        <f>B19</f>
        <v>交通便捷度</v>
      </c>
      <c r="R19" s="1559" t="s">
        <v>8</v>
      </c>
      <c r="S19" s="1560">
        <f>F19</f>
        <v>100</v>
      </c>
      <c r="T19" s="1559" t="s">
        <v>8</v>
      </c>
      <c r="U19" s="1560">
        <f>H19</f>
        <v>100</v>
      </c>
      <c r="V19" s="1559" t="s">
        <v>8</v>
      </c>
      <c r="W19" s="1560">
        <f>J19</f>
        <v>100</v>
      </c>
      <c r="X19" s="1553"/>
      <c r="Y19" s="3386"/>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6"/>
      <c r="Q20" s="1558"/>
      <c r="R20" s="1559"/>
      <c r="S20" s="1560"/>
      <c r="T20" s="1559"/>
      <c r="U20" s="1560"/>
      <c r="V20" s="1559"/>
      <c r="W20" s="1560"/>
      <c r="X20" s="1553"/>
      <c r="Y20" s="338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6"/>
      <c r="Q21" s="1558" t="str">
        <f t="shared" ref="Q21:Q35" si="8">B21</f>
        <v>区域土地利用方向</v>
      </c>
      <c r="R21" s="1559" t="s">
        <v>8</v>
      </c>
      <c r="S21" s="1560">
        <f>F21</f>
        <v>100</v>
      </c>
      <c r="T21" s="1559" t="s">
        <v>8</v>
      </c>
      <c r="U21" s="1560">
        <f>H21</f>
        <v>100</v>
      </c>
      <c r="V21" s="1559" t="s">
        <v>8</v>
      </c>
      <c r="W21" s="1560">
        <f>J21</f>
        <v>100</v>
      </c>
      <c r="X21" s="1553"/>
      <c r="Y21" s="338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6"/>
      <c r="Q22" s="1558"/>
      <c r="R22" s="1559"/>
      <c r="S22" s="1560"/>
      <c r="T22" s="1559"/>
      <c r="U22" s="1560"/>
      <c r="V22" s="1559"/>
      <c r="W22" s="1560"/>
      <c r="X22" s="1553"/>
      <c r="Y22" s="3386"/>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6"/>
      <c r="Q23" s="1558" t="str">
        <f t="shared" si="8"/>
        <v>环境状况</v>
      </c>
      <c r="R23" s="1559" t="s">
        <v>8</v>
      </c>
      <c r="S23" s="1560">
        <f>F23</f>
        <v>100</v>
      </c>
      <c r="T23" s="1559" t="s">
        <v>8</v>
      </c>
      <c r="U23" s="1560">
        <f>H23</f>
        <v>100</v>
      </c>
      <c r="V23" s="1559" t="s">
        <v>8</v>
      </c>
      <c r="W23" s="1560">
        <f>J23</f>
        <v>100</v>
      </c>
      <c r="X23" s="1553"/>
      <c r="Y23" s="338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6"/>
      <c r="Q24" s="1558"/>
      <c r="R24" s="1559"/>
      <c r="S24" s="1560"/>
      <c r="T24" s="1559"/>
      <c r="U24" s="1560"/>
      <c r="V24" s="1559"/>
      <c r="W24" s="1560"/>
      <c r="X24" s="1553"/>
      <c r="Y24" s="3386"/>
      <c r="Z24" s="1561"/>
      <c r="AA24" s="1562">
        <v>1</v>
      </c>
      <c r="AB24" s="1562">
        <v>1</v>
      </c>
      <c r="AC24" s="1562">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6"/>
      <c r="Q25" s="1147" t="str">
        <f t="shared" si="8"/>
        <v>公共配套设施</v>
      </c>
      <c r="R25" s="1554" t="s">
        <v>8</v>
      </c>
      <c r="S25" s="1555">
        <f>F25</f>
        <v>100</v>
      </c>
      <c r="T25" s="1554" t="s">
        <v>8</v>
      </c>
      <c r="U25" s="1555">
        <f>H25</f>
        <v>100</v>
      </c>
      <c r="V25" s="1554" t="s">
        <v>8</v>
      </c>
      <c r="W25" s="1555">
        <f>J25</f>
        <v>100</v>
      </c>
      <c r="X25" s="1556"/>
      <c r="Y25" s="3386"/>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6"/>
      <c r="Q26" s="1147"/>
      <c r="R26" s="1554"/>
      <c r="S26" s="1555"/>
      <c r="T26" s="1554"/>
      <c r="U26" s="1555"/>
      <c r="V26" s="1554"/>
      <c r="W26" s="1555"/>
      <c r="X26" s="1556"/>
      <c r="Y26" s="3386"/>
      <c r="Z26" s="1146"/>
      <c r="AA26" s="1557">
        <v>1</v>
      </c>
      <c r="AB26" s="1557">
        <v>1</v>
      </c>
      <c r="AC26" s="1557">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6"/>
      <c r="Q27" s="2542" t="str">
        <f t="shared" ref="Q27" si="9">B27</f>
        <v>基础设施水平</v>
      </c>
      <c r="R27" s="1554" t="s">
        <v>8</v>
      </c>
      <c r="S27" s="1555">
        <f>F27</f>
        <v>100</v>
      </c>
      <c r="T27" s="1554" t="s">
        <v>8</v>
      </c>
      <c r="U27" s="1555">
        <f>H27</f>
        <v>100</v>
      </c>
      <c r="V27" s="1554" t="s">
        <v>8</v>
      </c>
      <c r="W27" s="1555">
        <f>J27</f>
        <v>100</v>
      </c>
      <c r="X27" s="1556"/>
      <c r="Y27" s="3386"/>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6"/>
      <c r="Q28" s="2542"/>
      <c r="R28" s="1554"/>
      <c r="S28" s="1555"/>
      <c r="T28" s="1554"/>
      <c r="U28" s="1555"/>
      <c r="V28" s="1554"/>
      <c r="W28" s="1555"/>
      <c r="X28" s="1556"/>
      <c r="Y28" s="3386"/>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6"/>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6"/>
      <c r="Q30" s="1558" t="str">
        <f t="shared" si="8"/>
        <v>毗邻道路的类型与等级</v>
      </c>
      <c r="R30" s="1559" t="s">
        <v>8</v>
      </c>
      <c r="S30" s="1560">
        <f t="shared" si="10"/>
        <v>100</v>
      </c>
      <c r="T30" s="1559" t="s">
        <v>8</v>
      </c>
      <c r="U30" s="1560">
        <f t="shared" si="11"/>
        <v>100</v>
      </c>
      <c r="V30" s="1559" t="s">
        <v>8</v>
      </c>
      <c r="W30" s="1560">
        <f t="shared" si="12"/>
        <v>100</v>
      </c>
      <c r="X30" s="1553"/>
      <c r="Y30" s="338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6"/>
      <c r="Q31" s="1558"/>
      <c r="R31" s="1559"/>
      <c r="S31" s="1560"/>
      <c r="T31" s="1559"/>
      <c r="U31" s="1560"/>
      <c r="V31" s="1559"/>
      <c r="W31" s="1560"/>
      <c r="X31" s="1553"/>
      <c r="Y31" s="3386"/>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6"/>
      <c r="Q32" s="1558" t="str">
        <f t="shared" si="8"/>
        <v>土地级别</v>
      </c>
      <c r="R32" s="1559" t="s">
        <v>8</v>
      </c>
      <c r="S32" s="1560">
        <f t="shared" si="10"/>
        <v>100</v>
      </c>
      <c r="T32" s="1559" t="s">
        <v>8</v>
      </c>
      <c r="U32" s="1560">
        <f t="shared" si="11"/>
        <v>100</v>
      </c>
      <c r="V32" s="1559" t="s">
        <v>8</v>
      </c>
      <c r="W32" s="1560">
        <f t="shared" si="12"/>
        <v>100</v>
      </c>
      <c r="X32" s="1553"/>
      <c r="Y32" s="338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6"/>
      <c r="Q33" s="1558">
        <f t="shared" si="8"/>
        <v>111</v>
      </c>
      <c r="R33" s="1559" t="s">
        <v>8</v>
      </c>
      <c r="S33" s="1560">
        <f t="shared" si="10"/>
        <v>100</v>
      </c>
      <c r="T33" s="1559" t="s">
        <v>8</v>
      </c>
      <c r="U33" s="1560">
        <f t="shared" si="11"/>
        <v>100</v>
      </c>
      <c r="V33" s="1559" t="s">
        <v>8</v>
      </c>
      <c r="W33" s="1560">
        <f t="shared" si="12"/>
        <v>100</v>
      </c>
      <c r="X33" s="1553"/>
      <c r="Y33" s="338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7" t="s">
        <v>550</v>
      </c>
      <c r="Q34" s="1558">
        <f t="shared" si="8"/>
        <v>111</v>
      </c>
      <c r="R34" s="1559" t="s">
        <v>8</v>
      </c>
      <c r="S34" s="1560">
        <f t="shared" si="10"/>
        <v>100</v>
      </c>
      <c r="T34" s="1559" t="s">
        <v>8</v>
      </c>
      <c r="U34" s="1560">
        <f t="shared" si="11"/>
        <v>100</v>
      </c>
      <c r="V34" s="1559" t="s">
        <v>8</v>
      </c>
      <c r="W34" s="1560">
        <f t="shared" si="12"/>
        <v>100</v>
      </c>
      <c r="X34" s="1553"/>
      <c r="Y34" s="3388"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8"/>
      <c r="Q35" s="1558">
        <f t="shared" si="8"/>
        <v>111</v>
      </c>
      <c r="R35" s="1563" t="s">
        <v>8</v>
      </c>
      <c r="S35" s="1564">
        <f t="shared" si="10"/>
        <v>100</v>
      </c>
      <c r="T35" s="1563" t="s">
        <v>8</v>
      </c>
      <c r="U35" s="1564">
        <f t="shared" si="11"/>
        <v>100</v>
      </c>
      <c r="V35" s="1563" t="s">
        <v>8</v>
      </c>
      <c r="W35" s="1564">
        <f t="shared" si="12"/>
        <v>100</v>
      </c>
      <c r="X35" s="1565"/>
      <c r="Y35" s="3388"/>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8"/>
      <c r="Q36" s="1558" t="str">
        <f>B36</f>
        <v>宗地面积</v>
      </c>
      <c r="R36" s="1559" t="s">
        <v>8</v>
      </c>
      <c r="S36" s="1560" t="e">
        <f t="shared" si="10"/>
        <v>#N/A</v>
      </c>
      <c r="T36" s="1559" t="s">
        <v>8</v>
      </c>
      <c r="U36" s="1560" t="e">
        <f t="shared" si="11"/>
        <v>#N/A</v>
      </c>
      <c r="V36" s="1559" t="s">
        <v>8</v>
      </c>
      <c r="W36" s="1560" t="e">
        <f t="shared" si="12"/>
        <v>#N/A</v>
      </c>
      <c r="X36" s="1553"/>
      <c r="Y36" s="338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8"/>
      <c r="Q37" s="1558" t="str">
        <f t="shared" ref="Q37:Q42" si="14">B37</f>
        <v>宗地形状</v>
      </c>
      <c r="R37" s="1559" t="s">
        <v>8</v>
      </c>
      <c r="S37" s="1560">
        <f t="shared" si="10"/>
        <v>100</v>
      </c>
      <c r="T37" s="1559" t="s">
        <v>8</v>
      </c>
      <c r="U37" s="1560">
        <f t="shared" si="11"/>
        <v>100</v>
      </c>
      <c r="V37" s="1559" t="s">
        <v>8</v>
      </c>
      <c r="W37" s="1560">
        <f t="shared" si="12"/>
        <v>100</v>
      </c>
      <c r="X37" s="1553"/>
      <c r="Y37" s="3388"/>
      <c r="Z37" s="1561" t="str">
        <f t="shared" si="13"/>
        <v>宗地形状</v>
      </c>
      <c r="AA37" s="1562">
        <f t="shared" si="3"/>
        <v>1</v>
      </c>
      <c r="AB37" s="1562">
        <f t="shared" si="4"/>
        <v>1</v>
      </c>
      <c r="AC37" s="1562">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8"/>
      <c r="Q38" s="1558" t="str">
        <f t="shared" si="14"/>
        <v>宗地开发程度</v>
      </c>
      <c r="R38" s="1554" t="s">
        <v>8</v>
      </c>
      <c r="S38" s="1555">
        <f t="shared" si="10"/>
        <v>100</v>
      </c>
      <c r="T38" s="1554" t="s">
        <v>8</v>
      </c>
      <c r="U38" s="1555">
        <f t="shared" si="11"/>
        <v>100</v>
      </c>
      <c r="V38" s="1554" t="s">
        <v>8</v>
      </c>
      <c r="W38" s="1555">
        <f t="shared" si="12"/>
        <v>100</v>
      </c>
      <c r="X38" s="1556"/>
      <c r="Y38" s="3388"/>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8" t="s">
        <v>601</v>
      </c>
      <c r="Q39" s="1558" t="str">
        <f t="shared" si="14"/>
        <v>工程地质条件</v>
      </c>
      <c r="R39" s="1559" t="s">
        <v>8</v>
      </c>
      <c r="S39" s="1560">
        <f t="shared" si="10"/>
        <v>100</v>
      </c>
      <c r="T39" s="1559" t="s">
        <v>8</v>
      </c>
      <c r="U39" s="1560">
        <f t="shared" si="11"/>
        <v>100</v>
      </c>
      <c r="V39" s="1559" t="s">
        <v>8</v>
      </c>
      <c r="W39" s="1560">
        <f t="shared" si="12"/>
        <v>100</v>
      </c>
      <c r="X39" s="1553"/>
      <c r="Y39" s="338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8"/>
      <c r="Q40" s="1558">
        <f t="shared" si="14"/>
        <v>111</v>
      </c>
      <c r="R40" s="1559" t="s">
        <v>8</v>
      </c>
      <c r="S40" s="1560">
        <f t="shared" si="10"/>
        <v>100</v>
      </c>
      <c r="T40" s="1559" t="s">
        <v>8</v>
      </c>
      <c r="U40" s="1560">
        <f t="shared" si="11"/>
        <v>100</v>
      </c>
      <c r="V40" s="1559" t="s">
        <v>8</v>
      </c>
      <c r="W40" s="1560">
        <f t="shared" si="12"/>
        <v>100</v>
      </c>
      <c r="X40" s="1553"/>
      <c r="Y40" s="338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8"/>
      <c r="Q41" s="1558">
        <f t="shared" si="14"/>
        <v>111</v>
      </c>
      <c r="R41" s="1559" t="s">
        <v>8</v>
      </c>
      <c r="S41" s="1560">
        <f t="shared" si="10"/>
        <v>100</v>
      </c>
      <c r="T41" s="1559" t="s">
        <v>8</v>
      </c>
      <c r="U41" s="1560">
        <f t="shared" si="11"/>
        <v>100</v>
      </c>
      <c r="V41" s="1559" t="s">
        <v>8</v>
      </c>
      <c r="W41" s="1560">
        <f t="shared" si="12"/>
        <v>100</v>
      </c>
      <c r="X41" s="1553"/>
      <c r="Y41" s="3388"/>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8"/>
      <c r="Q42" s="1558">
        <f t="shared" si="14"/>
        <v>111</v>
      </c>
      <c r="R42" s="1563" t="s">
        <v>8</v>
      </c>
      <c r="S42" s="1564">
        <f t="shared" si="10"/>
        <v>100</v>
      </c>
      <c r="T42" s="1563" t="s">
        <v>8</v>
      </c>
      <c r="U42" s="1564">
        <f t="shared" si="11"/>
        <v>100</v>
      </c>
      <c r="V42" s="1563" t="s">
        <v>8</v>
      </c>
      <c r="W42" s="1564">
        <f t="shared" si="12"/>
        <v>100</v>
      </c>
      <c r="X42" s="1565"/>
      <c r="Y42" s="3388"/>
      <c r="Z42" s="1566">
        <f t="shared" si="13"/>
        <v>111</v>
      </c>
      <c r="AA42" s="1562">
        <f t="shared" si="3"/>
        <v>1</v>
      </c>
      <c r="AB42" s="1562">
        <f t="shared" si="4"/>
        <v>1</v>
      </c>
      <c r="AC42" s="1562">
        <f t="shared" si="5"/>
        <v>1</v>
      </c>
    </row>
    <row r="43" spans="1:29" ht="15">
      <c r="A43" s="607" t="s">
        <v>556</v>
      </c>
      <c r="B43" s="608" t="s">
        <v>2929</v>
      </c>
      <c r="C43" s="609" t="s">
        <v>1</v>
      </c>
      <c r="D43" s="610"/>
      <c r="E43" s="611"/>
      <c r="F43" s="612"/>
      <c r="G43" s="613"/>
      <c r="H43" s="614"/>
      <c r="I43" s="611"/>
      <c r="J43" s="614"/>
      <c r="K43" s="1336"/>
      <c r="L43" s="2129"/>
      <c r="M43" s="2119"/>
      <c r="N43" s="2119"/>
      <c r="O43" s="2130"/>
      <c r="P43" s="3351" t="str">
        <f>A43</f>
        <v>成交单价</v>
      </c>
      <c r="Q43" s="3351"/>
      <c r="R43" s="3352">
        <f>E43</f>
        <v>0</v>
      </c>
      <c r="S43" s="3352"/>
      <c r="T43" s="3352">
        <f>G43</f>
        <v>0</v>
      </c>
      <c r="U43" s="3352"/>
      <c r="V43" s="3352">
        <f>I43</f>
        <v>0</v>
      </c>
      <c r="W43" s="3352"/>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51" t="str">
        <f>A44</f>
        <v>比较价格（元/平方米）</v>
      </c>
      <c r="Q44" s="3351"/>
      <c r="R44" s="3353" t="e">
        <f>ROUND(PRODUCT(R43,AA9:AA42),0)</f>
        <v>#DIV/0!</v>
      </c>
      <c r="S44" s="3353"/>
      <c r="T44" s="3353" t="e">
        <f>ROUND(PRODUCT(T43,AB9:AB42),0)</f>
        <v>#DIV/0!</v>
      </c>
      <c r="U44" s="3353"/>
      <c r="V44" s="3353" t="e">
        <f>ROUND(PRODUCT(V43,AC9:AC42),0)</f>
        <v>#DIV/0!</v>
      </c>
      <c r="W44" s="3353"/>
      <c r="X44" s="1545"/>
      <c r="Y44" s="1545"/>
      <c r="Z44" s="1545"/>
      <c r="AA44" s="1545"/>
      <c r="AB44" s="1545"/>
      <c r="AC44" s="1545"/>
    </row>
    <row r="45" spans="1:29" ht="15.75" thickBot="1">
      <c r="A45" s="621" t="s">
        <v>2930</v>
      </c>
      <c r="B45" s="622"/>
      <c r="C45" s="623" t="e">
        <f>R45</f>
        <v>#DIV/0!</v>
      </c>
      <c r="D45" s="623"/>
      <c r="E45" s="623"/>
      <c r="F45" s="623"/>
      <c r="G45" s="623"/>
      <c r="H45" s="623"/>
      <c r="I45" s="623"/>
      <c r="J45" s="623"/>
      <c r="K45" s="1338"/>
      <c r="L45" s="2129"/>
      <c r="M45" s="2119"/>
      <c r="N45" s="2119"/>
      <c r="O45" s="2130"/>
      <c r="P45" s="3348" t="str">
        <f>A45</f>
        <v>估价对象XX用房的比较价格（楼面单价，元/平方米）</v>
      </c>
      <c r="Q45" s="3349"/>
      <c r="R45" s="3350" t="e">
        <f>ROUND(AVERAGE(R44:V44),0)</f>
        <v>#DIV/0!</v>
      </c>
      <c r="S45" s="3350"/>
      <c r="T45" s="3350"/>
      <c r="U45" s="3350"/>
      <c r="V45" s="3350"/>
      <c r="W45" s="335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2290</v>
      </c>
      <c r="E52" s="631" t="s">
        <v>562</v>
      </c>
      <c r="F52" s="1936" t="s">
        <v>563</v>
      </c>
      <c r="G52" s="3395" t="s">
        <v>2281</v>
      </c>
      <c r="H52" s="3396"/>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148872</v>
      </c>
      <c r="F53" s="1935" t="e">
        <f t="shared" ref="F53:F62" si="15">ROUND(B53*E53/10000,0)</f>
        <v>#DIV/0!</v>
      </c>
      <c r="G53" s="3397"/>
      <c r="H53" s="339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0.7</v>
      </c>
      <c r="D54" s="2214">
        <v>0.25</v>
      </c>
      <c r="E54" s="639"/>
      <c r="F54" s="1935" t="e">
        <f t="shared" si="15"/>
        <v>#DIV/0!</v>
      </c>
      <c r="G54" s="3399" t="s">
        <v>2282</v>
      </c>
      <c r="H54" s="1939" t="str">
        <f>项目基本情况!B43</f>
        <v>六级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0.4</v>
      </c>
      <c r="D55" s="2214">
        <v>0.25</v>
      </c>
      <c r="E55" s="639"/>
      <c r="F55" s="1935" t="e">
        <f t="shared" si="15"/>
        <v>#DIV/0!</v>
      </c>
      <c r="G55" s="3399"/>
      <c r="H55" s="1940" t="str">
        <f>项目基本情况!B43</f>
        <v>六级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0.28000000000000003</v>
      </c>
      <c r="D56" s="2214">
        <v>0.25</v>
      </c>
      <c r="E56" s="639"/>
      <c r="F56" s="1935" t="e">
        <f t="shared" si="15"/>
        <v>#DIV/0!</v>
      </c>
      <c r="G56" s="3399"/>
      <c r="H56" s="1940" t="str">
        <f>项目基本情况!B43</f>
        <v>六级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0.25</v>
      </c>
      <c r="D57" s="2214">
        <v>0.25</v>
      </c>
      <c r="E57" s="639"/>
      <c r="F57" s="1935" t="e">
        <f t="shared" si="15"/>
        <v>#DIV/0!</v>
      </c>
      <c r="G57" s="3399"/>
      <c r="H57" s="1940" t="str">
        <f>项目基本情况!B43</f>
        <v>六级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2325</v>
      </c>
      <c r="B58" s="638" t="e">
        <f t="shared" si="17"/>
        <v>#DIV/0!</v>
      </c>
      <c r="C58" s="378">
        <f t="shared" si="16"/>
        <v>0.25</v>
      </c>
      <c r="D58" s="2214">
        <v>0.25</v>
      </c>
      <c r="E58" s="641">
        <f>'数据-汇总表'!E11</f>
        <v>0</v>
      </c>
      <c r="F58" s="1935" t="e">
        <f t="shared" si="15"/>
        <v>#DIV/0!</v>
      </c>
      <c r="G58" s="1941" t="s">
        <v>2283</v>
      </c>
      <c r="H58" s="1940" t="str">
        <f>项目基本情况!C43</f>
        <v>六级</v>
      </c>
      <c r="I58" s="1938">
        <f>SUMIF(修正!$A$45:$A$56,H58,修正!F45:F56)</f>
        <v>0.25</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0.25</v>
      </c>
      <c r="D59" s="2214">
        <v>0.25</v>
      </c>
      <c r="E59" s="641">
        <f>'数据-汇总表'!E12</f>
        <v>0</v>
      </c>
      <c r="F59" s="1935" t="e">
        <f t="shared" si="15"/>
        <v>#DIV/0!</v>
      </c>
      <c r="G59" s="1931" t="s">
        <v>1677</v>
      </c>
      <c r="H59" s="1939" t="str">
        <f>IF(G59="商业",项目基本情况!B43,IF(G59="办公",项目基本情况!C43,IF(G59="住宅",项目基本情况!D43,项目基本情况!E43)))</f>
        <v>六级</v>
      </c>
      <c r="I59" s="1938">
        <f>SUMIF(修正!$A$45:$A$56,H59,修正!G45:G56)</f>
        <v>0.25</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0.2</v>
      </c>
      <c r="D60" s="2214">
        <v>0.25</v>
      </c>
      <c r="E60" s="641">
        <f>'数据-汇总表'!E13</f>
        <v>0</v>
      </c>
      <c r="F60" s="1935" t="e">
        <f t="shared" si="15"/>
        <v>#DIV/0!</v>
      </c>
      <c r="G60" s="1931" t="s">
        <v>923</v>
      </c>
      <c r="H60" s="1939" t="str">
        <f>IF(G60="商业",项目基本情况!B43,IF(G60="办公",项目基本情况!C43,IF(G60="住宅",项目基本情况!D43,项目基本情况!E43)))</f>
        <v>六级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0.2</v>
      </c>
      <c r="D61" s="2214">
        <v>0.25</v>
      </c>
      <c r="E61" s="641">
        <f>'数据-汇总表'!E14</f>
        <v>0</v>
      </c>
      <c r="F61" s="1935" t="e">
        <f t="shared" si="15"/>
        <v>#DIV/0!</v>
      </c>
      <c r="G61" s="1941" t="s">
        <v>2282</v>
      </c>
      <c r="H61" s="1940" t="str">
        <f>项目基本情况!B43</f>
        <v>六级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0.2</v>
      </c>
      <c r="D62" s="2214">
        <v>0.25</v>
      </c>
      <c r="E62" s="641">
        <f>'数据-汇总表'!E15</f>
        <v>0</v>
      </c>
      <c r="F62" s="1935" t="e">
        <f t="shared" si="15"/>
        <v>#DIV/0!</v>
      </c>
      <c r="G62" s="1942" t="s">
        <v>2283</v>
      </c>
      <c r="H62" s="1943" t="str">
        <f>项目基本情况!C43</f>
        <v>六级</v>
      </c>
      <c r="I62" s="1938">
        <f>SUMIF(修正!$A$45:$A$56,H62,修正!H45:H56)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2291</v>
      </c>
      <c r="E63" s="643">
        <f>IF(B43="楼面地价",SUM(E53:E62),'数据-汇总表'!D3)</f>
        <v>52536.9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2019-11-1</v>
      </c>
      <c r="D65" s="2754">
        <f>EDATE(C65,-3)</f>
        <v>43678</v>
      </c>
      <c r="E65" s="2754">
        <f t="shared" ref="E65:N65" si="18">EDATE(D65,-3)</f>
        <v>43586</v>
      </c>
      <c r="F65" s="2754">
        <f t="shared" si="18"/>
        <v>43497</v>
      </c>
      <c r="G65" s="2754">
        <f t="shared" si="18"/>
        <v>43405</v>
      </c>
      <c r="H65" s="2754">
        <f t="shared" si="18"/>
        <v>43313</v>
      </c>
      <c r="I65" s="2754">
        <f t="shared" si="18"/>
        <v>43221</v>
      </c>
      <c r="J65" s="2754">
        <f t="shared" si="18"/>
        <v>43132</v>
      </c>
      <c r="K65" s="2754">
        <f t="shared" si="18"/>
        <v>43040</v>
      </c>
      <c r="L65" s="2754">
        <f t="shared" si="18"/>
        <v>42948</v>
      </c>
      <c r="M65" s="2754">
        <f t="shared" si="18"/>
        <v>42856</v>
      </c>
      <c r="N65" s="2754">
        <f t="shared" si="18"/>
        <v>42767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北京市平均增长率1.38%</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D38" sqref="D38"/>
    </sheetView>
  </sheetViews>
  <sheetFormatPr defaultColWidth="12" defaultRowHeight="12"/>
  <cols>
    <col min="1" max="1" width="9.87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2423</v>
      </c>
      <c r="D1" s="1508">
        <f>SUM(D29:D30,D33:D39)</f>
        <v>0</v>
      </c>
      <c r="E1" s="1402" t="s">
        <v>2424</v>
      </c>
      <c r="F1" s="2416"/>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0</v>
      </c>
      <c r="H3" s="1410" t="s">
        <v>929</v>
      </c>
      <c r="I3" s="1040">
        <v>8</v>
      </c>
      <c r="J3" s="1406" t="s">
        <v>930</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2251</v>
      </c>
      <c r="D4" s="1879" t="e">
        <f>ROUND(B2/(F1/666.67),0)</f>
        <v>#DIV/0!</v>
      </c>
      <c r="E4" s="1879" t="s">
        <v>2252</v>
      </c>
      <c r="F4" s="1877"/>
      <c r="G4" s="1877"/>
      <c r="H4" s="1877"/>
      <c r="I4" s="1877"/>
      <c r="J4" s="1878"/>
      <c r="K4" s="3147"/>
      <c r="L4" s="1870" t="s">
        <v>2238</v>
      </c>
      <c r="M4" s="1871">
        <f>SUMPRODUCT((区片价!B49:B75=I2)*(区片价!C3:F3=E2)*(区片价!C49:F75))</f>
        <v>0</v>
      </c>
      <c r="N4" s="1872">
        <f>SUMPRODUCT((因素修正幅度!B49:B75=I2)*(因素修正幅度!C3:F3=E2)*(因素修正幅度!C49:F75))</f>
        <v>0</v>
      </c>
      <c r="O4" s="3147"/>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8"/>
      <c r="L5" s="1870" t="s">
        <v>2239</v>
      </c>
      <c r="M5" s="1871">
        <f>SUMPRODUCT((区片价!B76:B109=I2)*(区片价!C3:F3=E2)*(区片价!C76:F109))</f>
        <v>0</v>
      </c>
      <c r="N5" s="1872">
        <f>SUMPRODUCT((因素修正幅度!B76:B109=I2)*(因素修正幅度!C3:F3=E2)*(因素修正幅度!C76:F109))</f>
        <v>0</v>
      </c>
      <c r="O5" s="3148"/>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1" t="str">
        <f>IF(E2="商业",IF(C8="不临58条商业街","",2),"")</f>
        <v/>
      </c>
      <c r="B7" s="1423" t="s">
        <v>932</v>
      </c>
      <c r="C7" s="1043" t="e">
        <f>IF(C8="不临58条商业街",1,ROUND(1+(1.6*E8+1.2*E9+0.8*E10+0.4*E11)*C9,4))</f>
        <v>#DIV/0!</v>
      </c>
      <c r="D7" s="1424" t="s">
        <v>933</v>
      </c>
      <c r="E7" s="1044"/>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2762</v>
      </c>
      <c r="X7" s="2882">
        <f>G2</f>
        <v>0</v>
      </c>
      <c r="Y7" s="2882" t="s">
        <v>2763</v>
      </c>
      <c r="Z7" s="2883">
        <f>G3</f>
        <v>0</v>
      </c>
      <c r="AA7" s="2177"/>
      <c r="AB7" s="2177"/>
      <c r="AC7" s="2178"/>
      <c r="AD7" s="2884"/>
      <c r="AE7" s="2884"/>
      <c r="AF7" s="2884"/>
      <c r="AG7" s="2884"/>
      <c r="AH7" s="2884"/>
      <c r="AI7" s="2884"/>
      <c r="AJ7" s="2885"/>
    </row>
    <row r="8" spans="1:39" ht="15">
      <c r="A8" s="3412"/>
      <c r="B8" s="1410" t="s">
        <v>934</v>
      </c>
      <c r="C8" s="1516"/>
      <c r="D8" s="1045" t="s">
        <v>935</v>
      </c>
      <c r="E8" s="1046" t="e">
        <f>ROUND(C11/E7,4)</f>
        <v>#DIV/0!</v>
      </c>
      <c r="F8" s="1428" t="s">
        <v>936</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01" t="s">
        <v>2780</v>
      </c>
      <c r="X8" s="3402"/>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12"/>
      <c r="B9" s="1410" t="s">
        <v>937</v>
      </c>
      <c r="C9" s="1047">
        <f>SUMIF(修正!C59:C119,C8,修正!E59:E119)</f>
        <v>0</v>
      </c>
      <c r="D9" s="1048" t="s">
        <v>938</v>
      </c>
      <c r="E9" s="1048" t="e">
        <f>ROUND(C11/E7,4)</f>
        <v>#DIV/0!</v>
      </c>
      <c r="F9" s="1428" t="s">
        <v>939</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00"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2"/>
      <c r="B10" s="1410" t="s">
        <v>940</v>
      </c>
      <c r="C10" s="1048">
        <f>SUMIF(修正!C59:C119,C8,修正!F59:F119)</f>
        <v>0</v>
      </c>
      <c r="D10" s="1048" t="s">
        <v>941</v>
      </c>
      <c r="E10" s="1048" t="e">
        <f>ROUND(C11/E7,4)</f>
        <v>#DIV/0!</v>
      </c>
      <c r="F10" s="1428" t="s">
        <v>942</v>
      </c>
      <c r="G10" s="1429"/>
      <c r="H10" s="1429"/>
      <c r="I10" s="1429"/>
      <c r="J10" s="1430"/>
      <c r="K10" s="1452"/>
      <c r="L10" s="1870" t="s">
        <v>2244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0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2"/>
      <c r="B11" s="1431" t="s">
        <v>943</v>
      </c>
      <c r="C11" s="1049">
        <f>C10/4</f>
        <v>0</v>
      </c>
      <c r="D11" s="1049" t="s">
        <v>944</v>
      </c>
      <c r="E11" s="1049" t="e">
        <f>ROUND(C11/E7,4)</f>
        <v>#DIV/0!</v>
      </c>
      <c r="F11" s="1432" t="s">
        <v>945</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00" t="s">
        <v>2778</v>
      </c>
      <c r="X11" s="1048"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1" t="s">
        <v>1871</v>
      </c>
      <c r="B12" s="1435" t="s">
        <v>946</v>
      </c>
      <c r="C12" s="1043">
        <f>ROUND(C15*D15*E15*F15*G15*H15*I15*J15,4)</f>
        <v>1</v>
      </c>
      <c r="D12" s="1436" t="s">
        <v>947</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00"/>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3"/>
      <c r="B13" s="1440" t="s">
        <v>1696</v>
      </c>
      <c r="C13" s="1441" t="s">
        <v>1697</v>
      </c>
      <c r="D13" s="1085" t="s">
        <v>1698</v>
      </c>
      <c r="E13" s="1085" t="s">
        <v>1699</v>
      </c>
      <c r="F13" s="1442" t="s">
        <v>948</v>
      </c>
      <c r="G13" s="1443" t="s">
        <v>1642</v>
      </c>
      <c r="H13" s="1444" t="s">
        <v>1642</v>
      </c>
      <c r="I13" s="1445" t="s">
        <v>1642</v>
      </c>
      <c r="J13" s="1446" t="s">
        <v>1642</v>
      </c>
      <c r="K13" s="3163"/>
      <c r="L13" s="3163"/>
      <c r="M13" s="3163"/>
      <c r="N13" s="3163"/>
      <c r="O13" s="3163"/>
      <c r="P13" s="1397"/>
      <c r="Q13" s="2174"/>
      <c r="R13" s="2892">
        <v>12</v>
      </c>
      <c r="S13" s="2881"/>
      <c r="T13" s="2892" t="e">
        <f t="shared" si="0"/>
        <v>#DIV/0!</v>
      </c>
      <c r="U13" s="2881"/>
      <c r="V13" s="2892" t="e">
        <f t="shared" si="1"/>
        <v>#DIV/0!</v>
      </c>
      <c r="W13" s="3400"/>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13"/>
      <c r="B14" s="1447"/>
      <c r="C14" s="1448"/>
      <c r="D14" s="1449"/>
      <c r="E14" s="1449"/>
      <c r="F14" s="1450"/>
      <c r="G14" s="1451" t="s">
        <v>949</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1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1" t="s">
        <v>1838</v>
      </c>
      <c r="B16" s="1423" t="s">
        <v>950</v>
      </c>
      <c r="C16" s="1052" t="e">
        <f>ROUND(IF(F17="与级别开发程度一致",0,(G17-E17)/C17),0)</f>
        <v>#DIV/0!</v>
      </c>
      <c r="D16" s="3408" t="s">
        <v>954</v>
      </c>
      <c r="E16" s="3409"/>
      <c r="F16" s="3408" t="s">
        <v>951</v>
      </c>
      <c r="G16" s="3409"/>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1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ROUND(IF(H19="按公示增长率计算",SUMPRODUCT((地价!A3:A28=YEAR(G19)&amp;"-"&amp;ROUNDUP(MONTH(G19)/3,0))*(地价!X2:AB2=E2)*(地价!X3:AB28)),IF(H19="地价指数",M20/M19,(1+I19)^O19)),4)</f>
        <v>0</v>
      </c>
      <c r="D19" s="1462" t="s">
        <v>957</v>
      </c>
      <c r="E19" s="1054">
        <v>41640</v>
      </c>
      <c r="F19" s="1462" t="s">
        <v>958</v>
      </c>
      <c r="G19" s="1055">
        <f>'数据-取费表'!B2</f>
        <v>43782</v>
      </c>
      <c r="H19" s="1463" t="s">
        <v>2988</v>
      </c>
      <c r="I19" s="2740" t="str">
        <f>IF(H19="季度增幅（自定义）",SUMIF(N21:N24,E2,O21:O24),"")</f>
        <v/>
      </c>
      <c r="J19" s="1459"/>
      <c r="K19" s="3148"/>
      <c r="L19" s="2992" t="s">
        <v>2838</v>
      </c>
      <c r="M19" s="2993">
        <f>ROUND(SUMIF(地价!B2:F2,E2,地价!B28:F28),0)</f>
        <v>0</v>
      </c>
      <c r="N19" s="2742" t="s">
        <v>1676</v>
      </c>
      <c r="O19" s="2741">
        <f>ROUNDDOWN(DATEDIF(E19,G19,"M")/3,0)</f>
        <v>23</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4" t="s">
        <v>2839</v>
      </c>
      <c r="M20" s="3157">
        <f>ROUND(SUMPRODUCT((地价!A4:A28=YEAR(G19)&amp;"-"&amp;ROUNDUP(MONTH(G19)/3,0))*(地价!B2:F2=E2)*(地价!B4:F28)),0)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4">
        <f>IF(B21="容积率修正",IF(G3&lt;=10,D22,J22),C23)</f>
        <v>0</v>
      </c>
      <c r="D21" s="1469"/>
      <c r="E21" s="1469"/>
      <c r="F21" s="1469"/>
      <c r="G21" s="1469"/>
      <c r="H21" s="1469"/>
      <c r="I21" s="1469"/>
      <c r="J21" s="1470"/>
      <c r="K21" s="3148"/>
      <c r="L21" s="1469"/>
      <c r="M21" s="1469"/>
      <c r="N21" s="1466" t="s">
        <v>975</v>
      </c>
      <c r="O21" s="1529"/>
      <c r="P21" s="2732">
        <f>SUMPRODUCT((地价!A3:A28=YEAR(G19)&amp;"-"&amp;ROUNDUP(MONTH(G19)/3,0))*(地价!AD2:AH2=N21)*(地价!AD3:AH28))</f>
        <v>1.41E-2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9"/>
      <c r="M22" s="1469"/>
      <c r="N22" s="1466" t="s">
        <v>978</v>
      </c>
      <c r="O22" s="1529"/>
      <c r="P22" s="2732">
        <f>SUMPRODUCT((地价!A3:A28=YEAR(G19)&amp;"-"&amp;ROUNDUP(MONTH(G19)/3,0))*(地价!AD2:AH2=N22)*(地价!AD3:AH28))</f>
        <v>1.41E-2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2">
        <f>SUMPRODUCT((地价!A3:A28=YEAR(G19)&amp;"-"&amp;ROUNDUP(MONTH(G19)/3,0))*(地价!AD2:AH2=N23)*(地价!AD3:AH28))</f>
        <v>2.1600000000000001E-2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2"/>
      <c r="L24" s="1469"/>
      <c r="M24" s="1469"/>
      <c r="N24" s="1466" t="s">
        <v>981</v>
      </c>
      <c r="O24" s="3156"/>
      <c r="P24" s="2732">
        <f>SUMPRODUCT((地价!A3:A28=YEAR(G19)&amp;"-"&amp;ROUNDUP(MONTH(G19)/3,0))*(地价!AD2:AH2=N24)*(地价!AD3:AH28))</f>
        <v>1.38E-2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8" t="s">
        <v>2645</v>
      </c>
      <c r="O25" s="3159"/>
      <c r="P25" s="2411">
        <f>SUMPRODUCT((地价!A3:A28=YEAR(G19)&amp;"-"&amp;ROUNDUP(MONTH(G19)/3,0))*(地价!AD2:AH2=N25)*(地价!AD3:AH28))</f>
        <v>1.9800000000000002E-2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18" t="s">
        <v>2955</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19"/>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19"/>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0"/>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2982</v>
      </c>
      <c r="C41" s="839" t="e">
        <f>ROUND(POWER(1+E41,H41-G41)*(POWER(1+E41,G41)-1)/(POWER(1+E41,H41)-1),4)</f>
        <v>#DIV/0!</v>
      </c>
      <c r="D41" s="378" t="s">
        <v>2980</v>
      </c>
      <c r="E41" s="3145">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2247</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2932</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2931</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2248</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2933</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2931</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2249</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2931</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2250</v>
      </c>
      <c r="G79" s="2395" t="s">
        <v>1014</v>
      </c>
      <c r="H79" s="2378" t="s">
        <v>2415</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2931</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16" t="s">
        <v>1633</v>
      </c>
      <c r="B90" s="3416"/>
      <c r="C90" s="3416"/>
      <c r="D90" s="3416"/>
      <c r="E90" s="3416"/>
      <c r="F90" s="3416"/>
      <c r="G90" s="3416"/>
      <c r="H90" s="3416"/>
      <c r="I90" s="3416"/>
      <c r="J90" s="3416"/>
      <c r="K90" s="2414"/>
      <c r="L90" s="2414"/>
      <c r="M90" s="2414"/>
      <c r="N90" s="2414"/>
    </row>
    <row r="91" spans="1:40">
      <c r="A91" s="3417" t="s">
        <v>1443</v>
      </c>
      <c r="B91" s="3417" t="s">
        <v>1634</v>
      </c>
      <c r="C91" s="1136" t="s">
        <v>1635</v>
      </c>
      <c r="D91" s="1137"/>
      <c r="E91" s="1137"/>
      <c r="F91" s="1137"/>
      <c r="G91" s="1137"/>
      <c r="H91" s="1137"/>
      <c r="I91" s="1137"/>
      <c r="J91" s="1138"/>
      <c r="K91" s="1130"/>
      <c r="L91" s="1130"/>
      <c r="M91" s="1130"/>
      <c r="N91" s="1130"/>
    </row>
    <row r="92" spans="1:40">
      <c r="A92" s="3417"/>
      <c r="B92" s="341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03"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0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0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0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0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0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0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0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04"/>
      <c r="B108" s="340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05"/>
      <c r="B109" s="340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0" t="s">
        <v>1639</v>
      </c>
      <c r="B110" s="3410"/>
      <c r="C110" s="3410"/>
      <c r="D110" s="3410"/>
      <c r="E110" s="3410"/>
      <c r="F110" s="3410"/>
      <c r="G110" s="3410"/>
      <c r="H110" s="3410"/>
      <c r="I110" s="3410"/>
      <c r="J110" s="3410"/>
      <c r="K110" s="2412"/>
      <c r="L110" s="2412"/>
      <c r="M110" s="2412"/>
      <c r="N110" s="2412"/>
    </row>
    <row r="112" spans="1:14" ht="12.75" thickBot="1"/>
    <row r="113" spans="1:13" ht="25.5"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17" t="s">
        <v>1007</v>
      </c>
      <c r="B18" s="1150" t="s">
        <v>1446</v>
      </c>
      <c r="C18" s="1127" t="s">
        <v>1447</v>
      </c>
      <c r="D18" s="1128"/>
      <c r="E18" s="1150">
        <v>1</v>
      </c>
      <c r="F18" s="1129" t="s">
        <v>1448</v>
      </c>
      <c r="G18" s="1130"/>
      <c r="H18" s="1101"/>
      <c r="I18" s="1101"/>
    </row>
    <row r="19" spans="1:9" s="1584" customFormat="1" ht="19.5" customHeight="1">
      <c r="A19" s="3417"/>
      <c r="B19" s="3417" t="s">
        <v>1449</v>
      </c>
      <c r="C19" s="1127" t="s">
        <v>1450</v>
      </c>
      <c r="D19" s="1128"/>
      <c r="E19" s="1150">
        <v>0.9</v>
      </c>
      <c r="F19" s="1129" t="s">
        <v>1451</v>
      </c>
      <c r="G19" s="1130"/>
      <c r="H19" s="1101"/>
      <c r="I19" s="1101"/>
    </row>
    <row r="20" spans="1:9" s="1584" customFormat="1" ht="19.5" customHeight="1">
      <c r="A20" s="3417"/>
      <c r="B20" s="3417"/>
      <c r="C20" s="1127" t="s">
        <v>1452</v>
      </c>
      <c r="D20" s="1128"/>
      <c r="E20" s="1150">
        <v>1.1000000000000001</v>
      </c>
      <c r="F20" s="1129" t="s">
        <v>1453</v>
      </c>
      <c r="G20" s="1130"/>
      <c r="H20" s="1101"/>
      <c r="I20" s="1101"/>
    </row>
    <row r="21" spans="1:9" s="1584" customFormat="1" ht="19.5" customHeight="1">
      <c r="A21" s="3417"/>
      <c r="B21" s="3417"/>
      <c r="C21" s="1127" t="s">
        <v>1454</v>
      </c>
      <c r="D21" s="1128"/>
      <c r="E21" s="1150">
        <v>0.8</v>
      </c>
      <c r="F21" s="1129" t="s">
        <v>1455</v>
      </c>
      <c r="G21" s="1130"/>
      <c r="H21" s="1101"/>
      <c r="I21" s="1101"/>
    </row>
    <row r="22" spans="1:9" s="1584" customFormat="1" ht="19.5" customHeight="1">
      <c r="A22" s="3417"/>
      <c r="B22" s="3417"/>
      <c r="C22" s="1127" t="s">
        <v>1456</v>
      </c>
      <c r="D22" s="1128"/>
      <c r="E22" s="1150">
        <v>0.5</v>
      </c>
      <c r="F22" s="1129"/>
      <c r="G22" s="1130"/>
      <c r="H22" s="1101"/>
      <c r="I22" s="1101"/>
    </row>
    <row r="23" spans="1:9" s="1584" customFormat="1" ht="19.5" customHeight="1">
      <c r="A23" s="3417" t="s">
        <v>1029</v>
      </c>
      <c r="B23" s="1150" t="s">
        <v>1446</v>
      </c>
      <c r="C23" s="1127" t="s">
        <v>1457</v>
      </c>
      <c r="D23" s="1128"/>
      <c r="E23" s="1150">
        <v>1</v>
      </c>
      <c r="F23" s="1129" t="s">
        <v>1458</v>
      </c>
      <c r="G23" s="1130"/>
      <c r="H23" s="1101"/>
      <c r="I23" s="1101"/>
    </row>
    <row r="24" spans="1:9" s="1584" customFormat="1" ht="19.5" customHeight="1">
      <c r="A24" s="3417"/>
      <c r="B24" s="3417" t="s">
        <v>1449</v>
      </c>
      <c r="C24" s="1127" t="s">
        <v>1459</v>
      </c>
      <c r="D24" s="1128"/>
      <c r="E24" s="1150">
        <v>0.5</v>
      </c>
      <c r="F24" s="1129"/>
      <c r="G24" s="1130"/>
      <c r="H24" s="1101"/>
      <c r="I24" s="1101"/>
    </row>
    <row r="25" spans="1:9" s="1584" customFormat="1" ht="19.5" customHeight="1">
      <c r="A25" s="3417"/>
      <c r="B25" s="3417"/>
      <c r="C25" s="1127" t="s">
        <v>1460</v>
      </c>
      <c r="D25" s="1128"/>
      <c r="E25" s="1150">
        <v>1.1000000000000001</v>
      </c>
      <c r="F25" s="1129"/>
      <c r="G25" s="1130"/>
      <c r="H25" s="1101"/>
      <c r="I25" s="1101"/>
    </row>
    <row r="26" spans="1:9" s="1584" customFormat="1" ht="19.5" customHeight="1">
      <c r="A26" s="3417"/>
      <c r="B26" s="3417"/>
      <c r="C26" s="1127" t="s">
        <v>1461</v>
      </c>
      <c r="D26" s="1128"/>
      <c r="E26" s="1150">
        <v>1.1000000000000001</v>
      </c>
      <c r="F26" s="1129"/>
      <c r="G26" s="1130"/>
      <c r="H26" s="1101"/>
      <c r="I26" s="1101"/>
    </row>
    <row r="27" spans="1:9" s="1584" customFormat="1" ht="19.5" customHeight="1">
      <c r="A27" s="3417"/>
      <c r="B27" s="3417"/>
      <c r="C27" s="1127" t="s">
        <v>1462</v>
      </c>
      <c r="D27" s="1128"/>
      <c r="E27" s="1150">
        <v>0.9</v>
      </c>
      <c r="F27" s="1129" t="s">
        <v>1463</v>
      </c>
      <c r="G27" s="1130"/>
      <c r="H27" s="1101"/>
      <c r="I27" s="1101"/>
    </row>
    <row r="28" spans="1:9" s="1584" customFormat="1" ht="19.5" customHeight="1">
      <c r="A28" s="3417"/>
      <c r="B28" s="3417"/>
      <c r="C28" s="1127" t="s">
        <v>1464</v>
      </c>
      <c r="D28" s="1128"/>
      <c r="E28" s="1150">
        <v>0.9</v>
      </c>
      <c r="F28" s="1129" t="s">
        <v>1465</v>
      </c>
      <c r="G28" s="1130"/>
      <c r="H28" s="1101"/>
      <c r="I28" s="1101"/>
    </row>
    <row r="29" spans="1:9" s="1584" customFormat="1" ht="19.5" customHeight="1">
      <c r="A29" s="3417"/>
      <c r="B29" s="3417"/>
      <c r="C29" s="1127" t="s">
        <v>1466</v>
      </c>
      <c r="D29" s="1128"/>
      <c r="E29" s="1150">
        <v>0.9</v>
      </c>
      <c r="F29" s="1129" t="s">
        <v>1467</v>
      </c>
      <c r="G29" s="1130"/>
      <c r="H29" s="1101"/>
      <c r="I29" s="1101"/>
    </row>
    <row r="30" spans="1:9" s="1584" customFormat="1" ht="19.5" customHeight="1">
      <c r="A30" s="3417"/>
      <c r="B30" s="3417"/>
      <c r="C30" s="1127" t="s">
        <v>1468</v>
      </c>
      <c r="D30" s="1128"/>
      <c r="E30" s="1150">
        <v>0.9</v>
      </c>
      <c r="F30" s="1129" t="s">
        <v>1469</v>
      </c>
      <c r="G30" s="1130"/>
      <c r="H30" s="1101"/>
      <c r="I30" s="1101"/>
    </row>
    <row r="31" spans="1:9" s="1584" customFormat="1" ht="19.5" customHeight="1">
      <c r="A31" s="3417"/>
      <c r="B31" s="3417"/>
      <c r="C31" s="1127" t="s">
        <v>1470</v>
      </c>
      <c r="D31" s="1128"/>
      <c r="E31" s="1150">
        <v>0.8</v>
      </c>
      <c r="F31" s="1129" t="s">
        <v>1471</v>
      </c>
      <c r="G31" s="1130"/>
      <c r="H31" s="1101"/>
      <c r="I31" s="1101"/>
    </row>
    <row r="32" spans="1:9" s="1584" customFormat="1" ht="19.5" customHeight="1">
      <c r="A32" s="3417"/>
      <c r="B32" s="3417"/>
      <c r="C32" s="1127" t="s">
        <v>1472</v>
      </c>
      <c r="D32" s="1128"/>
      <c r="E32" s="1150">
        <v>0.8</v>
      </c>
      <c r="F32" s="1129" t="s">
        <v>1473</v>
      </c>
      <c r="G32" s="1130"/>
      <c r="H32" s="1101"/>
      <c r="I32" s="1101"/>
    </row>
    <row r="33" spans="1:9" s="1584" customFormat="1" ht="19.5" customHeight="1">
      <c r="A33" s="3417" t="s">
        <v>1474</v>
      </c>
      <c r="B33" s="1150" t="s">
        <v>1446</v>
      </c>
      <c r="C33" s="1127" t="s">
        <v>1475</v>
      </c>
      <c r="D33" s="1128"/>
      <c r="E33" s="1150">
        <v>1</v>
      </c>
      <c r="F33" s="1129" t="s">
        <v>1476</v>
      </c>
      <c r="G33" s="1130"/>
      <c r="H33" s="1101"/>
      <c r="I33" s="1101"/>
    </row>
    <row r="34" spans="1:9" s="1584" customFormat="1" ht="19.5" customHeight="1">
      <c r="A34" s="3417"/>
      <c r="B34" s="1150" t="s">
        <v>1449</v>
      </c>
      <c r="C34" s="1127" t="s">
        <v>1477</v>
      </c>
      <c r="D34" s="1128"/>
      <c r="E34" s="1150">
        <v>1.5</v>
      </c>
      <c r="F34" s="1129" t="s">
        <v>1478</v>
      </c>
      <c r="G34" s="1130"/>
      <c r="H34" s="1101"/>
      <c r="I34" s="1101"/>
    </row>
    <row r="35" spans="1:9" s="1584" customFormat="1" ht="19.5" customHeight="1">
      <c r="A35" s="3417" t="s">
        <v>1432</v>
      </c>
      <c r="B35" s="1150" t="s">
        <v>1446</v>
      </c>
      <c r="C35" s="1127" t="s">
        <v>1479</v>
      </c>
      <c r="D35" s="1128"/>
      <c r="E35" s="1150">
        <v>1</v>
      </c>
      <c r="F35" s="1129" t="s">
        <v>1480</v>
      </c>
      <c r="G35" s="1130"/>
      <c r="H35" s="1101"/>
      <c r="I35" s="1101"/>
    </row>
    <row r="36" spans="1:9" s="1584" customFormat="1" ht="19.5" customHeight="1">
      <c r="A36" s="3417"/>
      <c r="B36" s="3417" t="s">
        <v>1449</v>
      </c>
      <c r="C36" s="1127" t="s">
        <v>1481</v>
      </c>
      <c r="D36" s="1128"/>
      <c r="E36" s="1150">
        <v>1</v>
      </c>
      <c r="F36" s="1129" t="s">
        <v>1482</v>
      </c>
      <c r="G36" s="1130"/>
      <c r="H36" s="1101"/>
      <c r="I36" s="1101"/>
    </row>
    <row r="37" spans="1:9" s="1584" customFormat="1" ht="19.5" customHeight="1">
      <c r="A37" s="3417"/>
      <c r="B37" s="3417"/>
      <c r="C37" s="1127" t="s">
        <v>1483</v>
      </c>
      <c r="D37" s="1128"/>
      <c r="E37" s="1150">
        <v>1.5</v>
      </c>
      <c r="F37" s="1129" t="s">
        <v>1484</v>
      </c>
      <c r="G37" s="1130"/>
      <c r="H37" s="1101"/>
      <c r="I37" s="1101"/>
    </row>
    <row r="38" spans="1:9" s="1584" customFormat="1" ht="19.5" customHeight="1">
      <c r="A38" s="3417"/>
      <c r="B38" s="3417"/>
      <c r="C38" s="1127" t="s">
        <v>1485</v>
      </c>
      <c r="D38" s="1128"/>
      <c r="E38" s="1150">
        <v>1</v>
      </c>
      <c r="F38" s="1129" t="s">
        <v>1486</v>
      </c>
      <c r="G38" s="1130"/>
      <c r="H38" s="1101"/>
      <c r="I38" s="1101"/>
    </row>
    <row r="39" spans="1:9" s="1584" customFormat="1" ht="19.5" customHeight="1">
      <c r="A39" s="3417"/>
      <c r="B39" s="3417"/>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7" t="s">
        <v>1501</v>
      </c>
      <c r="C61" s="1064" t="s">
        <v>1502</v>
      </c>
      <c r="D61" s="1064" t="s">
        <v>1503</v>
      </c>
      <c r="E61" s="1135">
        <v>0.5</v>
      </c>
      <c r="F61" s="1150">
        <v>80</v>
      </c>
      <c r="H61" s="1101">
        <f>SUMIF(C59:C119,基准地价!C8,E59:E119)</f>
        <v>0</v>
      </c>
    </row>
    <row r="62" spans="1:8" s="1101" customFormat="1" ht="24">
      <c r="A62" s="1150">
        <v>2</v>
      </c>
      <c r="B62" s="3417"/>
      <c r="C62" s="1064" t="s">
        <v>1504</v>
      </c>
      <c r="D62" s="1064" t="s">
        <v>1505</v>
      </c>
      <c r="E62" s="1135">
        <v>0.5</v>
      </c>
      <c r="F62" s="1150">
        <v>80</v>
      </c>
    </row>
    <row r="63" spans="1:8" s="1101" customFormat="1" ht="36">
      <c r="A63" s="1150">
        <v>3</v>
      </c>
      <c r="B63" s="3417"/>
      <c r="C63" s="1064" t="s">
        <v>1506</v>
      </c>
      <c r="D63" s="1064" t="s">
        <v>1507</v>
      </c>
      <c r="E63" s="1135">
        <v>0.5</v>
      </c>
      <c r="F63" s="1150">
        <v>80</v>
      </c>
    </row>
    <row r="64" spans="1:8" s="1101" customFormat="1" ht="36">
      <c r="A64" s="1150">
        <v>4</v>
      </c>
      <c r="B64" s="3417"/>
      <c r="C64" s="1064" t="s">
        <v>1508</v>
      </c>
      <c r="D64" s="1064" t="s">
        <v>1509</v>
      </c>
      <c r="E64" s="1135">
        <v>0.4</v>
      </c>
      <c r="F64" s="1150">
        <v>60</v>
      </c>
    </row>
    <row r="65" spans="1:6" s="1101" customFormat="1" ht="36">
      <c r="A65" s="1150">
        <v>5</v>
      </c>
      <c r="B65" s="3417"/>
      <c r="C65" s="1064" t="s">
        <v>1510</v>
      </c>
      <c r="D65" s="1064" t="s">
        <v>1511</v>
      </c>
      <c r="E65" s="1135">
        <v>0.2</v>
      </c>
      <c r="F65" s="1150">
        <v>30</v>
      </c>
    </row>
    <row r="66" spans="1:6" s="1101" customFormat="1" ht="36">
      <c r="A66" s="1150">
        <v>6</v>
      </c>
      <c r="B66" s="3417"/>
      <c r="C66" s="1064" t="s">
        <v>1512</v>
      </c>
      <c r="D66" s="1064" t="s">
        <v>1513</v>
      </c>
      <c r="E66" s="1135">
        <v>0.3</v>
      </c>
      <c r="F66" s="1150">
        <v>50</v>
      </c>
    </row>
    <row r="67" spans="1:6" s="1101" customFormat="1" ht="36">
      <c r="A67" s="1150">
        <v>7</v>
      </c>
      <c r="B67" s="3417"/>
      <c r="C67" s="1064" t="s">
        <v>1514</v>
      </c>
      <c r="D67" s="1064" t="s">
        <v>1515</v>
      </c>
      <c r="E67" s="1135">
        <v>0.2</v>
      </c>
      <c r="F67" s="1150">
        <v>30</v>
      </c>
    </row>
    <row r="68" spans="1:6" s="1101" customFormat="1" ht="36">
      <c r="A68" s="1150">
        <v>8</v>
      </c>
      <c r="B68" s="3417"/>
      <c r="C68" s="1064" t="s">
        <v>1516</v>
      </c>
      <c r="D68" s="1064" t="s">
        <v>1517</v>
      </c>
      <c r="E68" s="1135">
        <v>0.2</v>
      </c>
      <c r="F68" s="1150">
        <v>30</v>
      </c>
    </row>
    <row r="69" spans="1:6" s="1101" customFormat="1" ht="36">
      <c r="A69" s="1150">
        <v>9</v>
      </c>
      <c r="B69" s="3417"/>
      <c r="C69" s="1064" t="s">
        <v>1518</v>
      </c>
      <c r="D69" s="1064" t="s">
        <v>1519</v>
      </c>
      <c r="E69" s="1135">
        <v>0.2</v>
      </c>
      <c r="F69" s="1150">
        <v>30</v>
      </c>
    </row>
    <row r="70" spans="1:6" s="1101" customFormat="1" ht="48">
      <c r="A70" s="1150">
        <v>10</v>
      </c>
      <c r="B70" s="3417"/>
      <c r="C70" s="1064" t="s">
        <v>1520</v>
      </c>
      <c r="D70" s="1064" t="s">
        <v>1521</v>
      </c>
      <c r="E70" s="1135">
        <v>0.2</v>
      </c>
      <c r="F70" s="1150">
        <v>30</v>
      </c>
    </row>
    <row r="71" spans="1:6" s="1101" customFormat="1" ht="48">
      <c r="A71" s="1150">
        <v>11</v>
      </c>
      <c r="B71" s="3417"/>
      <c r="C71" s="1064" t="s">
        <v>1522</v>
      </c>
      <c r="D71" s="1064" t="s">
        <v>1523</v>
      </c>
      <c r="E71" s="1135">
        <v>0.2</v>
      </c>
      <c r="F71" s="1150">
        <v>30</v>
      </c>
    </row>
    <row r="72" spans="1:6" s="1101" customFormat="1" ht="36">
      <c r="A72" s="1150">
        <v>12</v>
      </c>
      <c r="B72" s="3417"/>
      <c r="C72" s="1064" t="s">
        <v>1524</v>
      </c>
      <c r="D72" s="1064" t="s">
        <v>1525</v>
      </c>
      <c r="E72" s="1135">
        <v>0.5</v>
      </c>
      <c r="F72" s="1150">
        <v>80</v>
      </c>
    </row>
    <row r="73" spans="1:6" s="1101" customFormat="1" ht="24">
      <c r="A73" s="1150">
        <v>13</v>
      </c>
      <c r="B73" s="3417"/>
      <c r="C73" s="1064" t="s">
        <v>1526</v>
      </c>
      <c r="D73" s="1064" t="s">
        <v>1527</v>
      </c>
      <c r="E73" s="1135">
        <v>0.4</v>
      </c>
      <c r="F73" s="1150">
        <v>60</v>
      </c>
    </row>
    <row r="74" spans="1:6" s="1101" customFormat="1" ht="24">
      <c r="A74" s="1150">
        <v>14</v>
      </c>
      <c r="B74" s="3417"/>
      <c r="C74" s="1064" t="s">
        <v>1528</v>
      </c>
      <c r="D74" s="1064" t="s">
        <v>1529</v>
      </c>
      <c r="E74" s="1135">
        <v>0.2</v>
      </c>
      <c r="F74" s="1150">
        <v>30</v>
      </c>
    </row>
    <row r="75" spans="1:6" s="1101" customFormat="1" ht="24">
      <c r="A75" s="1150">
        <v>15</v>
      </c>
      <c r="B75" s="3417"/>
      <c r="C75" s="1064" t="s">
        <v>1530</v>
      </c>
      <c r="D75" s="1064" t="s">
        <v>1531</v>
      </c>
      <c r="E75" s="1135">
        <v>0.2</v>
      </c>
      <c r="F75" s="1150">
        <v>30</v>
      </c>
    </row>
    <row r="76" spans="1:6" s="1101" customFormat="1" ht="24">
      <c r="A76" s="1150">
        <v>16</v>
      </c>
      <c r="B76" s="3417" t="s">
        <v>1532</v>
      </c>
      <c r="C76" s="1064" t="s">
        <v>1533</v>
      </c>
      <c r="D76" s="1064" t="s">
        <v>1534</v>
      </c>
      <c r="E76" s="1135">
        <v>0.5</v>
      </c>
      <c r="F76" s="1150">
        <v>80</v>
      </c>
    </row>
    <row r="77" spans="1:6" s="1101" customFormat="1" ht="24">
      <c r="A77" s="1150">
        <v>17</v>
      </c>
      <c r="B77" s="3417"/>
      <c r="C77" s="1064" t="s">
        <v>1535</v>
      </c>
      <c r="D77" s="1064" t="s">
        <v>1536</v>
      </c>
      <c r="E77" s="1135">
        <v>0.5</v>
      </c>
      <c r="F77" s="1150">
        <v>80</v>
      </c>
    </row>
    <row r="78" spans="1:6" s="1101" customFormat="1" ht="24">
      <c r="A78" s="1150">
        <v>18</v>
      </c>
      <c r="B78" s="3417"/>
      <c r="C78" s="1064" t="s">
        <v>1537</v>
      </c>
      <c r="D78" s="1064" t="s">
        <v>1538</v>
      </c>
      <c r="E78" s="1135">
        <v>0.2</v>
      </c>
      <c r="F78" s="1150">
        <v>30</v>
      </c>
    </row>
    <row r="79" spans="1:6" s="1101" customFormat="1" ht="24">
      <c r="A79" s="1150">
        <v>19</v>
      </c>
      <c r="B79" s="3417"/>
      <c r="C79" s="1064" t="s">
        <v>1539</v>
      </c>
      <c r="D79" s="1064" t="s">
        <v>1540</v>
      </c>
      <c r="E79" s="1135">
        <v>0.5</v>
      </c>
      <c r="F79" s="1150">
        <v>80</v>
      </c>
    </row>
    <row r="80" spans="1:6" s="1101" customFormat="1" ht="36">
      <c r="A80" s="1150">
        <v>20</v>
      </c>
      <c r="B80" s="3417"/>
      <c r="C80" s="1064" t="s">
        <v>1541</v>
      </c>
      <c r="D80" s="1064" t="s">
        <v>1542</v>
      </c>
      <c r="E80" s="1135">
        <v>0.2</v>
      </c>
      <c r="F80" s="1150">
        <v>30</v>
      </c>
    </row>
    <row r="81" spans="1:6" s="1101" customFormat="1" ht="36">
      <c r="A81" s="1150">
        <v>21</v>
      </c>
      <c r="B81" s="3417"/>
      <c r="C81" s="1064" t="s">
        <v>1543</v>
      </c>
      <c r="D81" s="1064" t="s">
        <v>1544</v>
      </c>
      <c r="E81" s="1135">
        <v>0.2</v>
      </c>
      <c r="F81" s="1150">
        <v>30</v>
      </c>
    </row>
    <row r="82" spans="1:6" s="1101" customFormat="1" ht="48">
      <c r="A82" s="1150">
        <v>22</v>
      </c>
      <c r="B82" s="3417"/>
      <c r="C82" s="1064" t="s">
        <v>1545</v>
      </c>
      <c r="D82" s="1064" t="s">
        <v>1546</v>
      </c>
      <c r="E82" s="1135">
        <v>0.2</v>
      </c>
      <c r="F82" s="1150">
        <v>30</v>
      </c>
    </row>
    <row r="83" spans="1:6" s="1101" customFormat="1" ht="48">
      <c r="A83" s="1150">
        <v>23</v>
      </c>
      <c r="B83" s="3417"/>
      <c r="C83" s="1064" t="s">
        <v>1547</v>
      </c>
      <c r="D83" s="1064" t="s">
        <v>1548</v>
      </c>
      <c r="E83" s="1135">
        <v>0.2</v>
      </c>
      <c r="F83" s="1150">
        <v>30</v>
      </c>
    </row>
    <row r="84" spans="1:6" s="1101" customFormat="1" ht="36">
      <c r="A84" s="1150">
        <v>24</v>
      </c>
      <c r="B84" s="3417"/>
      <c r="C84" s="1064" t="s">
        <v>1549</v>
      </c>
      <c r="D84" s="1064" t="s">
        <v>1550</v>
      </c>
      <c r="E84" s="1135">
        <v>0.2</v>
      </c>
      <c r="F84" s="1150">
        <v>30</v>
      </c>
    </row>
    <row r="85" spans="1:6" s="1101" customFormat="1" ht="36">
      <c r="A85" s="1150">
        <v>25</v>
      </c>
      <c r="B85" s="3417"/>
      <c r="C85" s="1064" t="s">
        <v>1551</v>
      </c>
      <c r="D85" s="1064" t="s">
        <v>1552</v>
      </c>
      <c r="E85" s="1135">
        <v>0.5</v>
      </c>
      <c r="F85" s="1150">
        <v>80</v>
      </c>
    </row>
    <row r="86" spans="1:6" s="1101" customFormat="1" ht="36">
      <c r="A86" s="1150">
        <v>26</v>
      </c>
      <c r="B86" s="3417"/>
      <c r="C86" s="1064" t="s">
        <v>1553</v>
      </c>
      <c r="D86" s="1064" t="s">
        <v>1554</v>
      </c>
      <c r="E86" s="1135">
        <v>0.2</v>
      </c>
      <c r="F86" s="1150">
        <v>30</v>
      </c>
    </row>
    <row r="87" spans="1:6" s="1101" customFormat="1" ht="36">
      <c r="A87" s="1150">
        <v>27</v>
      </c>
      <c r="B87" s="3417"/>
      <c r="C87" s="1064" t="s">
        <v>1555</v>
      </c>
      <c r="D87" s="1064" t="s">
        <v>1556</v>
      </c>
      <c r="E87" s="1135">
        <v>0.2</v>
      </c>
      <c r="F87" s="1150">
        <v>30</v>
      </c>
    </row>
    <row r="88" spans="1:6" s="1101" customFormat="1" ht="36">
      <c r="A88" s="1150">
        <v>28</v>
      </c>
      <c r="B88" s="3417"/>
      <c r="C88" s="1064" t="s">
        <v>1557</v>
      </c>
      <c r="D88" s="1064" t="s">
        <v>1558</v>
      </c>
      <c r="E88" s="1135">
        <v>0.2</v>
      </c>
      <c r="F88" s="1150">
        <v>30</v>
      </c>
    </row>
    <row r="89" spans="1:6" s="1101" customFormat="1" ht="24">
      <c r="A89" s="1150">
        <v>29</v>
      </c>
      <c r="B89" s="3417"/>
      <c r="C89" s="1064" t="s">
        <v>1559</v>
      </c>
      <c r="D89" s="1064" t="s">
        <v>1560</v>
      </c>
      <c r="E89" s="1135">
        <v>0.2</v>
      </c>
      <c r="F89" s="1150">
        <v>30</v>
      </c>
    </row>
    <row r="90" spans="1:6" s="1101" customFormat="1" ht="24">
      <c r="A90" s="1150">
        <v>30</v>
      </c>
      <c r="B90" s="3417"/>
      <c r="C90" s="1064" t="s">
        <v>1561</v>
      </c>
      <c r="D90" s="1064" t="s">
        <v>1562</v>
      </c>
      <c r="E90" s="1135">
        <v>0.2</v>
      </c>
      <c r="F90" s="1150">
        <v>30</v>
      </c>
    </row>
    <row r="91" spans="1:6" s="1101" customFormat="1" ht="36">
      <c r="A91" s="1150">
        <v>31</v>
      </c>
      <c r="B91" s="3417"/>
      <c r="C91" s="1064" t="s">
        <v>1563</v>
      </c>
      <c r="D91" s="1064" t="s">
        <v>1564</v>
      </c>
      <c r="E91" s="1135">
        <v>0.2</v>
      </c>
      <c r="F91" s="1150">
        <v>30</v>
      </c>
    </row>
    <row r="92" spans="1:6" s="1101" customFormat="1" ht="24">
      <c r="A92" s="1150">
        <v>32</v>
      </c>
      <c r="B92" s="3417" t="s">
        <v>1565</v>
      </c>
      <c r="C92" s="1150" t="s">
        <v>1566</v>
      </c>
      <c r="D92" s="1064" t="s">
        <v>1567</v>
      </c>
      <c r="E92" s="1135">
        <v>0.2</v>
      </c>
      <c r="F92" s="1150">
        <v>30</v>
      </c>
    </row>
    <row r="93" spans="1:6" s="1101" customFormat="1" ht="36">
      <c r="A93" s="1150">
        <v>33</v>
      </c>
      <c r="B93" s="3417"/>
      <c r="C93" s="1150" t="s">
        <v>1568</v>
      </c>
      <c r="D93" s="1064" t="s">
        <v>1569</v>
      </c>
      <c r="E93" s="1135">
        <v>0.2</v>
      </c>
      <c r="F93" s="1150">
        <v>30</v>
      </c>
    </row>
    <row r="94" spans="1:6" s="1101" customFormat="1" ht="48">
      <c r="A94" s="1150">
        <v>34</v>
      </c>
      <c r="B94" s="3417"/>
      <c r="C94" s="1150" t="s">
        <v>1570</v>
      </c>
      <c r="D94" s="1064" t="s">
        <v>1571</v>
      </c>
      <c r="E94" s="1135">
        <v>0.2</v>
      </c>
      <c r="F94" s="1150">
        <v>30</v>
      </c>
    </row>
    <row r="95" spans="1:6" s="1101" customFormat="1" ht="36">
      <c r="A95" s="1150">
        <v>35</v>
      </c>
      <c r="B95" s="3417"/>
      <c r="C95" s="1150" t="s">
        <v>1572</v>
      </c>
      <c r="D95" s="1064" t="s">
        <v>1573</v>
      </c>
      <c r="E95" s="1135">
        <v>0.2</v>
      </c>
      <c r="F95" s="1150">
        <v>30</v>
      </c>
    </row>
    <row r="96" spans="1:6" s="1101" customFormat="1" ht="48">
      <c r="A96" s="1150">
        <v>36</v>
      </c>
      <c r="B96" s="3417"/>
      <c r="C96" s="1064" t="s">
        <v>1574</v>
      </c>
      <c r="D96" s="1064" t="s">
        <v>1575</v>
      </c>
      <c r="E96" s="1135">
        <v>0.2</v>
      </c>
      <c r="F96" s="1150">
        <v>30</v>
      </c>
    </row>
    <row r="97" spans="1:6" s="1101" customFormat="1" ht="36">
      <c r="A97" s="1150">
        <v>37</v>
      </c>
      <c r="B97" s="3417"/>
      <c r="C97" s="1150" t="s">
        <v>1576</v>
      </c>
      <c r="D97" s="1064" t="s">
        <v>1577</v>
      </c>
      <c r="E97" s="1135">
        <v>0.2</v>
      </c>
      <c r="F97" s="1150">
        <v>30</v>
      </c>
    </row>
    <row r="98" spans="1:6" s="1101" customFormat="1" ht="36">
      <c r="A98" s="1150">
        <v>38</v>
      </c>
      <c r="B98" s="3417"/>
      <c r="C98" s="1150" t="s">
        <v>1578</v>
      </c>
      <c r="D98" s="1064" t="s">
        <v>1579</v>
      </c>
      <c r="E98" s="1135">
        <v>0.2</v>
      </c>
      <c r="F98" s="1150">
        <v>30</v>
      </c>
    </row>
    <row r="99" spans="1:6" s="1101" customFormat="1" ht="36">
      <c r="A99" s="1150">
        <v>39</v>
      </c>
      <c r="B99" s="3417" t="s">
        <v>1580</v>
      </c>
      <c r="C99" s="1150" t="s">
        <v>1581</v>
      </c>
      <c r="D99" s="1064" t="s">
        <v>1582</v>
      </c>
      <c r="E99" s="1135">
        <v>0.3</v>
      </c>
      <c r="F99" s="1150">
        <v>50</v>
      </c>
    </row>
    <row r="100" spans="1:6" s="1101" customFormat="1" ht="24">
      <c r="A100" s="1150">
        <v>40</v>
      </c>
      <c r="B100" s="3417"/>
      <c r="C100" s="1150" t="s">
        <v>1583</v>
      </c>
      <c r="D100" s="1064" t="s">
        <v>1584</v>
      </c>
      <c r="E100" s="1135">
        <v>0.2</v>
      </c>
      <c r="F100" s="1150">
        <v>30</v>
      </c>
    </row>
    <row r="101" spans="1:6" s="1101" customFormat="1" ht="36">
      <c r="A101" s="1150">
        <v>41</v>
      </c>
      <c r="B101" s="341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7" t="s">
        <v>1595</v>
      </c>
      <c r="C105" s="1150" t="s">
        <v>1596</v>
      </c>
      <c r="D105" s="1064" t="s">
        <v>1597</v>
      </c>
      <c r="E105" s="1135">
        <v>0.2</v>
      </c>
      <c r="F105" s="1150">
        <v>30</v>
      </c>
    </row>
    <row r="106" spans="1:6" s="1101" customFormat="1" ht="36">
      <c r="A106" s="1150">
        <v>46</v>
      </c>
      <c r="B106" s="3417"/>
      <c r="C106" s="1150" t="s">
        <v>1598</v>
      </c>
      <c r="D106" s="1064" t="s">
        <v>1599</v>
      </c>
      <c r="E106" s="1135">
        <v>0.2</v>
      </c>
      <c r="F106" s="1150">
        <v>30</v>
      </c>
    </row>
    <row r="107" spans="1:6" s="1101" customFormat="1" ht="36">
      <c r="A107" s="1150">
        <v>47</v>
      </c>
      <c r="B107" s="3417" t="s">
        <v>1600</v>
      </c>
      <c r="C107" s="1150" t="s">
        <v>1601</v>
      </c>
      <c r="D107" s="1064" t="s">
        <v>1602</v>
      </c>
      <c r="E107" s="1135">
        <v>0.3</v>
      </c>
      <c r="F107" s="1150">
        <v>50</v>
      </c>
    </row>
    <row r="108" spans="1:6" s="1101" customFormat="1" ht="36">
      <c r="A108" s="1150">
        <v>48</v>
      </c>
      <c r="B108" s="341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7" t="s">
        <v>1611</v>
      </c>
      <c r="C111" s="1150" t="s">
        <v>1612</v>
      </c>
      <c r="D111" s="1064" t="s">
        <v>1613</v>
      </c>
      <c r="E111" s="1135">
        <v>0.2</v>
      </c>
      <c r="F111" s="1150">
        <v>30</v>
      </c>
    </row>
    <row r="112" spans="1:6" s="1101" customFormat="1" ht="24">
      <c r="A112" s="1150">
        <v>52</v>
      </c>
      <c r="B112" s="3417"/>
      <c r="C112" s="1150" t="s">
        <v>1614</v>
      </c>
      <c r="D112" s="1064" t="s">
        <v>1615</v>
      </c>
      <c r="E112" s="1135">
        <v>0.2</v>
      </c>
      <c r="F112" s="1150">
        <v>30</v>
      </c>
    </row>
    <row r="113" spans="1:14" s="1101" customFormat="1" ht="24">
      <c r="A113" s="1150">
        <v>53</v>
      </c>
      <c r="B113" s="341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7" t="s">
        <v>1624</v>
      </c>
      <c r="C116" s="1150" t="s">
        <v>1625</v>
      </c>
      <c r="D116" s="1064" t="s">
        <v>1626</v>
      </c>
      <c r="E116" s="1135">
        <v>0.2</v>
      </c>
      <c r="F116" s="1150">
        <v>30</v>
      </c>
    </row>
    <row r="117" spans="1:14" ht="36">
      <c r="A117" s="1150">
        <v>57</v>
      </c>
      <c r="B117" s="341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6" t="s">
        <v>1633</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21" t="s">
        <v>1039</v>
      </c>
      <c r="B1" s="3421"/>
      <c r="C1" s="3421"/>
      <c r="D1" s="3421"/>
      <c r="E1" s="3421"/>
      <c r="F1" s="342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2" t="s">
        <v>1052</v>
      </c>
      <c r="B2" s="3422"/>
      <c r="C2" s="3422"/>
      <c r="D2" s="3422"/>
      <c r="E2" s="3422"/>
      <c r="F2" s="342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5" customWidth="1"/>
    <col min="2" max="2" width="10.125" style="1866" customWidth="1"/>
  </cols>
  <sheetData>
    <row r="1" spans="1:6">
      <c r="A1" s="3425" t="s">
        <v>2076</v>
      </c>
      <c r="B1" s="3425"/>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1096</v>
      </c>
      <c r="B6" s="1844" t="s">
        <v>2085</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2086</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2087</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2088</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2089</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24.75" thickBot="1">
      <c r="A72" s="1840" t="s">
        <v>925</v>
      </c>
      <c r="B72" s="1844" t="s">
        <v>2090</v>
      </c>
      <c r="C72" s="1854"/>
      <c r="D72" s="1854"/>
      <c r="E72" s="1854"/>
      <c r="F72" s="1846">
        <v>0.05</v>
      </c>
    </row>
    <row r="73" spans="1:6" ht="24.75" thickBot="1">
      <c r="A73" s="1840" t="s">
        <v>925</v>
      </c>
      <c r="B73" s="1844" t="s">
        <v>2091</v>
      </c>
      <c r="C73" s="1854"/>
      <c r="D73" s="1854"/>
      <c r="E73" s="1854"/>
      <c r="F73" s="1846">
        <v>0.05</v>
      </c>
    </row>
    <row r="74" spans="1:6" ht="24.75" thickBot="1">
      <c r="A74" s="1840" t="s">
        <v>925</v>
      </c>
      <c r="B74" s="1844" t="s">
        <v>2092</v>
      </c>
      <c r="C74" s="1854"/>
      <c r="D74" s="1854"/>
      <c r="E74" s="1854"/>
      <c r="F74" s="1846">
        <v>0.05</v>
      </c>
    </row>
    <row r="75" spans="1:6" ht="24.75" thickBot="1">
      <c r="A75" s="1848" t="s">
        <v>925</v>
      </c>
      <c r="B75" s="1855" t="s">
        <v>2093</v>
      </c>
      <c r="C75" s="1851"/>
      <c r="D75" s="1851"/>
      <c r="E75" s="1851"/>
      <c r="F75" s="1856">
        <v>0.05</v>
      </c>
    </row>
    <row r="76" spans="1:6" ht="14.25" thickBot="1">
      <c r="A76" s="1840" t="s">
        <v>1407</v>
      </c>
      <c r="B76" s="1841" t="s">
        <v>2094</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24.75" thickBot="1">
      <c r="A102" s="1840" t="s">
        <v>1407</v>
      </c>
      <c r="B102" s="1844" t="s">
        <v>2095</v>
      </c>
      <c r="C102" s="1854"/>
      <c r="D102" s="1854"/>
      <c r="E102" s="1854"/>
      <c r="F102" s="1846">
        <v>0.05</v>
      </c>
    </row>
    <row r="103" spans="1:6" ht="24.75" thickBot="1">
      <c r="A103" s="1840" t="s">
        <v>1407</v>
      </c>
      <c r="B103" s="1844" t="s">
        <v>2096</v>
      </c>
      <c r="C103" s="1854"/>
      <c r="D103" s="1854"/>
      <c r="E103" s="1854"/>
      <c r="F103" s="1846">
        <v>0.05</v>
      </c>
    </row>
    <row r="104" spans="1:6" ht="14.25" thickBot="1">
      <c r="A104" s="1840" t="s">
        <v>1407</v>
      </c>
      <c r="B104" s="1844" t="s">
        <v>2097</v>
      </c>
      <c r="C104" s="1854"/>
      <c r="D104" s="1854"/>
      <c r="E104" s="1854"/>
      <c r="F104" s="1846">
        <v>0.05</v>
      </c>
    </row>
    <row r="105" spans="1:6" ht="14.25" thickBot="1">
      <c r="A105" s="1840" t="s">
        <v>1407</v>
      </c>
      <c r="B105" s="1844" t="s">
        <v>2098</v>
      </c>
      <c r="C105" s="1854"/>
      <c r="D105" s="1854"/>
      <c r="E105" s="1854"/>
      <c r="F105" s="1846">
        <v>0.05</v>
      </c>
    </row>
    <row r="106" spans="1:6" ht="14.25" thickBot="1">
      <c r="A106" s="1840" t="s">
        <v>1407</v>
      </c>
      <c r="B106" s="1844" t="s">
        <v>2099</v>
      </c>
      <c r="C106" s="1854"/>
      <c r="D106" s="1854"/>
      <c r="E106" s="1854"/>
      <c r="F106" s="1846">
        <v>0.05</v>
      </c>
    </row>
    <row r="107" spans="1:6" ht="24.75" thickBot="1">
      <c r="A107" s="1840" t="s">
        <v>1407</v>
      </c>
      <c r="B107" s="1844" t="s">
        <v>2100</v>
      </c>
      <c r="C107" s="1854"/>
      <c r="D107" s="1854"/>
      <c r="E107" s="1854"/>
      <c r="F107" s="1846">
        <v>0.05</v>
      </c>
    </row>
    <row r="108" spans="1:6" ht="24.75" thickBot="1">
      <c r="A108" s="1840" t="s">
        <v>1407</v>
      </c>
      <c r="B108" s="1844" t="s">
        <v>2101</v>
      </c>
      <c r="C108" s="1854"/>
      <c r="D108" s="1854"/>
      <c r="E108" s="1854"/>
      <c r="F108" s="1846">
        <v>0.05</v>
      </c>
    </row>
    <row r="109" spans="1:6" ht="24.75" thickBot="1">
      <c r="A109" s="1848" t="s">
        <v>1407</v>
      </c>
      <c r="B109" s="1855" t="s">
        <v>2102</v>
      </c>
      <c r="C109" s="1851"/>
      <c r="D109" s="1851"/>
      <c r="E109" s="1851"/>
      <c r="F109" s="1856">
        <v>0.05</v>
      </c>
    </row>
    <row r="110" spans="1:6" ht="14.25" thickBot="1">
      <c r="A110" s="1840" t="s">
        <v>1409</v>
      </c>
      <c r="B110" s="1841" t="s">
        <v>2103</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2104</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2105</v>
      </c>
      <c r="C138" s="1845">
        <v>0.105</v>
      </c>
      <c r="D138" s="1845">
        <v>0.125</v>
      </c>
      <c r="E138" s="1845">
        <v>0.112</v>
      </c>
      <c r="F138" s="1853"/>
    </row>
    <row r="139" spans="1:6" ht="14.25" thickBot="1">
      <c r="A139" s="1840" t="s">
        <v>1409</v>
      </c>
      <c r="B139" s="1844" t="s">
        <v>2106</v>
      </c>
      <c r="C139" s="1845">
        <v>0.127</v>
      </c>
      <c r="D139" s="1845">
        <v>0.127</v>
      </c>
      <c r="E139" s="1845">
        <v>0.122</v>
      </c>
      <c r="F139" s="1846">
        <v>0.13</v>
      </c>
    </row>
    <row r="140" spans="1:6" ht="14.25" thickBot="1">
      <c r="A140" s="1840" t="s">
        <v>1409</v>
      </c>
      <c r="B140" s="1844" t="s">
        <v>2107</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2108</v>
      </c>
      <c r="C144" s="1858">
        <v>0.126</v>
      </c>
      <c r="D144" s="1858">
        <v>0.126</v>
      </c>
      <c r="E144" s="1858">
        <v>0.121</v>
      </c>
      <c r="F144" s="1853"/>
    </row>
    <row r="145" spans="1:6" ht="14.25" thickBot="1">
      <c r="A145" s="1848" t="s">
        <v>1409</v>
      </c>
      <c r="B145" s="1859" t="s">
        <v>2109</v>
      </c>
      <c r="C145" s="1860"/>
      <c r="D145" s="1860"/>
      <c r="E145" s="1860"/>
      <c r="F145" s="1861">
        <v>0.05</v>
      </c>
    </row>
    <row r="146" spans="1:6" ht="24.75" thickBot="1">
      <c r="A146" s="1862" t="s">
        <v>1409</v>
      </c>
      <c r="B146" s="1847" t="s">
        <v>2110</v>
      </c>
      <c r="C146" s="1854"/>
      <c r="D146" s="1854"/>
      <c r="E146" s="1854"/>
      <c r="F146" s="1863">
        <v>0.05</v>
      </c>
    </row>
    <row r="147" spans="1:6" ht="24.75" thickBot="1">
      <c r="A147" s="1840" t="s">
        <v>1409</v>
      </c>
      <c r="B147" s="1844" t="s">
        <v>2111</v>
      </c>
      <c r="C147" s="1854"/>
      <c r="D147" s="1854"/>
      <c r="E147" s="1854"/>
      <c r="F147" s="1846">
        <v>0.05</v>
      </c>
    </row>
    <row r="148" spans="1:6" ht="24.75" thickBot="1">
      <c r="A148" s="1840" t="s">
        <v>1409</v>
      </c>
      <c r="B148" s="1844" t="s">
        <v>2112</v>
      </c>
      <c r="C148" s="1854"/>
      <c r="D148" s="1854"/>
      <c r="E148" s="1854"/>
      <c r="F148" s="1846">
        <v>0.05</v>
      </c>
    </row>
    <row r="149" spans="1:6" ht="24.75" thickBot="1">
      <c r="A149" s="1840" t="s">
        <v>1409</v>
      </c>
      <c r="B149" s="1844" t="s">
        <v>2113</v>
      </c>
      <c r="C149" s="1854"/>
      <c r="D149" s="1854"/>
      <c r="E149" s="1854"/>
      <c r="F149" s="1846">
        <v>0.05</v>
      </c>
    </row>
    <row r="150" spans="1:6" ht="24.75" thickBot="1">
      <c r="A150" s="1840" t="s">
        <v>1409</v>
      </c>
      <c r="B150" s="1844" t="s">
        <v>2114</v>
      </c>
      <c r="C150" s="1854"/>
      <c r="D150" s="1854"/>
      <c r="E150" s="1854"/>
      <c r="F150" s="1846">
        <v>0.05</v>
      </c>
    </row>
    <row r="151" spans="1:6" ht="24.75" thickBot="1">
      <c r="A151" s="1840" t="s">
        <v>1409</v>
      </c>
      <c r="B151" s="1844" t="s">
        <v>2115</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2116</v>
      </c>
      <c r="C153" s="1854"/>
      <c r="D153" s="1854"/>
      <c r="E153" s="1854"/>
      <c r="F153" s="1846">
        <v>0.05</v>
      </c>
    </row>
    <row r="154" spans="1:6" ht="14.25" thickBot="1">
      <c r="A154" s="1840" t="s">
        <v>1409</v>
      </c>
      <c r="B154" s="1844" t="s">
        <v>2117</v>
      </c>
      <c r="C154" s="1854"/>
      <c r="D154" s="1854"/>
      <c r="E154" s="1854"/>
      <c r="F154" s="1846">
        <v>0.05</v>
      </c>
    </row>
    <row r="155" spans="1:6" ht="24.75" thickBot="1">
      <c r="A155" s="1840" t="s">
        <v>1409</v>
      </c>
      <c r="B155" s="1844" t="s">
        <v>2118</v>
      </c>
      <c r="C155" s="1854"/>
      <c r="D155" s="1854"/>
      <c r="E155" s="1854"/>
      <c r="F155" s="1846">
        <v>0.05</v>
      </c>
    </row>
    <row r="156" spans="1:6" ht="24.75" thickBot="1">
      <c r="A156" s="1840" t="s">
        <v>1409</v>
      </c>
      <c r="B156" s="1844" t="s">
        <v>2119</v>
      </c>
      <c r="C156" s="1854"/>
      <c r="D156" s="1854"/>
      <c r="E156" s="1854"/>
      <c r="F156" s="1846">
        <v>0.05</v>
      </c>
    </row>
    <row r="157" spans="1:6" ht="14.25" thickBot="1">
      <c r="A157" s="1848" t="s">
        <v>1409</v>
      </c>
      <c r="B157" s="1855" t="s">
        <v>2120</v>
      </c>
      <c r="C157" s="1851"/>
      <c r="D157" s="1851"/>
      <c r="E157" s="1851"/>
      <c r="F157" s="1856">
        <v>0.05</v>
      </c>
    </row>
    <row r="158" spans="1:6" ht="14.25" thickBot="1">
      <c r="A158" s="1840" t="s">
        <v>1411</v>
      </c>
      <c r="B158" s="1841" t="s">
        <v>2121</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2122</v>
      </c>
      <c r="C171" s="1845">
        <v>0.127</v>
      </c>
      <c r="D171" s="1845">
        <v>0.126</v>
      </c>
      <c r="E171" s="1845">
        <v>0.126</v>
      </c>
      <c r="F171" s="1846">
        <v>0.11799999999999999</v>
      </c>
    </row>
    <row r="172" spans="1:6" ht="14.25" thickBot="1">
      <c r="A172" s="1840" t="s">
        <v>1411</v>
      </c>
      <c r="B172" s="1844" t="s">
        <v>2123</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2124</v>
      </c>
      <c r="C174" s="1845">
        <v>0.13</v>
      </c>
      <c r="D174" s="1845">
        <v>0.13</v>
      </c>
      <c r="E174" s="1845">
        <v>0.13</v>
      </c>
      <c r="F174" s="1846">
        <v>0.13</v>
      </c>
    </row>
    <row r="175" spans="1:6" ht="14.25" thickBot="1">
      <c r="A175" s="1840" t="s">
        <v>1411</v>
      </c>
      <c r="B175" s="1844" t="s">
        <v>2125</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2126</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2127</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2128</v>
      </c>
      <c r="C185" s="1845">
        <v>0.127</v>
      </c>
      <c r="D185" s="1845">
        <v>0.127</v>
      </c>
      <c r="E185" s="1845">
        <v>0.128</v>
      </c>
      <c r="F185" s="1846">
        <v>0.13</v>
      </c>
    </row>
    <row r="186" spans="1:6" ht="24.75" thickBot="1">
      <c r="A186" s="1840" t="s">
        <v>1411</v>
      </c>
      <c r="B186" s="1844" t="s">
        <v>2129</v>
      </c>
      <c r="C186" s="1854"/>
      <c r="D186" s="1854"/>
      <c r="E186" s="1854"/>
      <c r="F186" s="1846">
        <v>0.05</v>
      </c>
    </row>
    <row r="187" spans="1:6" ht="14.25" thickBot="1">
      <c r="A187" s="1840" t="s">
        <v>1411</v>
      </c>
      <c r="B187" s="1844" t="s">
        <v>2130</v>
      </c>
      <c r="C187" s="1854"/>
      <c r="D187" s="1854"/>
      <c r="E187" s="1854"/>
      <c r="F187" s="1846">
        <v>0.05</v>
      </c>
    </row>
    <row r="188" spans="1:6" ht="24.75" thickBot="1">
      <c r="A188" s="1840" t="s">
        <v>1411</v>
      </c>
      <c r="B188" s="1844" t="s">
        <v>2131</v>
      </c>
      <c r="C188" s="1854"/>
      <c r="D188" s="1854"/>
      <c r="E188" s="1854"/>
      <c r="F188" s="1846">
        <v>0.05</v>
      </c>
    </row>
    <row r="189" spans="1:6" ht="24.75" thickBot="1">
      <c r="A189" s="1840" t="s">
        <v>1411</v>
      </c>
      <c r="B189" s="1844" t="s">
        <v>2132</v>
      </c>
      <c r="C189" s="1854"/>
      <c r="D189" s="1854"/>
      <c r="E189" s="1854"/>
      <c r="F189" s="1846">
        <v>0.05</v>
      </c>
    </row>
    <row r="190" spans="1:6" ht="24.75" thickBot="1">
      <c r="A190" s="1840" t="s">
        <v>1411</v>
      </c>
      <c r="B190" s="1844" t="s">
        <v>2133</v>
      </c>
      <c r="C190" s="1854"/>
      <c r="D190" s="1854"/>
      <c r="E190" s="1854"/>
      <c r="F190" s="1846">
        <v>0.05</v>
      </c>
    </row>
    <row r="191" spans="1:6" ht="24.75" thickBot="1">
      <c r="A191" s="1840" t="s">
        <v>1411</v>
      </c>
      <c r="B191" s="1844" t="s">
        <v>2134</v>
      </c>
      <c r="C191" s="1854"/>
      <c r="D191" s="1854"/>
      <c r="E191" s="1854"/>
      <c r="F191" s="1846">
        <v>0.05</v>
      </c>
    </row>
    <row r="192" spans="1:6" ht="24.75" thickBot="1">
      <c r="A192" s="1840" t="s">
        <v>1411</v>
      </c>
      <c r="B192" s="1844" t="s">
        <v>2135</v>
      </c>
      <c r="C192" s="1854"/>
      <c r="D192" s="1854"/>
      <c r="E192" s="1854"/>
      <c r="F192" s="1846">
        <v>0.05</v>
      </c>
    </row>
    <row r="193" spans="1:6" ht="24.75" thickBot="1">
      <c r="A193" s="1840" t="s">
        <v>1411</v>
      </c>
      <c r="B193" s="1844" t="s">
        <v>2136</v>
      </c>
      <c r="C193" s="1854"/>
      <c r="D193" s="1854"/>
      <c r="E193" s="1854"/>
      <c r="F193" s="1846">
        <v>0.05</v>
      </c>
    </row>
    <row r="194" spans="1:6" ht="24.75" thickBot="1">
      <c r="A194" s="1840" t="s">
        <v>1411</v>
      </c>
      <c r="B194" s="1844" t="s">
        <v>2137</v>
      </c>
      <c r="C194" s="1854"/>
      <c r="D194" s="1854"/>
      <c r="E194" s="1854"/>
      <c r="F194" s="1846">
        <v>0.05</v>
      </c>
    </row>
    <row r="195" spans="1:6" ht="14.25" thickBot="1">
      <c r="A195" s="1840" t="s">
        <v>1411</v>
      </c>
      <c r="B195" s="1844" t="s">
        <v>2138</v>
      </c>
      <c r="C195" s="1854"/>
      <c r="D195" s="1854"/>
      <c r="E195" s="1854"/>
      <c r="F195" s="1846">
        <v>0.05</v>
      </c>
    </row>
    <row r="196" spans="1:6" ht="24.75" thickBot="1">
      <c r="A196" s="1840" t="s">
        <v>1411</v>
      </c>
      <c r="B196" s="1844" t="s">
        <v>2139</v>
      </c>
      <c r="C196" s="1854"/>
      <c r="D196" s="1854"/>
      <c r="E196" s="1854"/>
      <c r="F196" s="1846">
        <v>0.05</v>
      </c>
    </row>
    <row r="197" spans="1:6" ht="24.75" thickBot="1">
      <c r="A197" s="1840" t="s">
        <v>1411</v>
      </c>
      <c r="B197" s="1844" t="s">
        <v>2140</v>
      </c>
      <c r="C197" s="1854"/>
      <c r="D197" s="1854"/>
      <c r="E197" s="1854"/>
      <c r="F197" s="1846">
        <v>0.05</v>
      </c>
    </row>
    <row r="198" spans="1:6" ht="24.75" thickBot="1">
      <c r="A198" s="1840" t="s">
        <v>1411</v>
      </c>
      <c r="B198" s="1844" t="s">
        <v>2141</v>
      </c>
      <c r="C198" s="1854"/>
      <c r="D198" s="1854"/>
      <c r="E198" s="1854"/>
      <c r="F198" s="1846">
        <v>0.05</v>
      </c>
    </row>
    <row r="199" spans="1:6" ht="24.75" thickBot="1">
      <c r="A199" s="1840" t="s">
        <v>1411</v>
      </c>
      <c r="B199" s="1844" t="s">
        <v>2142</v>
      </c>
      <c r="C199" s="1854"/>
      <c r="D199" s="1854"/>
      <c r="E199" s="1854"/>
      <c r="F199" s="1846">
        <v>0.05</v>
      </c>
    </row>
    <row r="200" spans="1:6" ht="24.75" thickBot="1">
      <c r="A200" s="1840" t="s">
        <v>1411</v>
      </c>
      <c r="B200" s="1844" t="s">
        <v>2143</v>
      </c>
      <c r="C200" s="1854"/>
      <c r="D200" s="1854"/>
      <c r="E200" s="1854"/>
      <c r="F200" s="1846">
        <v>0.05</v>
      </c>
    </row>
    <row r="201" spans="1:6" ht="24.75" thickBot="1">
      <c r="A201" s="1840" t="s">
        <v>1411</v>
      </c>
      <c r="B201" s="1844" t="s">
        <v>2144</v>
      </c>
      <c r="C201" s="1854"/>
      <c r="D201" s="1854"/>
      <c r="E201" s="1854"/>
      <c r="F201" s="1846">
        <v>0.05</v>
      </c>
    </row>
    <row r="202" spans="1:6" ht="24.75" thickBot="1">
      <c r="A202" s="1840" t="s">
        <v>1411</v>
      </c>
      <c r="B202" s="1844" t="s">
        <v>2145</v>
      </c>
      <c r="C202" s="1854"/>
      <c r="D202" s="1854"/>
      <c r="E202" s="1854"/>
      <c r="F202" s="1846">
        <v>0.05</v>
      </c>
    </row>
    <row r="203" spans="1:6" ht="24.75" thickBot="1">
      <c r="A203" s="1840" t="s">
        <v>1411</v>
      </c>
      <c r="B203" s="1844" t="s">
        <v>2146</v>
      </c>
      <c r="C203" s="1854"/>
      <c r="D203" s="1854"/>
      <c r="E203" s="1854"/>
      <c r="F203" s="1846">
        <v>0.05</v>
      </c>
    </row>
    <row r="204" spans="1:6" ht="14.25" thickBot="1">
      <c r="A204" s="1840" t="s">
        <v>1411</v>
      </c>
      <c r="B204" s="1844" t="s">
        <v>2147</v>
      </c>
      <c r="C204" s="1854"/>
      <c r="D204" s="1854"/>
      <c r="E204" s="1854"/>
      <c r="F204" s="1846">
        <v>0.05</v>
      </c>
    </row>
    <row r="205" spans="1:6" ht="14.25" thickBot="1">
      <c r="A205" s="1848" t="s">
        <v>1411</v>
      </c>
      <c r="B205" s="1855" t="s">
        <v>2148</v>
      </c>
      <c r="C205" s="1851"/>
      <c r="D205" s="1851"/>
      <c r="E205" s="1851"/>
      <c r="F205" s="1856">
        <v>0.05</v>
      </c>
    </row>
    <row r="206" spans="1:6" ht="14.25" thickBot="1">
      <c r="A206" s="1840" t="s">
        <v>1413</v>
      </c>
      <c r="B206" s="1841" t="s">
        <v>2149</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2150</v>
      </c>
      <c r="C210" s="1845">
        <v>0.15</v>
      </c>
      <c r="D210" s="1845">
        <v>0.15</v>
      </c>
      <c r="E210" s="1845">
        <v>0.15</v>
      </c>
      <c r="F210" s="1846">
        <v>0.13800000000000001</v>
      </c>
    </row>
    <row r="211" spans="1:6" ht="14.25" thickBot="1">
      <c r="A211" s="1840" t="s">
        <v>1413</v>
      </c>
      <c r="B211" s="1844" t="s">
        <v>2151</v>
      </c>
      <c r="C211" s="1845">
        <v>0.13700000000000001</v>
      </c>
      <c r="D211" s="1845">
        <v>0.13500000000000001</v>
      </c>
      <c r="E211" s="1845">
        <v>0.13600000000000001</v>
      </c>
      <c r="F211" s="1846">
        <v>0.1</v>
      </c>
    </row>
    <row r="212" spans="1:6" ht="14.25" thickBot="1">
      <c r="A212" s="1840" t="s">
        <v>1413</v>
      </c>
      <c r="B212" s="1844" t="s">
        <v>2152</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2153</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2154</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2155</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2156</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2157</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2158</v>
      </c>
      <c r="C231" s="1845">
        <v>0.128</v>
      </c>
      <c r="D231" s="1845">
        <v>0.125</v>
      </c>
      <c r="E231" s="1845">
        <v>0.13200000000000001</v>
      </c>
      <c r="F231" s="1853"/>
    </row>
    <row r="232" spans="1:6" ht="14.25" thickBot="1">
      <c r="A232" s="1840" t="s">
        <v>1413</v>
      </c>
      <c r="B232" s="1844" t="s">
        <v>2159</v>
      </c>
      <c r="C232" s="1845">
        <v>0.14499999999999999</v>
      </c>
      <c r="D232" s="1845">
        <v>0.14399999999999999</v>
      </c>
      <c r="E232" s="1845">
        <v>0.14599999999999999</v>
      </c>
      <c r="F232" s="1846">
        <v>0.13800000000000001</v>
      </c>
    </row>
    <row r="233" spans="1:6" ht="14.25" thickBot="1">
      <c r="A233" s="1840" t="s">
        <v>1413</v>
      </c>
      <c r="B233" s="1844" t="s">
        <v>2160</v>
      </c>
      <c r="C233" s="1845">
        <v>0.14499999999999999</v>
      </c>
      <c r="D233" s="1845">
        <v>0.14299999999999999</v>
      </c>
      <c r="E233" s="1845">
        <v>0.14199999999999999</v>
      </c>
      <c r="F233" s="1853"/>
    </row>
    <row r="234" spans="1:6" ht="14.25" thickBot="1">
      <c r="A234" s="1840" t="s">
        <v>1413</v>
      </c>
      <c r="B234" s="1844" t="s">
        <v>2161</v>
      </c>
      <c r="C234" s="1845">
        <v>0.14000000000000001</v>
      </c>
      <c r="D234" s="1845">
        <v>0.14000000000000001</v>
      </c>
      <c r="E234" s="1845">
        <v>0.14399999999999999</v>
      </c>
      <c r="F234" s="1853"/>
    </row>
    <row r="235" spans="1:6" ht="14.25" thickBot="1">
      <c r="A235" s="1840" t="s">
        <v>1413</v>
      </c>
      <c r="B235" s="1844" t="s">
        <v>2162</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2163</v>
      </c>
      <c r="C237" s="1854"/>
      <c r="D237" s="1854"/>
      <c r="E237" s="1854"/>
      <c r="F237" s="1846">
        <v>0.05</v>
      </c>
    </row>
    <row r="238" spans="1:6" ht="24.75" thickBot="1">
      <c r="A238" s="1840" t="s">
        <v>1413</v>
      </c>
      <c r="B238" s="1844" t="s">
        <v>2164</v>
      </c>
      <c r="C238" s="1854"/>
      <c r="D238" s="1854"/>
      <c r="E238" s="1854"/>
      <c r="F238" s="1846">
        <v>0.05</v>
      </c>
    </row>
    <row r="239" spans="1:6" ht="24.75" thickBot="1">
      <c r="A239" s="1840" t="s">
        <v>1413</v>
      </c>
      <c r="B239" s="1844" t="s">
        <v>2165</v>
      </c>
      <c r="C239" s="1854"/>
      <c r="D239" s="1854"/>
      <c r="E239" s="1854"/>
      <c r="F239" s="1846">
        <v>0.05</v>
      </c>
    </row>
    <row r="240" spans="1:6" ht="24.75" thickBot="1">
      <c r="A240" s="1840" t="s">
        <v>1413</v>
      </c>
      <c r="B240" s="1844" t="s">
        <v>2166</v>
      </c>
      <c r="C240" s="1854"/>
      <c r="D240" s="1854"/>
      <c r="E240" s="1854"/>
      <c r="F240" s="1846">
        <v>0.05</v>
      </c>
    </row>
    <row r="241" spans="1:6" ht="24.75" thickBot="1">
      <c r="A241" s="1840" t="s">
        <v>1413</v>
      </c>
      <c r="B241" s="1844" t="s">
        <v>2167</v>
      </c>
      <c r="C241" s="1854"/>
      <c r="D241" s="1854"/>
      <c r="E241" s="1854"/>
      <c r="F241" s="1846">
        <v>0.05</v>
      </c>
    </row>
    <row r="242" spans="1:6" ht="24.75" thickBot="1">
      <c r="A242" s="1840" t="s">
        <v>1413</v>
      </c>
      <c r="B242" s="1844" t="s">
        <v>2168</v>
      </c>
      <c r="C242" s="1854"/>
      <c r="D242" s="1854"/>
      <c r="E242" s="1854"/>
      <c r="F242" s="1846">
        <v>0.05</v>
      </c>
    </row>
    <row r="243" spans="1:6" ht="24.75" thickBot="1">
      <c r="A243" s="1840" t="s">
        <v>1413</v>
      </c>
      <c r="B243" s="1844" t="s">
        <v>2169</v>
      </c>
      <c r="C243" s="1854"/>
      <c r="D243" s="1854"/>
      <c r="E243" s="1854"/>
      <c r="F243" s="1846">
        <v>0.05</v>
      </c>
    </row>
    <row r="244" spans="1:6" ht="24.75" thickBot="1">
      <c r="A244" s="1848" t="s">
        <v>1413</v>
      </c>
      <c r="B244" s="1855" t="s">
        <v>2170</v>
      </c>
      <c r="C244" s="1851"/>
      <c r="D244" s="1851"/>
      <c r="E244" s="1851"/>
      <c r="F244" s="1856">
        <v>0.05</v>
      </c>
    </row>
    <row r="245" spans="1:6" ht="14.25" thickBot="1">
      <c r="A245" s="1840" t="s">
        <v>1415</v>
      </c>
      <c r="B245" s="1841" t="s">
        <v>2171</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2172</v>
      </c>
      <c r="C247" s="1845">
        <v>0.15</v>
      </c>
      <c r="D247" s="1845">
        <v>0.15</v>
      </c>
      <c r="E247" s="1845">
        <v>0.15</v>
      </c>
      <c r="F247" s="1846">
        <v>0.15</v>
      </c>
    </row>
    <row r="248" spans="1:6" ht="14.25" thickBot="1">
      <c r="A248" s="1840" t="s">
        <v>1415</v>
      </c>
      <c r="B248" s="1844" t="s">
        <v>2173</v>
      </c>
      <c r="C248" s="1845">
        <v>0.15</v>
      </c>
      <c r="D248" s="1845">
        <v>0.15</v>
      </c>
      <c r="E248" s="1845">
        <v>0.15</v>
      </c>
      <c r="F248" s="1846">
        <v>0.14000000000000001</v>
      </c>
    </row>
    <row r="249" spans="1:6" ht="14.25" thickBot="1">
      <c r="A249" s="1840" t="s">
        <v>1415</v>
      </c>
      <c r="B249" s="1844" t="s">
        <v>2174</v>
      </c>
      <c r="C249" s="1845">
        <v>0.15</v>
      </c>
      <c r="D249" s="1845">
        <v>0.14899999999999999</v>
      </c>
      <c r="E249" s="1845">
        <v>0.15</v>
      </c>
      <c r="F249" s="1846">
        <v>0.1</v>
      </c>
    </row>
    <row r="250" spans="1:6" ht="14.25" thickBot="1">
      <c r="A250" s="1840" t="s">
        <v>1415</v>
      </c>
      <c r="B250" s="1844" t="s">
        <v>2175</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2176</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2177</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2178</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2179</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2180</v>
      </c>
      <c r="C273" s="1845">
        <v>0.14199999999999999</v>
      </c>
      <c r="D273" s="1845">
        <v>0.14299999999999999</v>
      </c>
      <c r="E273" s="1845">
        <v>0.15</v>
      </c>
      <c r="F273" s="1846">
        <v>0.1</v>
      </c>
    </row>
    <row r="274" spans="1:6" ht="14.25" thickBot="1">
      <c r="A274" s="1840" t="s">
        <v>1415</v>
      </c>
      <c r="B274" s="1844" t="s">
        <v>2181</v>
      </c>
      <c r="C274" s="1845">
        <v>0.14799999999999999</v>
      </c>
      <c r="D274" s="1845">
        <v>0.14799999999999999</v>
      </c>
      <c r="E274" s="1845">
        <v>0.15</v>
      </c>
      <c r="F274" s="1846">
        <v>6.7000000000000004E-2</v>
      </c>
    </row>
    <row r="275" spans="1:6" ht="14.25" thickBot="1">
      <c r="A275" s="1840" t="s">
        <v>1415</v>
      </c>
      <c r="B275" s="1844" t="s">
        <v>2182</v>
      </c>
      <c r="C275" s="1845">
        <v>0.15</v>
      </c>
      <c r="D275" s="1845">
        <v>0.15</v>
      </c>
      <c r="E275" s="1845">
        <v>0.15</v>
      </c>
      <c r="F275" s="1846">
        <v>0.15</v>
      </c>
    </row>
    <row r="276" spans="1:6" ht="14.25" thickBot="1">
      <c r="A276" s="1840" t="s">
        <v>1415</v>
      </c>
      <c r="B276" s="1844" t="s">
        <v>2183</v>
      </c>
      <c r="C276" s="1845">
        <v>0.14499999999999999</v>
      </c>
      <c r="D276" s="1845">
        <v>0.14299999999999999</v>
      </c>
      <c r="E276" s="1845">
        <v>0.15</v>
      </c>
      <c r="F276" s="1846">
        <v>5.8999999999999997E-2</v>
      </c>
    </row>
    <row r="277" spans="1:6" ht="14.25" thickBot="1">
      <c r="A277" s="1840" t="s">
        <v>1415</v>
      </c>
      <c r="B277" s="1844" t="s">
        <v>2184</v>
      </c>
      <c r="C277" s="1845">
        <v>0.15</v>
      </c>
      <c r="D277" s="1845">
        <v>0.15</v>
      </c>
      <c r="E277" s="1845">
        <v>0.15</v>
      </c>
      <c r="F277" s="1846">
        <v>0.121</v>
      </c>
    </row>
    <row r="278" spans="1:6" ht="14.25" thickBot="1">
      <c r="A278" s="1840" t="s">
        <v>1415</v>
      </c>
      <c r="B278" s="1844" t="s">
        <v>2185</v>
      </c>
      <c r="C278" s="1845">
        <v>0.15</v>
      </c>
      <c r="D278" s="1845">
        <v>0.15</v>
      </c>
      <c r="E278" s="1845">
        <v>0.15</v>
      </c>
      <c r="F278" s="1846">
        <v>0.13800000000000001</v>
      </c>
    </row>
    <row r="279" spans="1:6" ht="24.75" thickBot="1">
      <c r="A279" s="1840" t="s">
        <v>1415</v>
      </c>
      <c r="B279" s="1844" t="s">
        <v>2186</v>
      </c>
      <c r="C279" s="1854"/>
      <c r="D279" s="1854"/>
      <c r="E279" s="1854"/>
      <c r="F279" s="1846">
        <v>0.05</v>
      </c>
    </row>
    <row r="280" spans="1:6" ht="24.75" thickBot="1">
      <c r="A280" s="1840" t="s">
        <v>1415</v>
      </c>
      <c r="B280" s="1844" t="s">
        <v>2187</v>
      </c>
      <c r="C280" s="1854"/>
      <c r="D280" s="1854"/>
      <c r="E280" s="1854"/>
      <c r="F280" s="1846">
        <v>0.05</v>
      </c>
    </row>
    <row r="281" spans="1:6" ht="24.75" thickBot="1">
      <c r="A281" s="1840" t="s">
        <v>1415</v>
      </c>
      <c r="B281" s="1844" t="s">
        <v>2188</v>
      </c>
      <c r="C281" s="1854"/>
      <c r="D281" s="1854"/>
      <c r="E281" s="1854"/>
      <c r="F281" s="1846">
        <v>0.05</v>
      </c>
    </row>
    <row r="282" spans="1:6" ht="24.75" thickBot="1">
      <c r="A282" s="1840" t="s">
        <v>1415</v>
      </c>
      <c r="B282" s="1844" t="s">
        <v>2189</v>
      </c>
      <c r="C282" s="1854"/>
      <c r="D282" s="1854"/>
      <c r="E282" s="1854"/>
      <c r="F282" s="1846">
        <v>0.05</v>
      </c>
    </row>
    <row r="283" spans="1:6" ht="24.75" thickBot="1">
      <c r="A283" s="1840" t="s">
        <v>1415</v>
      </c>
      <c r="B283" s="1844" t="s">
        <v>2190</v>
      </c>
      <c r="C283" s="1854"/>
      <c r="D283" s="1854"/>
      <c r="E283" s="1854"/>
      <c r="F283" s="1846">
        <v>0.05</v>
      </c>
    </row>
    <row r="284" spans="1:6" ht="24.75" thickBot="1">
      <c r="A284" s="1840" t="s">
        <v>1415</v>
      </c>
      <c r="B284" s="1844" t="s">
        <v>2191</v>
      </c>
      <c r="C284" s="1854"/>
      <c r="D284" s="1854"/>
      <c r="E284" s="1854"/>
      <c r="F284" s="1846">
        <v>0.05</v>
      </c>
    </row>
    <row r="285" spans="1:6" ht="24.75" thickBot="1">
      <c r="A285" s="1840" t="s">
        <v>1415</v>
      </c>
      <c r="B285" s="1844" t="s">
        <v>2192</v>
      </c>
      <c r="C285" s="1854"/>
      <c r="D285" s="1854"/>
      <c r="E285" s="1854"/>
      <c r="F285" s="1846">
        <v>0.05</v>
      </c>
    </row>
    <row r="286" spans="1:6" ht="24.75" thickBot="1">
      <c r="A286" s="1840" t="s">
        <v>1415</v>
      </c>
      <c r="B286" s="1844" t="s">
        <v>2193</v>
      </c>
      <c r="C286" s="1854"/>
      <c r="D286" s="1854"/>
      <c r="E286" s="1854"/>
      <c r="F286" s="1846">
        <v>0.05</v>
      </c>
    </row>
    <row r="287" spans="1:6" ht="24.75" thickBot="1">
      <c r="A287" s="1840" t="s">
        <v>1415</v>
      </c>
      <c r="B287" s="1844" t="s">
        <v>2194</v>
      </c>
      <c r="C287" s="1854"/>
      <c r="D287" s="1854"/>
      <c r="E287" s="1854"/>
      <c r="F287" s="1846">
        <v>0.05</v>
      </c>
    </row>
    <row r="288" spans="1:6" ht="24.75" thickBot="1">
      <c r="A288" s="1840" t="s">
        <v>1415</v>
      </c>
      <c r="B288" s="1844" t="s">
        <v>2195</v>
      </c>
      <c r="C288" s="1854"/>
      <c r="D288" s="1854"/>
      <c r="E288" s="1854"/>
      <c r="F288" s="1846">
        <v>0.05</v>
      </c>
    </row>
    <row r="289" spans="1:6" ht="24.75" thickBot="1">
      <c r="A289" s="1848" t="s">
        <v>1415</v>
      </c>
      <c r="B289" s="1855" t="s">
        <v>2196</v>
      </c>
      <c r="C289" s="1851"/>
      <c r="D289" s="1851"/>
      <c r="E289" s="1851"/>
      <c r="F289" s="1856">
        <v>0.05</v>
      </c>
    </row>
    <row r="290" spans="1:6" ht="14.25" thickBot="1">
      <c r="A290" s="1840" t="s">
        <v>1419</v>
      </c>
      <c r="B290" s="1841" t="s">
        <v>2197</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2198</v>
      </c>
      <c r="C292" s="1845">
        <v>0.15</v>
      </c>
      <c r="D292" s="1845">
        <v>0.15</v>
      </c>
      <c r="E292" s="1845">
        <v>0.15</v>
      </c>
      <c r="F292" s="1846">
        <v>0.14699999999999999</v>
      </c>
    </row>
    <row r="293" spans="1:6" ht="14.25" thickBot="1">
      <c r="A293" s="1840" t="s">
        <v>1419</v>
      </c>
      <c r="B293" s="1844" t="s">
        <v>2199</v>
      </c>
      <c r="C293" s="1854"/>
      <c r="D293" s="1854"/>
      <c r="E293" s="1854"/>
      <c r="F293" s="1846">
        <v>0.1</v>
      </c>
    </row>
    <row r="294" spans="1:6" ht="14.25" thickBot="1">
      <c r="A294" s="1840" t="s">
        <v>1419</v>
      </c>
      <c r="B294" s="1844" t="s">
        <v>2200</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2201</v>
      </c>
      <c r="C296" s="1845">
        <v>0.15</v>
      </c>
      <c r="D296" s="1845">
        <v>0.15</v>
      </c>
      <c r="E296" s="1845">
        <v>0.15</v>
      </c>
      <c r="F296" s="1846">
        <v>0.15</v>
      </c>
    </row>
    <row r="297" spans="1:6" ht="14.25" thickBot="1">
      <c r="A297" s="1840" t="s">
        <v>1419</v>
      </c>
      <c r="B297" s="1844" t="s">
        <v>2202</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2203</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2204</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2205</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2206</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2207</v>
      </c>
      <c r="C310" s="1845">
        <v>0.15</v>
      </c>
      <c r="D310" s="1845">
        <v>0.15</v>
      </c>
      <c r="E310" s="1845">
        <v>0.15</v>
      </c>
      <c r="F310" s="1846">
        <v>0.13700000000000001</v>
      </c>
    </row>
    <row r="311" spans="1:6" ht="14.25" thickBot="1">
      <c r="A311" s="1840" t="s">
        <v>1419</v>
      </c>
      <c r="B311" s="1844" t="s">
        <v>2208</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2209</v>
      </c>
      <c r="C313" s="1845">
        <v>0.15</v>
      </c>
      <c r="D313" s="1845">
        <v>0.15</v>
      </c>
      <c r="E313" s="1845">
        <v>0.15</v>
      </c>
      <c r="F313" s="1846">
        <v>0.15</v>
      </c>
    </row>
    <row r="314" spans="1:6" ht="24.75" thickBot="1">
      <c r="A314" s="1840" t="s">
        <v>1419</v>
      </c>
      <c r="B314" s="1844" t="s">
        <v>2210</v>
      </c>
      <c r="C314" s="1854"/>
      <c r="D314" s="1854"/>
      <c r="E314" s="1854"/>
      <c r="F314" s="1846">
        <v>0.05</v>
      </c>
    </row>
    <row r="315" spans="1:6" ht="24.75" thickBot="1">
      <c r="A315" s="1840" t="s">
        <v>1419</v>
      </c>
      <c r="B315" s="1844" t="s">
        <v>2211</v>
      </c>
      <c r="C315" s="1854"/>
      <c r="D315" s="1854"/>
      <c r="E315" s="1854"/>
      <c r="F315" s="1846">
        <v>0.05</v>
      </c>
    </row>
    <row r="316" spans="1:6" ht="24.75" thickBot="1">
      <c r="A316" s="1848" t="s">
        <v>1419</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1107</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1176</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1196</v>
      </c>
      <c r="C328" s="1845">
        <v>0.15</v>
      </c>
      <c r="D328" s="1845">
        <v>0.15</v>
      </c>
      <c r="E328" s="1845">
        <v>0.15</v>
      </c>
      <c r="F328" s="1846">
        <v>0.14099999999999999</v>
      </c>
    </row>
    <row r="329" spans="1:6" ht="14.25" thickBot="1">
      <c r="A329" s="1840" t="s">
        <v>2213</v>
      </c>
      <c r="B329" s="1844" t="s">
        <v>1206</v>
      </c>
      <c r="C329" s="1845">
        <v>0.15</v>
      </c>
      <c r="D329" s="1845">
        <v>0.15</v>
      </c>
      <c r="E329" s="1845">
        <v>0.15</v>
      </c>
      <c r="F329" s="1846">
        <v>0.15</v>
      </c>
    </row>
    <row r="330" spans="1:6" ht="14.25" thickBot="1">
      <c r="A330" s="1840" t="s">
        <v>2213</v>
      </c>
      <c r="B330" s="1844" t="s">
        <v>1216</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1236</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1256</v>
      </c>
      <c r="C334" s="1845">
        <v>0.15</v>
      </c>
      <c r="D334" s="1845">
        <v>0.15</v>
      </c>
      <c r="E334" s="1845">
        <v>0.15</v>
      </c>
      <c r="F334" s="1846">
        <v>0.15</v>
      </c>
    </row>
    <row r="335" spans="1:6" ht="14.25" thickBot="1">
      <c r="A335" s="1840" t="s">
        <v>2213</v>
      </c>
      <c r="B335" s="1844" t="s">
        <v>1266</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1284</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1"/>
  <sheetViews>
    <sheetView zoomScale="80" zoomScaleNormal="80" zoomScalePageLayoutView="80" workbookViewId="0">
      <selection activeCell="D38" sqref="D38"/>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33" t="s">
        <v>2573</v>
      </c>
      <c r="C1" s="3433"/>
      <c r="D1" s="3433"/>
      <c r="E1" s="3433"/>
      <c r="F1" s="3433"/>
      <c r="G1" s="3432" t="s">
        <v>2574</v>
      </c>
      <c r="H1" s="3432"/>
      <c r="I1" s="3432"/>
      <c r="J1" s="3432"/>
      <c r="K1" s="3432"/>
      <c r="L1" s="3432"/>
      <c r="N1" s="3432" t="s">
        <v>2575</v>
      </c>
      <c r="O1" s="3432"/>
      <c r="P1" s="3432"/>
      <c r="Q1" s="3432"/>
      <c r="R1" s="2618"/>
      <c r="S1" s="3432" t="s">
        <v>2576</v>
      </c>
      <c r="T1" s="3432"/>
      <c r="U1" s="3432"/>
      <c r="V1" s="3432"/>
      <c r="X1" s="3431" t="s">
        <v>2636</v>
      </c>
      <c r="Y1" s="3432"/>
      <c r="Z1" s="3432"/>
      <c r="AA1" s="3432"/>
      <c r="AB1" s="3432"/>
      <c r="AD1" s="3431" t="s">
        <v>2640</v>
      </c>
      <c r="AE1" s="3432"/>
      <c r="AF1" s="3432"/>
      <c r="AG1" s="3432"/>
      <c r="AH1" s="3432"/>
    </row>
    <row r="2" spans="1:34" s="2719" customFormat="1" ht="14.25" thickBot="1">
      <c r="B2" s="2727" t="s">
        <v>2577</v>
      </c>
      <c r="C2" s="2727" t="s">
        <v>2638</v>
      </c>
      <c r="D2" s="2720" t="s">
        <v>1644</v>
      </c>
      <c r="E2" s="2720" t="s">
        <v>1949</v>
      </c>
      <c r="F2" s="2727" t="s">
        <v>2639</v>
      </c>
      <c r="G2" s="2723"/>
      <c r="H2" s="2722"/>
      <c r="I2" s="2727" t="s">
        <v>2950</v>
      </c>
      <c r="J2" s="2720" t="s">
        <v>2952</v>
      </c>
      <c r="K2" s="2720" t="s">
        <v>2953</v>
      </c>
      <c r="L2" s="2727" t="s">
        <v>2954</v>
      </c>
      <c r="N2" s="2727" t="s">
        <v>2577</v>
      </c>
      <c r="O2" s="2720" t="s">
        <v>2951</v>
      </c>
      <c r="P2" s="2720" t="s">
        <v>1949</v>
      </c>
      <c r="Q2" s="2727" t="s">
        <v>2639</v>
      </c>
      <c r="R2" s="2721"/>
      <c r="S2" s="2727" t="s">
        <v>2577</v>
      </c>
      <c r="T2" s="2720" t="s">
        <v>2951</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2" customFormat="1" ht="14.25">
      <c r="A3" s="3094" t="s">
        <v>2963</v>
      </c>
      <c r="B3" s="3083"/>
      <c r="C3" s="3083"/>
      <c r="D3" s="3084"/>
      <c r="E3" s="3084"/>
      <c r="F3" s="3083"/>
      <c r="G3" s="3085"/>
      <c r="H3" s="3086"/>
      <c r="I3" s="3093">
        <f>ROUND(AVERAGE($I4:$I28),2)</f>
        <v>1.98</v>
      </c>
      <c r="J3" s="3093">
        <f>ROUND(AVERAGE($J4:$J28),2)</f>
        <v>1.41</v>
      </c>
      <c r="K3" s="3093">
        <f>ROUND(AVERAGE($K4:$K28),2)</f>
        <v>2.16</v>
      </c>
      <c r="L3" s="3093">
        <f>ROUND(AVERAGE($L4:$L28),2)</f>
        <v>1.38</v>
      </c>
      <c r="N3" s="3085"/>
      <c r="O3" s="3087"/>
      <c r="P3" s="3087"/>
      <c r="Q3" s="3087"/>
      <c r="R3" s="3087"/>
      <c r="S3" s="3085"/>
      <c r="T3" s="3087"/>
      <c r="U3" s="3087"/>
      <c r="V3" s="3087"/>
      <c r="W3" s="3090"/>
      <c r="X3" s="3088">
        <f>ROUND(SUMPRODUCT(PRODUCT(1+N3:N$27)),4)</f>
        <v>1.5516000000000001</v>
      </c>
      <c r="Y3" s="3088">
        <f>ROUND(SUMPRODUCT(PRODUCT(1+O3:O$27)),4)</f>
        <v>1.3649</v>
      </c>
      <c r="Z3" s="3088">
        <f t="shared" ref="Z3:Z25" si="0">Y3</f>
        <v>1.3649</v>
      </c>
      <c r="AA3" s="3088">
        <f>ROUND(SUMPRODUCT(PRODUCT(1+P3:P$27)),4)</f>
        <v>1.6133999999999999</v>
      </c>
      <c r="AB3" s="3088">
        <f>ROUND(SUMPRODUCT(PRODUCT(1+Q3:Q$27)),4)</f>
        <v>1.3713</v>
      </c>
      <c r="AD3" s="3089">
        <f>ROUND(AVERAGE(I3:I$28)/100,4)</f>
        <v>1.9800000000000002E-2</v>
      </c>
      <c r="AE3" s="3089">
        <f>ROUND(AVERAGE(J3:J$28)/100,4)</f>
        <v>1.41E-2</v>
      </c>
      <c r="AF3" s="3089">
        <f t="shared" ref="AF3:AF26" si="1">AE3</f>
        <v>1.41E-2</v>
      </c>
      <c r="AG3" s="3089">
        <f>ROUND(AVERAGE(K3:K$28)/100,4)</f>
        <v>2.1600000000000001E-2</v>
      </c>
      <c r="AH3" s="3089">
        <f>ROUND(AVERAGE(L3:L$28)/100,4)</f>
        <v>1.38E-2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2991</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2019</v>
      </c>
      <c r="H5" s="3065">
        <v>4</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2964</v>
      </c>
      <c r="X5" s="3069">
        <f>ROUND(IF(项目基本情况!B7="出让",SUMPRODUCT(PRODUCT(1+N5:N$28)),SUMPRODUCT(PRODUCT(1+N5:N$27))),4)</f>
        <v>1.5516000000000001</v>
      </c>
      <c r="Y5" s="3069">
        <f>ROUND(IF(项目基本情况!B7="出让",SUMPRODUCT(PRODUCT(1+O5:O$28)),SUMPRODUCT(PRODUCT(1+O5:O$27))),4)</f>
        <v>1.3649</v>
      </c>
      <c r="Z5" s="3069">
        <f t="shared" ref="Z5" si="11">Y5</f>
        <v>1.3649</v>
      </c>
      <c r="AA5" s="3069">
        <f>ROUND(IF(项目基本情况!B7="出让",SUMPRODUCT(PRODUCT(1+P5:P$28)),SUMPRODUCT(PRODUCT(1+P5:P$27))),4)</f>
        <v>1.6133999999999999</v>
      </c>
      <c r="AB5" s="3069">
        <f>ROUND(IF(项目基本情况!B7="出让",SUMPRODUCT(PRODUCT(1+Q5:Q$28)),SUMPRODUCT(PRODUCT(1+Q5:Q$27))),4)</f>
        <v>1.3713</v>
      </c>
      <c r="AD5" s="3070">
        <f>ROUND(AVERAGE(I5:I$28)/100,4)</f>
        <v>1.9800000000000002E-2</v>
      </c>
      <c r="AE5" s="3070">
        <f>ROUND(AVERAGE(J5:J$28)/100,4)</f>
        <v>1.41E-2</v>
      </c>
      <c r="AF5" s="3070">
        <f t="shared" ref="AF5" si="12">AE5</f>
        <v>1.41E-2</v>
      </c>
      <c r="AG5" s="3070">
        <f>ROUND(AVERAGE(K5:K$28)/100,4)</f>
        <v>2.1600000000000001E-2</v>
      </c>
      <c r="AH5" s="3070">
        <f>ROUND(AVERAGE(L5:L$28)/100,4)</f>
        <v>1.38E-2</v>
      </c>
    </row>
    <row r="6" spans="1:34" s="2724" customFormat="1" ht="13.5" thickBot="1">
      <c r="A6" s="2619" t="s">
        <v>2990</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3</v>
      </c>
      <c r="I6" s="2622">
        <v>0.61</v>
      </c>
      <c r="J6" s="2622">
        <v>0.67</v>
      </c>
      <c r="K6" s="2622">
        <v>0.6</v>
      </c>
      <c r="L6" s="2633">
        <v>1.03</v>
      </c>
      <c r="M6" s="2626"/>
      <c r="N6" s="2627">
        <f t="shared" ref="N6" si="18">I6/100</f>
        <v>6.0999999999999995E-3</v>
      </c>
      <c r="O6" s="2628">
        <f t="shared" ref="O6" si="19">J6/100</f>
        <v>6.7000000000000002E-3</v>
      </c>
      <c r="P6" s="2628">
        <f t="shared" ref="P6" si="20">K6/100</f>
        <v>6.0000000000000001E-3</v>
      </c>
      <c r="Q6" s="2628">
        <f t="shared" ref="Q6" si="21">L6/100</f>
        <v>1.03E-2</v>
      </c>
      <c r="R6" s="2629"/>
      <c r="S6" s="2635"/>
      <c r="T6" s="2636"/>
      <c r="U6" s="2636"/>
      <c r="V6" s="2636"/>
      <c r="W6" s="2626"/>
      <c r="X6" s="2717">
        <f>ROUND(IF(项目基本情况!B8="出让",SUMPRODUCT(PRODUCT(1+N6:N$28)),SUMPRODUCT(PRODUCT(1+N6:N$27))),4)</f>
        <v>1.5516000000000001</v>
      </c>
      <c r="Y6" s="2717">
        <f>ROUND(IF(项目基本情况!B8="出让",SUMPRODUCT(PRODUCT(1+O6:O$28)),SUMPRODUCT(PRODUCT(1+O6:O$27))),4)</f>
        <v>1.3649</v>
      </c>
      <c r="Z6" s="2717">
        <f t="shared" ref="Z6" si="22">Y6</f>
        <v>1.3649</v>
      </c>
      <c r="AA6" s="2717">
        <f>ROUND(IF(项目基本情况!B8="出让",SUMPRODUCT(PRODUCT(1+P6:P$28)),SUMPRODUCT(PRODUCT(1+P6:P$27))),4)</f>
        <v>1.6133999999999999</v>
      </c>
      <c r="AB6" s="2717">
        <f>ROUND(IF(项目基本情况!B8="出让",SUMPRODUCT(PRODUCT(1+Q6:Q$28)),SUMPRODUCT(PRODUCT(1+Q6:Q$27))),4)</f>
        <v>1.3713</v>
      </c>
      <c r="AC6" s="2626"/>
      <c r="AD6" s="2637">
        <f>ROUND(AVERAGE(I6:I$28)/100,4)</f>
        <v>2.07E-2</v>
      </c>
      <c r="AE6" s="2637">
        <f>ROUND(AVERAGE(J6:J$28)/100,4)</f>
        <v>1.47E-2</v>
      </c>
      <c r="AF6" s="2637">
        <f t="shared" ref="AF6" si="23">AE6</f>
        <v>1.47E-2</v>
      </c>
      <c r="AG6" s="2637">
        <f>ROUND(AVERAGE(K6:K$28)/100,4)</f>
        <v>2.2599999999999999E-2</v>
      </c>
      <c r="AH6" s="2637">
        <f>ROUND(AVERAGE(L6:L$28)/100,4)</f>
        <v>1.44E-2</v>
      </c>
    </row>
    <row r="7" spans="1:34" s="2724" customFormat="1">
      <c r="A7" s="2619" t="s">
        <v>2987</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2620">
        <v>1.53</v>
      </c>
      <c r="J7" s="2620">
        <v>1.01</v>
      </c>
      <c r="K7" s="2620">
        <v>1.62</v>
      </c>
      <c r="L7" s="2621">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2986</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2983</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27">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2973</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27"/>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2974</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27"/>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2970</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28"/>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2961</v>
      </c>
      <c r="B13" s="3096">
        <v>439</v>
      </c>
      <c r="C13" s="3096">
        <v>327</v>
      </c>
      <c r="D13" s="3096">
        <f t="shared" si="76"/>
        <v>327</v>
      </c>
      <c r="E13" s="3096">
        <v>627</v>
      </c>
      <c r="F13" s="3097">
        <v>283</v>
      </c>
      <c r="G13" s="3426">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2965</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27"/>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2578</v>
      </c>
      <c r="B15" s="2632">
        <f t="shared" si="88"/>
        <v>419.31181600000002</v>
      </c>
      <c r="C15" s="2632">
        <f t="shared" si="88"/>
        <v>313.95436800000004</v>
      </c>
      <c r="D15" s="2632">
        <f t="shared" si="76"/>
        <v>313.95436800000004</v>
      </c>
      <c r="E15" s="2632">
        <f t="shared" si="89"/>
        <v>596.63028431999999</v>
      </c>
      <c r="F15" s="2632">
        <f t="shared" si="89"/>
        <v>274.74220703999998</v>
      </c>
      <c r="G15" s="3427"/>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2579</v>
      </c>
      <c r="B16" s="2632">
        <f t="shared" si="88"/>
        <v>405.524</v>
      </c>
      <c r="C16" s="2632">
        <f t="shared" si="88"/>
        <v>307.79840000000002</v>
      </c>
      <c r="D16" s="2632">
        <f t="shared" si="76"/>
        <v>307.79840000000002</v>
      </c>
      <c r="E16" s="2632">
        <f t="shared" si="89"/>
        <v>574.67759999999998</v>
      </c>
      <c r="F16" s="2632">
        <f t="shared" si="89"/>
        <v>270.20280000000002</v>
      </c>
      <c r="G16" s="3428"/>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26">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27"/>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27"/>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30"/>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98"/>
        <v>277</v>
      </c>
      <c r="E21" s="2624">
        <v>459</v>
      </c>
      <c r="F21" s="2625">
        <v>249</v>
      </c>
      <c r="G21" s="3429">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27"/>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27"/>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30"/>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98"/>
        <v>268</v>
      </c>
      <c r="E25" s="2646">
        <v>437</v>
      </c>
      <c r="F25" s="2647">
        <v>237</v>
      </c>
      <c r="G25" s="3429">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27"/>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27"/>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30"/>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2637</v>
      </c>
      <c r="X28" s="2728">
        <v>1</v>
      </c>
      <c r="Y28" s="2728">
        <v>1</v>
      </c>
      <c r="Z28" s="2728">
        <v>1</v>
      </c>
      <c r="AA28" s="2728">
        <v>1</v>
      </c>
      <c r="AB28" s="2728">
        <v>1</v>
      </c>
      <c r="AD28" s="2961">
        <f>I28/100</f>
        <v>2.9700000000000001E-2</v>
      </c>
      <c r="AE28" s="2961">
        <f>J28/100</f>
        <v>2.3399999999999997E-2</v>
      </c>
      <c r="AF28" s="2961">
        <f>AE28</f>
        <v>2.3399999999999997E-2</v>
      </c>
      <c r="AG28" s="2961">
        <f>K28/100</f>
        <v>3.2799999999999996E-2</v>
      </c>
      <c r="AH28" s="2961">
        <f>L28/100</f>
        <v>1.3600000000000001E-2</v>
      </c>
    </row>
    <row r="29" spans="1:34" ht="13.5" thickBot="1">
      <c r="A29" s="2619" t="s">
        <v>2580</v>
      </c>
      <c r="B29" s="2624">
        <v>299</v>
      </c>
      <c r="C29" s="2624">
        <v>252</v>
      </c>
      <c r="D29" s="2624">
        <f t="shared" si="98"/>
        <v>252</v>
      </c>
      <c r="E29" s="2624">
        <v>409</v>
      </c>
      <c r="F29" s="2625">
        <v>227</v>
      </c>
      <c r="G29" s="3434">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2581</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35"/>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2582</v>
      </c>
      <c r="B31" s="2632">
        <f t="shared" si="107"/>
        <v>288.2649053828776</v>
      </c>
      <c r="C31" s="2632">
        <f t="shared" si="107"/>
        <v>243.64564425013293</v>
      </c>
      <c r="D31" s="2632">
        <f t="shared" si="98"/>
        <v>243.64564425013293</v>
      </c>
      <c r="E31" s="2632">
        <f t="shared" si="108"/>
        <v>393.31080825986544</v>
      </c>
      <c r="F31" s="2632">
        <f t="shared" si="108"/>
        <v>223.07903790551154</v>
      </c>
      <c r="G31" s="3435"/>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2583</v>
      </c>
      <c r="B32" s="2632">
        <f t="shared" si="107"/>
        <v>282.50186729015837</v>
      </c>
      <c r="C32" s="2632">
        <f t="shared" si="107"/>
        <v>238.09796174155468</v>
      </c>
      <c r="D32" s="2632">
        <f t="shared" si="98"/>
        <v>238.09796174155468</v>
      </c>
      <c r="E32" s="2632">
        <f t="shared" si="108"/>
        <v>385.33438646014054</v>
      </c>
      <c r="F32" s="2632">
        <f t="shared" si="108"/>
        <v>221.55034055567739</v>
      </c>
      <c r="G32" s="3436"/>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2584</v>
      </c>
      <c r="B33" s="2662">
        <v>278</v>
      </c>
      <c r="C33" s="2662">
        <v>234</v>
      </c>
      <c r="D33" s="2662">
        <f t="shared" si="98"/>
        <v>234</v>
      </c>
      <c r="E33" s="2662">
        <v>379</v>
      </c>
      <c r="F33" s="2663">
        <v>220</v>
      </c>
      <c r="G33" s="3429">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2585</v>
      </c>
      <c r="B34" s="2632">
        <f>B33/(1+N33)</f>
        <v>275.49301357645425</v>
      </c>
      <c r="C34" s="2632">
        <f>C33/(1+O33)</f>
        <v>232.41954707985698</v>
      </c>
      <c r="D34" s="2632">
        <f t="shared" si="98"/>
        <v>232.41954707985698</v>
      </c>
      <c r="E34" s="2632">
        <f t="shared" ref="E34:F36" si="109">E33/(1+P33)</f>
        <v>375.32184591008121</v>
      </c>
      <c r="F34" s="2632">
        <f t="shared" si="109"/>
        <v>218.03766105054513</v>
      </c>
      <c r="G34" s="3427"/>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2586</v>
      </c>
      <c r="B35" s="2632">
        <f>B34/(1+N34)</f>
        <v>275.24529281292263</v>
      </c>
      <c r="C35" s="2632">
        <f>C34/(1+O34)</f>
        <v>231.74747938962707</v>
      </c>
      <c r="D35" s="2632">
        <f t="shared" si="98"/>
        <v>231.74747938962707</v>
      </c>
      <c r="E35" s="2632">
        <f t="shared" si="109"/>
        <v>375.35938184826603</v>
      </c>
      <c r="F35" s="2632">
        <f t="shared" si="109"/>
        <v>216.78033510692495</v>
      </c>
      <c r="G35" s="3427"/>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2587</v>
      </c>
      <c r="B36" s="2632">
        <f>B35/(1+N35)</f>
        <v>275.19025476197027</v>
      </c>
      <c r="C36" s="2664">
        <v>232</v>
      </c>
      <c r="D36" s="2664">
        <f t="shared" si="98"/>
        <v>232</v>
      </c>
      <c r="E36" s="2632">
        <f t="shared" si="109"/>
        <v>375.65990977608692</v>
      </c>
      <c r="F36" s="2632">
        <f t="shared" si="109"/>
        <v>214.12518283971252</v>
      </c>
      <c r="G36" s="3430"/>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2588</v>
      </c>
      <c r="B37" s="2624">
        <v>275</v>
      </c>
      <c r="C37" s="2624">
        <v>232</v>
      </c>
      <c r="D37" s="2624">
        <f t="shared" si="98"/>
        <v>232</v>
      </c>
      <c r="E37" s="2624">
        <v>376</v>
      </c>
      <c r="F37" s="2625">
        <v>213</v>
      </c>
      <c r="G37" s="3429">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2589</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27">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2590</v>
      </c>
      <c r="B39" s="2632">
        <f t="shared" si="110"/>
        <v>275.19335084830601</v>
      </c>
      <c r="C39" s="2632">
        <f t="shared" si="110"/>
        <v>230.18088050139744</v>
      </c>
      <c r="D39" s="2632">
        <f t="shared" si="98"/>
        <v>230.18088050139744</v>
      </c>
      <c r="E39" s="2632">
        <f t="shared" si="111"/>
        <v>377.58482925212331</v>
      </c>
      <c r="F39" s="2632">
        <f t="shared" si="111"/>
        <v>210.90687997847917</v>
      </c>
      <c r="G39" s="3427">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2591</v>
      </c>
      <c r="B40" s="2632">
        <f t="shared" si="110"/>
        <v>276.29854502841971</v>
      </c>
      <c r="C40" s="2632">
        <f t="shared" si="110"/>
        <v>229.79023709833027</v>
      </c>
      <c r="D40" s="2632">
        <f t="shared" si="98"/>
        <v>229.79023709833027</v>
      </c>
      <c r="E40" s="2632">
        <f t="shared" si="111"/>
        <v>379.78759731655936</v>
      </c>
      <c r="F40" s="2632">
        <f t="shared" si="111"/>
        <v>211.32953905659235</v>
      </c>
      <c r="G40" s="3430">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2592</v>
      </c>
      <c r="B41" s="2624">
        <v>269</v>
      </c>
      <c r="C41" s="2624">
        <v>221</v>
      </c>
      <c r="D41" s="2624">
        <f t="shared" si="98"/>
        <v>221</v>
      </c>
      <c r="E41" s="2624">
        <v>373</v>
      </c>
      <c r="F41" s="2625">
        <v>196</v>
      </c>
      <c r="G41" s="3429">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2593</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27">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2594</v>
      </c>
      <c r="B43" s="2632">
        <f t="shared" si="112"/>
        <v>242.95398227588385</v>
      </c>
      <c r="C43" s="2632">
        <f t="shared" si="112"/>
        <v>199.59137053614126</v>
      </c>
      <c r="D43" s="2632">
        <f t="shared" si="98"/>
        <v>199.59137053614126</v>
      </c>
      <c r="E43" s="2632">
        <f t="shared" si="113"/>
        <v>335.92189522342125</v>
      </c>
      <c r="F43" s="2632">
        <f t="shared" si="113"/>
        <v>183.10139991109489</v>
      </c>
      <c r="G43" s="3427">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2595</v>
      </c>
      <c r="B44" s="2632">
        <f t="shared" si="112"/>
        <v>232.06990378821649</v>
      </c>
      <c r="C44" s="2632">
        <f t="shared" si="112"/>
        <v>192.74878854286936</v>
      </c>
      <c r="D44" s="2632">
        <f t="shared" si="98"/>
        <v>192.74878854286936</v>
      </c>
      <c r="E44" s="2632">
        <f t="shared" si="113"/>
        <v>319.71247284992984</v>
      </c>
      <c r="F44" s="2632">
        <f t="shared" si="113"/>
        <v>175.67053622862409</v>
      </c>
      <c r="G44" s="3430">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2596</v>
      </c>
      <c r="B45" s="2624">
        <v>220</v>
      </c>
      <c r="C45" s="2624">
        <v>187</v>
      </c>
      <c r="D45" s="2624">
        <f t="shared" si="98"/>
        <v>187</v>
      </c>
      <c r="E45" s="2624">
        <v>301</v>
      </c>
      <c r="F45" s="2625">
        <v>168</v>
      </c>
      <c r="G45" s="3429">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2597</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27">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2598</v>
      </c>
      <c r="B47" s="2632">
        <f t="shared" si="114"/>
        <v>210.630522469011</v>
      </c>
      <c r="C47" s="2632">
        <f t="shared" si="114"/>
        <v>181.69567812247232</v>
      </c>
      <c r="D47" s="2632">
        <f t="shared" si="98"/>
        <v>181.69567812247232</v>
      </c>
      <c r="E47" s="2632">
        <f t="shared" si="115"/>
        <v>286.13517466736738</v>
      </c>
      <c r="F47" s="2632">
        <f t="shared" si="115"/>
        <v>165.47535084591149</v>
      </c>
      <c r="G47" s="3427">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2599</v>
      </c>
      <c r="B48" s="2632">
        <f t="shared" si="114"/>
        <v>208.83454537875372</v>
      </c>
      <c r="C48" s="2632">
        <f t="shared" si="114"/>
        <v>183.77230517090351</v>
      </c>
      <c r="D48" s="2632">
        <f t="shared" si="98"/>
        <v>183.77230517090351</v>
      </c>
      <c r="E48" s="2632">
        <f t="shared" si="115"/>
        <v>281.10342338870947</v>
      </c>
      <c r="F48" s="2632">
        <f t="shared" si="115"/>
        <v>168.97309388942256</v>
      </c>
      <c r="G48" s="3430">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2600</v>
      </c>
      <c r="B49" s="2662">
        <v>214</v>
      </c>
      <c r="C49" s="2662">
        <v>188</v>
      </c>
      <c r="D49" s="2662">
        <f t="shared" si="98"/>
        <v>188</v>
      </c>
      <c r="E49" s="2662">
        <v>289</v>
      </c>
      <c r="F49" s="2663">
        <v>166</v>
      </c>
      <c r="G49" s="3429">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2601</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27">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2602</v>
      </c>
      <c r="B51" s="2632">
        <f t="shared" si="116"/>
        <v>206.31694671589116</v>
      </c>
      <c r="C51" s="2632">
        <f t="shared" si="116"/>
        <v>183.61041121036101</v>
      </c>
      <c r="D51" s="2632">
        <f t="shared" si="98"/>
        <v>183.61041121036101</v>
      </c>
      <c r="E51" s="2632">
        <f t="shared" si="117"/>
        <v>276.66850301795557</v>
      </c>
      <c r="F51" s="2632">
        <f t="shared" si="117"/>
        <v>165.1360938278614</v>
      </c>
      <c r="G51" s="3427">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2603</v>
      </c>
      <c r="B52" s="2665">
        <f t="shared" si="116"/>
        <v>196.62341248059772</v>
      </c>
      <c r="C52" s="2665">
        <f t="shared" si="116"/>
        <v>170.99125648199012</v>
      </c>
      <c r="D52" s="2665">
        <f t="shared" si="98"/>
        <v>170.99125648199012</v>
      </c>
      <c r="E52" s="2665">
        <f t="shared" si="117"/>
        <v>266.07857570490052</v>
      </c>
      <c r="F52" s="2665">
        <f t="shared" si="117"/>
        <v>154.53499328828505</v>
      </c>
      <c r="G52" s="3430">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2604</v>
      </c>
      <c r="B53" s="2624">
        <v>188</v>
      </c>
      <c r="C53" s="2624">
        <v>165</v>
      </c>
      <c r="D53" s="2624">
        <f t="shared" si="98"/>
        <v>165</v>
      </c>
      <c r="E53" s="2624">
        <v>254</v>
      </c>
      <c r="F53" s="2625">
        <v>148</v>
      </c>
      <c r="G53" s="3429">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2605</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27">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2606</v>
      </c>
      <c r="B55" s="2632">
        <f t="shared" si="120"/>
        <v>168.82017748715555</v>
      </c>
      <c r="C55" s="2632">
        <f t="shared" si="120"/>
        <v>148.06267029972753</v>
      </c>
      <c r="D55" s="2632">
        <f t="shared" si="98"/>
        <v>148.06267029972753</v>
      </c>
      <c r="E55" s="2632">
        <f t="shared" si="121"/>
        <v>216.46288379323747</v>
      </c>
      <c r="F55" s="2632">
        <f t="shared" si="121"/>
        <v>134.23529411764704</v>
      </c>
      <c r="G55" s="3427">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2607</v>
      </c>
      <c r="B56" s="2632">
        <f t="shared" si="120"/>
        <v>163.84913591779542</v>
      </c>
      <c r="C56" s="2632">
        <f t="shared" si="120"/>
        <v>145.0283378746594</v>
      </c>
      <c r="D56" s="2632">
        <f t="shared" si="98"/>
        <v>145.0283378746594</v>
      </c>
      <c r="E56" s="2632">
        <f t="shared" si="121"/>
        <v>204.95180722891567</v>
      </c>
      <c r="F56" s="2632">
        <f t="shared" si="121"/>
        <v>125.95920303605313</v>
      </c>
      <c r="G56" s="3430">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2608</v>
      </c>
      <c r="B57" s="2646">
        <v>159</v>
      </c>
      <c r="C57" s="2646">
        <v>141</v>
      </c>
      <c r="D57" s="2646">
        <f t="shared" si="98"/>
        <v>141</v>
      </c>
      <c r="E57" s="2646">
        <v>195</v>
      </c>
      <c r="F57" s="2647">
        <v>122</v>
      </c>
      <c r="G57" s="3429">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2609</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27">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2610</v>
      </c>
      <c r="B59" s="2632">
        <f t="shared" si="124"/>
        <v>146.57412060301507</v>
      </c>
      <c r="C59" s="2632">
        <f t="shared" si="124"/>
        <v>136.46831955922866</v>
      </c>
      <c r="D59" s="2632">
        <f t="shared" si="98"/>
        <v>136.46831955922866</v>
      </c>
      <c r="E59" s="2632">
        <f t="shared" si="125"/>
        <v>166.73864894795128</v>
      </c>
      <c r="F59" s="2632">
        <f t="shared" si="125"/>
        <v>115.05882352941177</v>
      </c>
      <c r="G59" s="3427">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2611</v>
      </c>
      <c r="B60" s="2632">
        <f t="shared" si="124"/>
        <v>144.04145728643215</v>
      </c>
      <c r="C60" s="2632">
        <f t="shared" si="124"/>
        <v>136.12396694214877</v>
      </c>
      <c r="D60" s="2632">
        <f t="shared" si="98"/>
        <v>136.12396694214877</v>
      </c>
      <c r="E60" s="2632">
        <f t="shared" si="125"/>
        <v>158.32225913621264</v>
      </c>
      <c r="F60" s="2632">
        <f t="shared" si="125"/>
        <v>114.04278074866311</v>
      </c>
      <c r="G60" s="3430">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2612</v>
      </c>
      <c r="B61" s="2646">
        <v>138</v>
      </c>
      <c r="C61" s="2646">
        <v>131</v>
      </c>
      <c r="D61" s="2646">
        <f t="shared" si="98"/>
        <v>131</v>
      </c>
      <c r="E61" s="2646">
        <v>155</v>
      </c>
      <c r="F61" s="2647">
        <v>114</v>
      </c>
      <c r="G61" s="3429">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2613</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27">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2614</v>
      </c>
      <c r="B63" s="2632">
        <f t="shared" si="128"/>
        <v>124.29032258064517</v>
      </c>
      <c r="C63" s="2632">
        <f t="shared" si="128"/>
        <v>123.8968609865471</v>
      </c>
      <c r="D63" s="2632">
        <f t="shared" si="98"/>
        <v>123.8968609865471</v>
      </c>
      <c r="E63" s="2632">
        <f t="shared" si="129"/>
        <v>138.00507614213197</v>
      </c>
      <c r="F63" s="2632">
        <f t="shared" si="129"/>
        <v>107.96106557377048</v>
      </c>
      <c r="G63" s="3427">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2615</v>
      </c>
      <c r="B64" s="2632">
        <f t="shared" si="128"/>
        <v>122.57204301075269</v>
      </c>
      <c r="C64" s="2632">
        <f t="shared" si="128"/>
        <v>123.4932735426009</v>
      </c>
      <c r="D64" s="2632">
        <f t="shared" si="98"/>
        <v>123.4932735426009</v>
      </c>
      <c r="E64" s="2632">
        <f t="shared" si="129"/>
        <v>129.82233502538071</v>
      </c>
      <c r="F64" s="2632">
        <f t="shared" si="129"/>
        <v>107.39446721311475</v>
      </c>
      <c r="G64" s="3430">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2616</v>
      </c>
      <c r="B65" s="2662">
        <v>121</v>
      </c>
      <c r="C65" s="2662">
        <v>122</v>
      </c>
      <c r="D65" s="2662">
        <f t="shared" si="98"/>
        <v>122</v>
      </c>
      <c r="E65" s="2662">
        <v>124</v>
      </c>
      <c r="F65" s="2663">
        <v>107</v>
      </c>
      <c r="G65" s="3429">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2617</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27">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2618</v>
      </c>
      <c r="B67" s="2632">
        <f t="shared" si="132"/>
        <v>116.99099099099099</v>
      </c>
      <c r="C67" s="2632">
        <f t="shared" si="132"/>
        <v>118.84848484848486</v>
      </c>
      <c r="D67" s="2632">
        <f t="shared" si="98"/>
        <v>118.84848484848486</v>
      </c>
      <c r="E67" s="2632">
        <f t="shared" si="133"/>
        <v>117.60960960960961</v>
      </c>
      <c r="F67" s="2632">
        <f t="shared" si="133"/>
        <v>104</v>
      </c>
      <c r="G67" s="3427">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2619</v>
      </c>
      <c r="B68" s="2665">
        <f t="shared" si="132"/>
        <v>112.48648648648648</v>
      </c>
      <c r="C68" s="2665">
        <f t="shared" si="132"/>
        <v>115.21212121212122</v>
      </c>
      <c r="D68" s="2665">
        <f t="shared" si="98"/>
        <v>115.21212121212122</v>
      </c>
      <c r="E68" s="2665">
        <f t="shared" si="133"/>
        <v>110.4024024024024</v>
      </c>
      <c r="F68" s="2665">
        <f t="shared" si="133"/>
        <v>104</v>
      </c>
      <c r="G68" s="3430">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2620</v>
      </c>
      <c r="B69" s="2683">
        <v>111</v>
      </c>
      <c r="C69" s="2683">
        <v>114</v>
      </c>
      <c r="D69" s="2683">
        <f t="shared" si="98"/>
        <v>114</v>
      </c>
      <c r="E69" s="2683">
        <v>108</v>
      </c>
      <c r="F69" s="2684">
        <v>104</v>
      </c>
      <c r="G69" s="3429">
        <v>2003</v>
      </c>
      <c r="H69" s="2673">
        <v>4</v>
      </c>
      <c r="I69" s="2685"/>
      <c r="J69" s="2685"/>
      <c r="K69" s="2685"/>
      <c r="L69" s="2685"/>
      <c r="N69" s="2686"/>
      <c r="O69" s="2685"/>
      <c r="P69" s="2685"/>
      <c r="Q69" s="2685"/>
      <c r="S69" s="2686"/>
      <c r="T69" s="2685"/>
      <c r="U69" s="2685"/>
      <c r="V69" s="2685"/>
      <c r="X69" s="2677"/>
      <c r="Y69" s="2677"/>
      <c r="Z69" s="2677"/>
    </row>
    <row r="70" spans="1:26">
      <c r="A70" s="2619" t="s">
        <v>2621</v>
      </c>
      <c r="B70" s="2687">
        <f t="shared" ref="B70:C72" si="134">B71+(B$69-B$73)/4</f>
        <v>109.75</v>
      </c>
      <c r="C70" s="2687">
        <f t="shared" si="134"/>
        <v>112.25</v>
      </c>
      <c r="D70" s="2687">
        <f t="shared" si="98"/>
        <v>112.25</v>
      </c>
      <c r="E70" s="2687">
        <f t="shared" ref="E70:F72" si="135">E71+(E$69-E$73)/4</f>
        <v>107.25</v>
      </c>
      <c r="F70" s="2687">
        <f t="shared" si="135"/>
        <v>103.5</v>
      </c>
      <c r="G70" s="3427">
        <v>2003</v>
      </c>
      <c r="H70" s="2643">
        <v>3</v>
      </c>
      <c r="I70" s="2685"/>
      <c r="J70" s="2685"/>
      <c r="K70" s="2685"/>
      <c r="L70" s="2685"/>
      <c r="X70" s="2677"/>
      <c r="Y70" s="2677"/>
      <c r="Z70" s="2677"/>
    </row>
    <row r="71" spans="1:26">
      <c r="A71" s="2619" t="s">
        <v>2622</v>
      </c>
      <c r="B71" s="2687">
        <f t="shared" si="134"/>
        <v>108.5</v>
      </c>
      <c r="C71" s="2687">
        <f t="shared" si="134"/>
        <v>110.5</v>
      </c>
      <c r="D71" s="2687">
        <f t="shared" si="98"/>
        <v>110.5</v>
      </c>
      <c r="E71" s="2687">
        <f t="shared" si="135"/>
        <v>106.5</v>
      </c>
      <c r="F71" s="2687">
        <f t="shared" si="135"/>
        <v>103</v>
      </c>
      <c r="G71" s="3427">
        <v>2003</v>
      </c>
      <c r="H71" s="2623">
        <v>2</v>
      </c>
      <c r="I71" s="2685"/>
      <c r="J71" s="2685"/>
      <c r="K71" s="2685"/>
      <c r="L71" s="2685"/>
      <c r="X71" s="2677"/>
      <c r="Y71" s="2677"/>
      <c r="Z71" s="2677"/>
    </row>
    <row r="72" spans="1:26" ht="13.5" thickBot="1">
      <c r="A72" s="2619" t="s">
        <v>2623</v>
      </c>
      <c r="B72" s="2687">
        <f t="shared" si="134"/>
        <v>107.25</v>
      </c>
      <c r="C72" s="2687">
        <f t="shared" si="134"/>
        <v>108.75</v>
      </c>
      <c r="D72" s="2687">
        <f t="shared" si="98"/>
        <v>108.75</v>
      </c>
      <c r="E72" s="2687">
        <f t="shared" si="135"/>
        <v>105.75</v>
      </c>
      <c r="F72" s="2687">
        <f t="shared" si="135"/>
        <v>102.5</v>
      </c>
      <c r="G72" s="3430">
        <v>2003</v>
      </c>
      <c r="H72" s="2688">
        <v>1</v>
      </c>
      <c r="I72" s="2685"/>
      <c r="J72" s="2685"/>
      <c r="K72" s="2685"/>
      <c r="L72" s="2685"/>
      <c r="S72" s="2627"/>
      <c r="T72" s="2628"/>
      <c r="U72" s="2628"/>
      <c r="X72" s="2677"/>
      <c r="Y72" s="2677"/>
      <c r="Z72" s="2677"/>
    </row>
    <row r="73" spans="1:26" ht="13.5" thickBot="1">
      <c r="A73" s="2619" t="s">
        <v>2624</v>
      </c>
      <c r="B73" s="2689">
        <v>106</v>
      </c>
      <c r="C73" s="2689">
        <v>107</v>
      </c>
      <c r="D73" s="2689">
        <f t="shared" si="98"/>
        <v>107</v>
      </c>
      <c r="E73" s="2689">
        <v>105</v>
      </c>
      <c r="F73" s="2690">
        <v>102</v>
      </c>
      <c r="G73" s="3429">
        <v>2002</v>
      </c>
      <c r="H73" s="2638">
        <v>4</v>
      </c>
      <c r="I73" s="2685"/>
      <c r="J73" s="2685"/>
      <c r="K73" s="2685"/>
      <c r="L73" s="2685"/>
      <c r="N73" s="2686"/>
      <c r="O73" s="2685"/>
      <c r="P73" s="2685"/>
      <c r="Q73" s="2685"/>
      <c r="S73" s="2686"/>
      <c r="T73" s="2685"/>
      <c r="U73" s="2685"/>
      <c r="V73" s="2685"/>
      <c r="X73" s="2677"/>
      <c r="Y73" s="2677"/>
      <c r="Z73" s="2677"/>
    </row>
    <row r="74" spans="1:26">
      <c r="A74" s="2619" t="s">
        <v>2625</v>
      </c>
      <c r="B74" s="2687">
        <f t="shared" ref="B74:C76" si="136">B75+(B$73-B$77)/4</f>
        <v>105</v>
      </c>
      <c r="C74" s="2687">
        <f t="shared" si="136"/>
        <v>106</v>
      </c>
      <c r="D74" s="2687">
        <f t="shared" si="98"/>
        <v>106</v>
      </c>
      <c r="E74" s="2687">
        <f t="shared" ref="E74:F76" si="137">E75+(E$73-E$77)/4</f>
        <v>104.5</v>
      </c>
      <c r="F74" s="2687">
        <f t="shared" si="137"/>
        <v>101.5</v>
      </c>
      <c r="G74" s="3427">
        <v>2002</v>
      </c>
      <c r="H74" s="2643">
        <v>3</v>
      </c>
      <c r="I74" s="2685"/>
      <c r="J74" s="2685"/>
      <c r="K74" s="2685"/>
      <c r="L74" s="2685"/>
      <c r="X74" s="2677"/>
      <c r="Y74" s="2677"/>
      <c r="Z74" s="2677"/>
    </row>
    <row r="75" spans="1:26">
      <c r="A75" s="2619" t="s">
        <v>2626</v>
      </c>
      <c r="B75" s="2687">
        <f t="shared" si="136"/>
        <v>104</v>
      </c>
      <c r="C75" s="2687">
        <f t="shared" si="136"/>
        <v>105</v>
      </c>
      <c r="D75" s="2687">
        <f t="shared" si="98"/>
        <v>105</v>
      </c>
      <c r="E75" s="2687">
        <f t="shared" si="137"/>
        <v>104</v>
      </c>
      <c r="F75" s="2687">
        <f t="shared" si="137"/>
        <v>101</v>
      </c>
      <c r="G75" s="3427">
        <v>2002</v>
      </c>
      <c r="H75" s="2623">
        <v>2</v>
      </c>
      <c r="I75" s="2685"/>
      <c r="J75" s="2685"/>
      <c r="K75" s="2685"/>
      <c r="L75" s="2685"/>
      <c r="X75" s="2677"/>
      <c r="Y75" s="2677"/>
      <c r="Z75" s="2677"/>
    </row>
    <row r="76" spans="1:26" s="2654" customFormat="1" ht="13.5" thickBot="1">
      <c r="A76" s="2650" t="s">
        <v>2627</v>
      </c>
      <c r="B76" s="2691">
        <f t="shared" si="136"/>
        <v>103</v>
      </c>
      <c r="C76" s="2691">
        <f t="shared" si="136"/>
        <v>104</v>
      </c>
      <c r="D76" s="2691">
        <f t="shared" si="98"/>
        <v>104</v>
      </c>
      <c r="E76" s="2691">
        <f t="shared" si="137"/>
        <v>103.5</v>
      </c>
      <c r="F76" s="2691">
        <f t="shared" si="137"/>
        <v>100.5</v>
      </c>
      <c r="G76" s="3430">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2628</v>
      </c>
      <c r="G79" s="2701"/>
      <c r="N79" s="2701"/>
      <c r="S79" s="2701"/>
    </row>
    <row r="80" spans="1:26" s="2700" customFormat="1">
      <c r="A80" s="2700" t="s">
        <v>2629</v>
      </c>
      <c r="G80" s="2701"/>
      <c r="N80" s="2701"/>
      <c r="S80" s="2701"/>
    </row>
    <row r="81" spans="1:22" s="2700" customFormat="1">
      <c r="A81" s="2700" t="s">
        <v>2630</v>
      </c>
      <c r="G81" s="2701"/>
      <c r="I81" s="2702"/>
      <c r="J81" s="2702"/>
      <c r="K81" s="2702"/>
      <c r="L81" s="2702"/>
      <c r="N81" s="2703"/>
      <c r="O81" s="2702"/>
      <c r="P81" s="2702"/>
      <c r="Q81" s="2702"/>
      <c r="S81" s="2703"/>
      <c r="T81" s="2702"/>
      <c r="U81" s="2702"/>
      <c r="V81" s="2702"/>
    </row>
    <row r="82" spans="1:22" s="2700" customFormat="1">
      <c r="A82" s="2700" t="s">
        <v>2631</v>
      </c>
      <c r="G82" s="2701"/>
      <c r="N82" s="2701"/>
      <c r="S82" s="2701"/>
    </row>
    <row r="89" spans="1:22" ht="13.5" thickBot="1"/>
    <row r="90" spans="1:22">
      <c r="G90" s="2626"/>
      <c r="S90" s="2704" t="s">
        <v>2632</v>
      </c>
      <c r="T90" s="2705" t="s">
        <v>2633</v>
      </c>
      <c r="U90" s="2705" t="s">
        <v>2634</v>
      </c>
      <c r="V90" s="2705" t="s">
        <v>2635</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owBreaks count="1" manualBreakCount="1">
    <brk id="52"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D38" sqref="D38"/>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4" t="s">
        <v>2943</v>
      </c>
      <c r="B1" s="3056"/>
      <c r="C1" s="3056"/>
      <c r="D1" s="3056"/>
      <c r="E1" s="3056"/>
      <c r="F1" s="3056"/>
    </row>
    <row r="2" spans="1:6" ht="14.25">
      <c r="A2" s="3057" t="s">
        <v>2938</v>
      </c>
      <c r="B2" s="3058" t="e">
        <f ca="1">SUMIF(B7:B14,"&lt;&gt;#ref!",B7:B14)</f>
        <v>#DIV/0!</v>
      </c>
      <c r="C2" s="3057" t="s">
        <v>2939</v>
      </c>
      <c r="D2" s="3056"/>
      <c r="E2" s="3056"/>
      <c r="F2" s="3056"/>
    </row>
    <row r="3" spans="1:6" ht="14.25">
      <c r="A3" s="3057" t="s">
        <v>2971</v>
      </c>
      <c r="B3" s="3058" t="e">
        <f ca="1">ROUND(B2*10000/E3,0)</f>
        <v>#DIV/0!</v>
      </c>
      <c r="C3" s="3057" t="s">
        <v>2075</v>
      </c>
      <c r="D3" s="3057" t="s">
        <v>2940</v>
      </c>
      <c r="E3" s="3058">
        <f ca="1">SUMIF(E7:E14,"&lt;&gt;#ref!",E7:E14)</f>
        <v>0</v>
      </c>
      <c r="F3" s="3056"/>
    </row>
    <row r="4" spans="1:6" ht="14.25">
      <c r="A4" s="3057" t="s">
        <v>2947</v>
      </c>
      <c r="B4" s="3058" t="e">
        <f ca="1">ROUND(B2*10000/E4,0)</f>
        <v>#DIV/0!</v>
      </c>
      <c r="C4" s="3057" t="s">
        <v>2075</v>
      </c>
      <c r="D4" s="3057" t="s">
        <v>2948</v>
      </c>
      <c r="E4" s="3058">
        <f ca="1">SUMIF(F7:F14,"&lt;&gt;#ref!",F7:F14)</f>
        <v>0</v>
      </c>
      <c r="F4" s="3056"/>
    </row>
    <row r="5" spans="1:6" ht="14.25">
      <c r="A5" s="3059"/>
      <c r="B5" s="1866"/>
      <c r="C5" s="1866"/>
      <c r="D5" s="1866"/>
      <c r="E5" s="1866"/>
      <c r="F5" s="3056"/>
    </row>
    <row r="6" spans="1:6" ht="28.5">
      <c r="A6" s="3060" t="s">
        <v>2944</v>
      </c>
      <c r="B6" s="3057" t="s">
        <v>2941</v>
      </c>
      <c r="C6" s="3058"/>
      <c r="D6" s="1866"/>
      <c r="E6" s="3057" t="s">
        <v>2942</v>
      </c>
      <c r="F6" s="3057" t="s">
        <v>2946</v>
      </c>
    </row>
    <row r="7" spans="1:6" ht="14.25">
      <c r="A7" s="260" t="s">
        <v>2945</v>
      </c>
      <c r="B7" s="3061" t="e">
        <f ca="1">SUMIF(INDIRECT("'"&amp;A7&amp;"'"&amp;"!A:A"),"总价",INDIRECT("'"&amp;A7&amp;"'"&amp;"!B:B"))</f>
        <v>#DIV/0!</v>
      </c>
      <c r="C7" s="3057" t="s">
        <v>2939</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2939</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2939</v>
      </c>
      <c r="D9" s="1866"/>
      <c r="E9" s="3062" t="e">
        <f t="shared" ca="1" si="1"/>
        <v>#REF!</v>
      </c>
      <c r="F9" s="3062" t="e">
        <f t="shared" ca="1" si="2"/>
        <v>#REF!</v>
      </c>
    </row>
    <row r="10" spans="1:6" ht="14.25">
      <c r="A10" s="260"/>
      <c r="B10" s="3061" t="e">
        <f t="shared" ca="1" si="0"/>
        <v>#REF!</v>
      </c>
      <c r="C10" s="3057" t="s">
        <v>2939</v>
      </c>
      <c r="D10" s="1866"/>
      <c r="E10" s="3062" t="e">
        <f t="shared" ca="1" si="1"/>
        <v>#REF!</v>
      </c>
      <c r="F10" s="3062" t="e">
        <f t="shared" ca="1" si="2"/>
        <v>#REF!</v>
      </c>
    </row>
    <row r="11" spans="1:6" ht="14.25">
      <c r="A11" s="260"/>
      <c r="B11" s="3061" t="e">
        <f t="shared" ca="1" si="0"/>
        <v>#REF!</v>
      </c>
      <c r="C11" s="3057" t="s">
        <v>2939</v>
      </c>
      <c r="D11" s="1866"/>
      <c r="E11" s="3062" t="e">
        <f t="shared" ca="1" si="1"/>
        <v>#REF!</v>
      </c>
      <c r="F11" s="3062" t="e">
        <f t="shared" ca="1" si="2"/>
        <v>#REF!</v>
      </c>
    </row>
    <row r="12" spans="1:6" ht="14.25">
      <c r="A12" s="260"/>
      <c r="B12" s="3061" t="e">
        <f t="shared" ca="1" si="0"/>
        <v>#REF!</v>
      </c>
      <c r="C12" s="3057" t="s">
        <v>2939</v>
      </c>
      <c r="D12" s="1866"/>
      <c r="E12" s="3062" t="e">
        <f t="shared" ca="1" si="1"/>
        <v>#REF!</v>
      </c>
      <c r="F12" s="3062" t="e">
        <f t="shared" ca="1" si="2"/>
        <v>#REF!</v>
      </c>
    </row>
    <row r="13" spans="1:6" ht="14.25">
      <c r="A13" s="260"/>
      <c r="B13" s="3061" t="e">
        <f t="shared" ca="1" si="0"/>
        <v>#REF!</v>
      </c>
      <c r="C13" s="3057" t="s">
        <v>2939</v>
      </c>
      <c r="D13" s="1866"/>
      <c r="E13" s="3062" t="e">
        <f t="shared" ca="1" si="1"/>
        <v>#REF!</v>
      </c>
      <c r="F13" s="3062" t="e">
        <f t="shared" ca="1" si="2"/>
        <v>#REF!</v>
      </c>
    </row>
    <row r="14" spans="1:6" ht="14.25">
      <c r="A14" s="3055"/>
      <c r="B14" s="3061" t="e">
        <f t="shared" ca="1" si="0"/>
        <v>#REF!</v>
      </c>
      <c r="C14" s="3057" t="s">
        <v>2939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P26" sqref="P26"/>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875" style="2044" customWidth="1"/>
    <col min="18" max="18" width="22.1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-4</v>
      </c>
      <c r="G1" s="774">
        <f>MATCH(C1,'数据-取费表'!A6:A16,0)+5</f>
        <v>10</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8"/>
      <c r="H7" s="781">
        <v>1</v>
      </c>
      <c r="I7" s="782" t="s">
        <v>2455</v>
      </c>
      <c r="J7" s="53">
        <f ca="1">J8+J12+J14</f>
        <v>0</v>
      </c>
      <c r="K7" s="2460" t="s">
        <v>2458</v>
      </c>
      <c r="L7" s="2454"/>
      <c r="M7" s="2455"/>
    </row>
    <row r="8" spans="1:25" ht="18" customHeight="1">
      <c r="A8" s="1815" t="s">
        <v>1824</v>
      </c>
      <c r="B8" s="3438" t="s">
        <v>2460</v>
      </c>
      <c r="C8" s="1810">
        <f ca="1">ROUND(F8*F10*F9*(1-F11)/10000,0)</f>
        <v>0</v>
      </c>
      <c r="D8" s="1807" t="s">
        <v>2531</v>
      </c>
      <c r="E8" s="61" t="s">
        <v>637</v>
      </c>
      <c r="F8" s="785">
        <f ca="1">INDIRECT("'数据-取费表'!u"&amp;$G$1)</f>
        <v>0</v>
      </c>
      <c r="G8" s="1578"/>
      <c r="H8" s="2468" t="s">
        <v>1824</v>
      </c>
      <c r="I8" s="3438" t="s">
        <v>2460</v>
      </c>
      <c r="J8" s="783">
        <f ca="1">ROUND(M8*M10*M9*(1-M11)/10000,0)</f>
        <v>0</v>
      </c>
      <c r="K8" s="341" t="s">
        <v>2531</v>
      </c>
      <c r="L8" s="784" t="s">
        <v>1738</v>
      </c>
      <c r="M8" s="785">
        <f ca="1">INDIRECT("'数据-取费表'!z"&amp;$G$1)</f>
        <v>0</v>
      </c>
    </row>
    <row r="9" spans="1:25" ht="18" customHeight="1">
      <c r="A9" s="2464"/>
      <c r="B9" s="3439"/>
      <c r="C9" s="1811"/>
      <c r="D9" s="1808"/>
      <c r="E9" s="61" t="s">
        <v>638</v>
      </c>
      <c r="F9" s="785">
        <f ca="1">IF(INDIRECT("'数据-取费表'!ah"&amp;$G$1)="",INDIRECT("'数据-取费表'!k"&amp;$G$1),INDIRECT("'数据-取费表'!ah"&amp;$G$1))</f>
        <v>0</v>
      </c>
      <c r="G9" s="1578"/>
      <c r="H9" s="2453"/>
      <c r="I9" s="3439"/>
      <c r="J9" s="788"/>
      <c r="K9" s="789"/>
      <c r="L9" s="784" t="s">
        <v>1739</v>
      </c>
      <c r="M9" s="785">
        <f ca="1">F9</f>
        <v>0</v>
      </c>
    </row>
    <row r="10" spans="1:25" ht="18" customHeight="1">
      <c r="A10" s="2457"/>
      <c r="B10" s="3440"/>
      <c r="C10" s="1811"/>
      <c r="D10" s="1808"/>
      <c r="E10" s="61" t="s">
        <v>639</v>
      </c>
      <c r="F10" s="785">
        <f ca="1">INDIRECT("'数据-取费表'!ai"&amp;$G$1)</f>
        <v>0</v>
      </c>
      <c r="G10" s="1578"/>
      <c r="H10" s="2453"/>
      <c r="I10" s="3440"/>
      <c r="J10" s="788"/>
      <c r="K10" s="789"/>
      <c r="L10" s="784" t="s">
        <v>1740</v>
      </c>
      <c r="M10" s="785">
        <f ca="1">INDIRECT("'数据-取费表'!ai"&amp;$G$1)</f>
        <v>0</v>
      </c>
    </row>
    <row r="11" spans="1:25" ht="18" customHeight="1">
      <c r="A11" s="786"/>
      <c r="B11" s="3441"/>
      <c r="C11" s="1811"/>
      <c r="D11" s="1808"/>
      <c r="E11" s="61" t="s">
        <v>640</v>
      </c>
      <c r="F11" s="794">
        <f ca="1">INDIRECT("'数据-取费表'!w"&amp;$G$1)</f>
        <v>0</v>
      </c>
      <c r="G11" s="1578"/>
      <c r="H11" s="2469"/>
      <c r="I11" s="3440"/>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2968</v>
      </c>
      <c r="E12" s="2462" t="s">
        <v>2461</v>
      </c>
      <c r="F12" s="2585"/>
      <c r="G12" s="1578"/>
      <c r="H12" s="2525" t="s">
        <v>1825</v>
      </c>
      <c r="I12" s="2530" t="s">
        <v>2456</v>
      </c>
      <c r="J12" s="783">
        <f ca="1">ROUND(IF(M12="押一",J8/12*M13,IF(M12="押二",J8/12*2*M13,IF(M12="押三",J8/12*3*M13,J13*M13))),0)</f>
        <v>0</v>
      </c>
      <c r="K12" s="2465" t="s">
        <v>2968</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2066</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2067</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2066</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2067</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4</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3437"/>
      <c r="J36" s="2064"/>
      <c r="K36" s="2065"/>
      <c r="L36" s="2064"/>
      <c r="M36" s="2064"/>
    </row>
    <row r="37" spans="1:18" ht="18" customHeight="1">
      <c r="A37" s="815"/>
      <c r="B37" s="793"/>
      <c r="C37" s="69"/>
      <c r="D37" s="816"/>
      <c r="E37" s="784" t="s">
        <v>674</v>
      </c>
      <c r="F37" s="785">
        <f ca="1">INDIRECT("'数据-取费表'!r"&amp;$G$1)</f>
        <v>0</v>
      </c>
      <c r="G37" s="2047"/>
      <c r="H37" s="2050"/>
      <c r="I37" s="3437"/>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2956</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8"/>
      <c r="Q47" s="1589"/>
      <c r="R47" s="1578"/>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29.25" thickBot="1">
      <c r="A54" s="2081"/>
      <c r="I54" s="3101" t="s">
        <v>2972</v>
      </c>
      <c r="J54" s="3180">
        <f ca="1">IF(M48="住宅",MAX(J52,L49-'数据-取费表'!B20),MIN(J52,L49-'数据-取费表'!B20))</f>
        <v>-4</v>
      </c>
      <c r="K54" s="3442"/>
      <c r="L54" s="3443"/>
      <c r="O54" s="2365" t="s">
        <v>2385</v>
      </c>
      <c r="P54" s="2363" t="s">
        <v>2386</v>
      </c>
      <c r="Q54" s="2364">
        <f ca="1">J54</f>
        <v>-4</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5" thickBot="1">
      <c r="A56" s="2081"/>
      <c r="B56" s="2082"/>
      <c r="C56" s="2082"/>
      <c r="I56" s="3112" t="s">
        <v>2352</v>
      </c>
      <c r="J56" s="3052" t="e">
        <f ca="1">ROUND(IF(J48="钢混",J58/J51,1-(1-2%)*(J51-J58)/J51),3)</f>
        <v>#VALUE!</v>
      </c>
      <c r="K56" s="3113" t="s">
        <v>2353</v>
      </c>
      <c r="L56" s="2350"/>
      <c r="O56" s="2368" t="s">
        <v>2408</v>
      </c>
      <c r="P56" s="1578"/>
      <c r="Q56" s="1589"/>
      <c r="R56" s="1578"/>
    </row>
    <row r="57" spans="1:18" s="2044" customFormat="1" ht="43.5" thickBot="1">
      <c r="A57" s="2081"/>
      <c r="B57" s="2082"/>
      <c r="C57" s="2082"/>
      <c r="I57" s="3114" t="s">
        <v>2354</v>
      </c>
      <c r="J57" s="3124" t="s">
        <v>1678</v>
      </c>
      <c r="K57" s="3077" t="s">
        <v>2359</v>
      </c>
      <c r="L57" s="1893">
        <f ca="1">IF(L49&lt;J52,"——",L49-J52)</f>
        <v>0</v>
      </c>
      <c r="O57" s="2359" t="s">
        <v>2372</v>
      </c>
      <c r="P57" s="2360" t="s">
        <v>2373</v>
      </c>
      <c r="Q57" s="2361" t="s">
        <v>2374</v>
      </c>
      <c r="R57" s="2360" t="s">
        <v>2375</v>
      </c>
    </row>
    <row r="58" spans="1:18" s="2044" customFormat="1" ht="29.25"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0" t="s">
        <v>2364</v>
      </c>
      <c r="J63" s="3121" t="s">
        <v>2365</v>
      </c>
      <c r="K63" s="3121" t="s">
        <v>2366</v>
      </c>
      <c r="L63" s="3121" t="s">
        <v>2347</v>
      </c>
      <c r="M63" s="3122" t="s">
        <v>2937</v>
      </c>
      <c r="O63" s="2365" t="s">
        <v>2385</v>
      </c>
      <c r="P63" s="2363" t="s">
        <v>2393</v>
      </c>
      <c r="Q63" s="2364">
        <f ca="1">L60</f>
        <v>0</v>
      </c>
      <c r="R63" s="2367" t="s">
        <v>2394</v>
      </c>
    </row>
    <row r="64" spans="1:18" s="2044" customFormat="1" ht="15.75"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5" thickBot="1">
      <c r="A65" s="2081"/>
      <c r="B65" s="2082"/>
      <c r="C65" s="2082"/>
      <c r="I65" s="3120" t="s">
        <v>2368</v>
      </c>
      <c r="J65" s="3121">
        <v>50</v>
      </c>
      <c r="K65" s="3121">
        <v>35</v>
      </c>
      <c r="L65" s="3121">
        <v>60</v>
      </c>
      <c r="M65" s="846">
        <v>0</v>
      </c>
      <c r="O65" s="2368" t="s">
        <v>2412</v>
      </c>
      <c r="P65" s="1578"/>
      <c r="Q65" s="1589"/>
      <c r="R65" s="1578"/>
    </row>
    <row r="66" spans="1:18" s="2044" customFormat="1" ht="15.75"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农村商业银行卢沟桥支行：</v>
      </c>
    </row>
    <row r="4" spans="1:4" ht="56.25">
      <c r="A4" s="1776"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8.75">
      <c r="A5" s="1779" t="s">
        <v>1905</v>
      </c>
    </row>
    <row r="6" spans="1:4" ht="131.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52536.9平方米。根据《国有建设用地使用权出让合同》[电子监管号：1101002019B00120]及附件，估价对象规划建筑面积为162338平方米。</v>
      </c>
    </row>
    <row r="7" spans="1:4" ht="56.25">
      <c r="A7" s="1780" t="s">
        <v>2744</v>
      </c>
    </row>
    <row r="8" spans="1:4" ht="18.75">
      <c r="A8" s="1779" t="s">
        <v>1906</v>
      </c>
    </row>
    <row r="9" spans="1:4" ht="112.5">
      <c r="A9" s="1781"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2019年11月13日（评估专业人员勘察现场之日）</v>
      </c>
    </row>
    <row r="12" spans="1:4" ht="18.75">
      <c r="A12" s="1782" t="s">
        <v>2022</v>
      </c>
    </row>
    <row r="13" spans="1:4" ht="18.75">
      <c r="A13" s="1776" t="s">
        <v>2936</v>
      </c>
    </row>
    <row r="14" spans="1:4" ht="18.75">
      <c r="A14" s="1776" t="str">
        <f>"根据"&amp;项目基本情况!F12&amp;"，本次评估估价对象证载（地类）用途为"&amp;项目基本情况!B12&amp;"。"</f>
        <v>根据《国有土地使用证》[]，本次评估估价对象证载（地类）用途为城镇住宅用地、商务金融用地（商业、办公）。</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2070</v>
      </c>
    </row>
    <row r="20" spans="1:1" ht="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52536.9平方米。根据《国有建设用地使用权出让合同》[电子监管号：1101002019B00120]及附件，估价对象规划建筑面积为162338平方米。</v>
      </c>
    </row>
    <row r="21" spans="1:1" ht="18.75">
      <c r="A21" s="1776" t="s">
        <v>2071</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本次估价对象为出让国有建设用地使用权，《国有土地使用证》[]证载土地终止日期为住宅2089年1月31日、商业2059年1月31日、办公2069年1月31日。截至估价期日，出让国有建设用地使用权剩余土地使用年限为。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8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6" t="s">
        <v>952</v>
      </c>
      <c r="E1" s="2351" t="s">
        <v>2371</v>
      </c>
      <c r="F1" s="2352">
        <f ca="1">J53</f>
        <v>0</v>
      </c>
      <c r="G1" s="774">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2455</v>
      </c>
      <c r="C5" s="55">
        <f ca="1">C6+C10+C12</f>
        <v>0</v>
      </c>
      <c r="D5" s="2460" t="s">
        <v>2458</v>
      </c>
      <c r="E5" s="2454"/>
      <c r="F5" s="2455"/>
      <c r="G5" s="1578"/>
      <c r="H5" s="781">
        <v>1</v>
      </c>
      <c r="I5" s="782" t="s">
        <v>2455</v>
      </c>
      <c r="J5" s="55">
        <f ca="1">J6+J10+J12</f>
        <v>0</v>
      </c>
      <c r="K5" s="2460" t="s">
        <v>2458</v>
      </c>
      <c r="L5" s="2454"/>
      <c r="M5" s="2455"/>
    </row>
    <row r="6" spans="1:33" ht="18" customHeight="1">
      <c r="A6" s="1815" t="s">
        <v>1824</v>
      </c>
      <c r="B6" s="3438" t="s">
        <v>2460</v>
      </c>
      <c r="C6" s="783">
        <f ca="1">ROUND(F6*F8*F7*(1-F9)/10000,0)</f>
        <v>0</v>
      </c>
      <c r="D6" s="2461" t="s">
        <v>2459</v>
      </c>
      <c r="E6" s="784" t="s">
        <v>1738</v>
      </c>
      <c r="F6" s="785">
        <f ca="1">INDIRECT("'数据-取费表'!u"&amp;$G$1)</f>
        <v>0</v>
      </c>
      <c r="G6" s="1578"/>
      <c r="H6" s="2468" t="s">
        <v>2465</v>
      </c>
      <c r="I6" s="3438" t="s">
        <v>2460</v>
      </c>
      <c r="J6" s="783">
        <f ca="1">ROUND(M6*M8*M7*(1-M9)/10000,0)</f>
        <v>0</v>
      </c>
      <c r="K6" s="341" t="s">
        <v>1737</v>
      </c>
      <c r="L6" s="784" t="s">
        <v>1738</v>
      </c>
      <c r="M6" s="785">
        <f ca="1">INDIRECT("'数据-取费表'!z"&amp;$G$1)</f>
        <v>0</v>
      </c>
    </row>
    <row r="7" spans="1:33" ht="18" customHeight="1">
      <c r="A7" s="2464"/>
      <c r="B7" s="3439"/>
      <c r="C7" s="788"/>
      <c r="D7" s="789"/>
      <c r="E7" s="784" t="s">
        <v>1739</v>
      </c>
      <c r="F7" s="785">
        <f ca="1">IF(INDIRECT("'数据-取费表'!ah"&amp;$G$1)="",INDIRECT("'数据-取费表'!k"&amp;$G$1),INDIRECT("'数据-取费表'!ah"&amp;$G$1))</f>
        <v>0</v>
      </c>
      <c r="G7" s="1578"/>
      <c r="H7" s="2453"/>
      <c r="I7" s="3439"/>
      <c r="J7" s="788"/>
      <c r="K7" s="789"/>
      <c r="L7" s="784" t="s">
        <v>1739</v>
      </c>
      <c r="M7" s="785">
        <f ca="1">F7</f>
        <v>0</v>
      </c>
    </row>
    <row r="8" spans="1:33" ht="18" customHeight="1">
      <c r="A8" s="2457"/>
      <c r="B8" s="3440"/>
      <c r="C8" s="788"/>
      <c r="D8" s="789"/>
      <c r="E8" s="784" t="s">
        <v>1740</v>
      </c>
      <c r="F8" s="785">
        <f ca="1">INDIRECT("'数据-取费表'!ai"&amp;$G$1)</f>
        <v>0</v>
      </c>
      <c r="G8" s="1578"/>
      <c r="H8" s="2453"/>
      <c r="I8" s="3440"/>
      <c r="J8" s="788"/>
      <c r="K8" s="789"/>
      <c r="L8" s="784" t="s">
        <v>1740</v>
      </c>
      <c r="M8" s="785">
        <f ca="1">INDIRECT("'数据-取费表'!ai"&amp;$G$1)</f>
        <v>0</v>
      </c>
    </row>
    <row r="9" spans="1:33" ht="18" customHeight="1">
      <c r="A9" s="786"/>
      <c r="B9" s="3441"/>
      <c r="C9" s="788"/>
      <c r="D9" s="789"/>
      <c r="E9" s="784" t="s">
        <v>1741</v>
      </c>
      <c r="F9" s="794">
        <f ca="1">INDIRECT("'数据-取费表'!w"&amp;$G$1)</f>
        <v>0</v>
      </c>
      <c r="G9" s="1578"/>
      <c r="H9" s="2469"/>
      <c r="I9" s="3440"/>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2968</v>
      </c>
      <c r="E10" s="2462" t="s">
        <v>2461</v>
      </c>
      <c r="F10" s="2585"/>
      <c r="G10" s="1578"/>
      <c r="H10" s="2525" t="s">
        <v>2466</v>
      </c>
      <c r="I10" s="2530" t="s">
        <v>2456</v>
      </c>
      <c r="J10" s="783">
        <f ca="1">ROUND(IF(M10="押一",J6/12*M11,IF(M10="押二",J6/12*2*M11,IF(M10="押三",J6/12*3*M11,J11*M11))),0)</f>
        <v>0</v>
      </c>
      <c r="K10" s="2465" t="s">
        <v>2968</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2">
        <f ca="1">ROUND(C29*F13,0)</f>
        <v>0</v>
      </c>
      <c r="D13" s="1819" t="s">
        <v>2294</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2823</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2295</v>
      </c>
      <c r="E21" s="784" t="s">
        <v>1765</v>
      </c>
      <c r="F21" s="809">
        <f>'数据-取费表'!B38</f>
        <v>0.02</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2532</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4</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0</v>
      </c>
      <c r="K25" s="2512" t="s">
        <v>1777</v>
      </c>
      <c r="L25" s="2513"/>
      <c r="M25" s="2514"/>
    </row>
    <row r="26" spans="1:33" ht="18" customHeight="1">
      <c r="A26" s="1633" t="s">
        <v>1831</v>
      </c>
      <c r="B26" s="784" t="s">
        <v>2435</v>
      </c>
      <c r="C26" s="53">
        <f ca="1">ROUND((C19+C20)*F26,0)</f>
        <v>0</v>
      </c>
      <c r="D26" s="812" t="s">
        <v>1778</v>
      </c>
      <c r="E26" s="795" t="s">
        <v>1779</v>
      </c>
      <c r="F26" s="794">
        <f ca="1">INDIRECT("'数据-取费表'!q"&amp;$G$1)</f>
        <v>0</v>
      </c>
      <c r="G26" s="1578"/>
      <c r="H26" s="2466" t="s">
        <v>1780</v>
      </c>
      <c r="I26" s="2217" t="s">
        <v>2824</v>
      </c>
      <c r="J26" s="783">
        <f ca="1">IF(J5&lt;&gt;0,ROUND(J25*(1-((1+M28)/(1+M26))^M27)/(M26-M28),0),0)</f>
        <v>0</v>
      </c>
      <c r="K26" s="814" t="s">
        <v>1781</v>
      </c>
      <c r="L26" s="784" t="s">
        <v>2416</v>
      </c>
      <c r="M26" s="794">
        <f ca="1">INDIRECT("'数据-取费表'!I"&amp;$G$1)</f>
        <v>0</v>
      </c>
    </row>
    <row r="27" spans="1:33" ht="18" customHeight="1">
      <c r="A27" s="1633" t="s">
        <v>1832</v>
      </c>
      <c r="B27" s="784" t="s">
        <v>686</v>
      </c>
      <c r="C27" s="53">
        <f ca="1">ROUND(F21*F26,4)</f>
        <v>0</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2296</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2" t="s">
        <v>2819</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2298</v>
      </c>
      <c r="C40" s="783" t="e">
        <f ca="1">ROUND(C39*(1-((1+F42)/(1+F40))^F41)/(F40-F42),0)</f>
        <v>#DIV/0!</v>
      </c>
      <c r="D40" s="814" t="s">
        <v>1807</v>
      </c>
      <c r="E40" s="784" t="s">
        <v>2416</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2958</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t="e">
        <f ca="1">C67-C40</f>
        <v>#DIV/0!</v>
      </c>
      <c r="D46" s="2070"/>
      <c r="E46" s="2070"/>
      <c r="F46" s="2070"/>
      <c r="I46" s="2342" t="s">
        <v>2340</v>
      </c>
      <c r="J46" s="2343"/>
      <c r="K46" s="2344"/>
      <c r="L46" s="3107" t="e">
        <f ca="1">IF(OR(M47="住宅",D1="土地（套用方法）"),0,IF(L48&gt;J51,L60,J60))</f>
        <v>#DIV/0!</v>
      </c>
      <c r="O46" s="2358" t="s">
        <v>2407</v>
      </c>
      <c r="P46" s="1578"/>
      <c r="Q46" s="1589"/>
      <c r="R46" s="1578"/>
    </row>
    <row r="47" spans="1:18" s="2044" customFormat="1" ht="18" customHeight="1" thickBot="1">
      <c r="A47" s="2336">
        <v>1</v>
      </c>
      <c r="B47" s="2337" t="s">
        <v>635</v>
      </c>
      <c r="C47" s="2538">
        <f ca="1">C48+C52+C54</f>
        <v>0</v>
      </c>
      <c r="D47" s="2070"/>
      <c r="E47" s="2070"/>
      <c r="F47" s="2070"/>
      <c r="I47" s="3098" t="s">
        <v>2341</v>
      </c>
      <c r="J47" s="2345"/>
      <c r="K47" s="3104" t="s">
        <v>2346</v>
      </c>
      <c r="L47" s="3108">
        <f ca="1">INDIRECT("'数据-取费表'!d"&amp;$G$1)</f>
        <v>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3077" t="s">
        <v>2342</v>
      </c>
      <c r="J48" s="2346"/>
      <c r="K48" s="3105" t="s">
        <v>2348</v>
      </c>
      <c r="L48" s="1893">
        <f ca="1">INDIRECT("'数据-取费表'!f"&amp;$G$1)</f>
        <v>0</v>
      </c>
      <c r="O48" s="2362" t="s">
        <v>2376</v>
      </c>
      <c r="P48" s="2363" t="s">
        <v>2402</v>
      </c>
      <c r="Q48" s="2364" t="e">
        <f ca="1">C40+J29</f>
        <v>#DIV/0!</v>
      </c>
      <c r="R48" s="2363" t="s">
        <v>2377</v>
      </c>
    </row>
    <row r="49" spans="1:18" s="2044" customFormat="1" ht="18" customHeight="1" thickBot="1">
      <c r="A49" s="786"/>
      <c r="B49" s="787"/>
      <c r="C49" s="788"/>
      <c r="D49" s="789"/>
      <c r="E49" s="784" t="s">
        <v>1739</v>
      </c>
      <c r="F49" s="785">
        <f ca="1">F7</f>
        <v>0</v>
      </c>
      <c r="G49" s="2075"/>
      <c r="H49" s="2078"/>
      <c r="I49" s="3077" t="s">
        <v>2343</v>
      </c>
      <c r="J49" s="2347"/>
      <c r="K49" s="3106" t="s">
        <v>2349</v>
      </c>
      <c r="L49" s="2348"/>
      <c r="O49" s="2362" t="s">
        <v>2378</v>
      </c>
      <c r="P49" s="2363" t="s">
        <v>2403</v>
      </c>
      <c r="Q49" s="2364" t="e">
        <f ca="1">J60</f>
        <v>#DIV/0!</v>
      </c>
      <c r="R49" s="2363" t="s">
        <v>2379</v>
      </c>
    </row>
    <row r="50" spans="1:18" s="2044" customFormat="1" ht="18" customHeight="1" thickBot="1">
      <c r="A50" s="786"/>
      <c r="B50" s="787"/>
      <c r="C50" s="788"/>
      <c r="D50" s="789"/>
      <c r="E50" s="784" t="s">
        <v>1740</v>
      </c>
      <c r="F50" s="785">
        <f ca="1">F8</f>
        <v>0</v>
      </c>
      <c r="G50" s="2080"/>
      <c r="H50" s="2078"/>
      <c r="I50" s="3077" t="s">
        <v>2344</v>
      </c>
      <c r="J50" s="3102">
        <f>SUMPRODUCT((I63:I65=J47)*(J62:L62=J48)*(J63:L65))</f>
        <v>0</v>
      </c>
      <c r="K50" s="3106" t="s">
        <v>2350</v>
      </c>
      <c r="L50" s="2348"/>
      <c r="O50" s="2365" t="s">
        <v>2380</v>
      </c>
      <c r="P50" s="2363" t="s">
        <v>2404</v>
      </c>
      <c r="Q50" s="2364">
        <f ca="1">C29</f>
        <v>0</v>
      </c>
      <c r="R50" s="2363" t="s">
        <v>2377</v>
      </c>
    </row>
    <row r="51" spans="1:18" s="2044" customFormat="1" ht="18" customHeight="1" thickBot="1">
      <c r="A51" s="786"/>
      <c r="B51" s="787"/>
      <c r="C51" s="788"/>
      <c r="D51" s="789"/>
      <c r="E51" s="784" t="s">
        <v>640</v>
      </c>
      <c r="F51" s="2335"/>
      <c r="H51" s="2078"/>
      <c r="I51" s="3099" t="s">
        <v>2345</v>
      </c>
      <c r="J51" s="3103">
        <f>IF(J49="",J50,J49+J50-YEAR('数据-取费表'!B2))</f>
        <v>0</v>
      </c>
      <c r="K51" s="3077" t="s">
        <v>2351</v>
      </c>
      <c r="L51" s="3109">
        <f ca="1">ROUND(-PV(INDIRECT("'数据-取费表'!h"&amp;$G$1),L48,(C39-C13*J36),0),0)</f>
        <v>0</v>
      </c>
      <c r="O51" s="2365" t="s">
        <v>2381</v>
      </c>
      <c r="P51" s="2363" t="s">
        <v>2382</v>
      </c>
      <c r="Q51" s="2366" t="e">
        <f ca="1">J58</f>
        <v>#DIV/0!</v>
      </c>
      <c r="R51" s="2367"/>
    </row>
    <row r="52" spans="1:18" s="2044" customFormat="1" ht="18" customHeight="1" thickBot="1">
      <c r="A52" s="781" t="s">
        <v>2533</v>
      </c>
      <c r="B52" s="2458" t="s">
        <v>2456</v>
      </c>
      <c r="C52" s="799">
        <f ca="1">ROUND(IF(F52="押一",C48/12*F11,IF(F52="押二",C48/12*2*F11,IF(F52="押三",C48/12*3*F11,C53*F11))),0)</f>
        <v>0</v>
      </c>
      <c r="D52" s="2465" t="s">
        <v>2969</v>
      </c>
      <c r="E52" s="2462" t="s">
        <v>2461</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1" t="s">
        <v>2972</v>
      </c>
      <c r="J53" s="3180">
        <f ca="1">IF(M47="住宅",IF(D1="——",MAX(J51,L48),MAX(J51,L48-'数据-取费表'!B20)),IF(D1="——",MIN(J51,L48),MIN(J51,L48-'数据-取费表'!B20)))</f>
        <v>0</v>
      </c>
      <c r="K53" s="3444" t="s">
        <v>2960</v>
      </c>
      <c r="L53" s="3445"/>
      <c r="O53" s="2365" t="s">
        <v>2385</v>
      </c>
      <c r="P53" s="2363" t="s">
        <v>2386</v>
      </c>
      <c r="Q53" s="2364">
        <f ca="1">J53</f>
        <v>0</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2388</v>
      </c>
      <c r="P54" s="2363" t="s">
        <v>2405</v>
      </c>
      <c r="Q54" s="2364" t="e">
        <f ca="1">Q48+Q49</f>
        <v>#DIV/0!</v>
      </c>
      <c r="R54" s="2367" t="s">
        <v>2389</v>
      </c>
    </row>
    <row r="55" spans="1:18" s="2044"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0"/>
      <c r="O55" s="2368" t="s">
        <v>2408</v>
      </c>
      <c r="P55" s="1578"/>
      <c r="Q55" s="1589"/>
      <c r="R55" s="1578"/>
    </row>
    <row r="56" spans="1:18" s="2044" customFormat="1" ht="42.75" customHeight="1" thickBot="1">
      <c r="A56" s="1635"/>
      <c r="B56" s="2216" t="s">
        <v>2299</v>
      </c>
      <c r="C56" s="53">
        <f ca="1">C29</f>
        <v>0</v>
      </c>
      <c r="D56" s="2603"/>
      <c r="E56" s="784"/>
      <c r="F56" s="809"/>
      <c r="I56" s="3114" t="s">
        <v>2354</v>
      </c>
      <c r="J56" s="3124"/>
      <c r="K56" s="3077" t="s">
        <v>2359</v>
      </c>
      <c r="L56" s="1893">
        <f ca="1">IF(L48&lt;J51,"——",L48-J51)</f>
        <v>0</v>
      </c>
      <c r="O56" s="2359" t="s">
        <v>2372</v>
      </c>
      <c r="P56" s="2360" t="s">
        <v>2373</v>
      </c>
      <c r="Q56" s="2361" t="s">
        <v>2374</v>
      </c>
      <c r="R56" s="2360" t="s">
        <v>2375</v>
      </c>
    </row>
    <row r="57" spans="1:18" s="2044" customFormat="1" ht="28.5" customHeight="1" thickBot="1">
      <c r="A57" s="797" t="s">
        <v>1748</v>
      </c>
      <c r="B57" s="798" t="s">
        <v>651</v>
      </c>
      <c r="C57" s="799">
        <f ca="1">ROUND(C58+C63+C64+C65,0)</f>
        <v>0</v>
      </c>
      <c r="D57" s="26" t="s">
        <v>1750</v>
      </c>
      <c r="E57" s="2604"/>
      <c r="F57" s="56"/>
      <c r="I57" s="3115" t="s">
        <v>2355</v>
      </c>
      <c r="J57" s="3116">
        <f ca="1">IF(OR(M47="住宅",J51&lt;L48,J56="是"),"——",J51-L48)</f>
        <v>0</v>
      </c>
      <c r="K57" s="3077" t="s">
        <v>2360</v>
      </c>
      <c r="L57" s="1893">
        <f ca="1">IF(L48&lt;J51,"——",IF(L55="比较法",L49,IF(L55="基准地价",L50,L51)))</f>
        <v>0</v>
      </c>
      <c r="O57" s="2362" t="s">
        <v>2376</v>
      </c>
      <c r="P57" s="2363" t="s">
        <v>2406</v>
      </c>
      <c r="Q57" s="2364" t="e">
        <f ca="1">C40+J29</f>
        <v>#DIV/0!</v>
      </c>
      <c r="R57" s="2363" t="s">
        <v>2377</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2356</v>
      </c>
      <c r="J58" s="3053" t="e">
        <f ca="1">IF(J55&lt;0.4,0.4,J55)</f>
        <v>#DIV/0!</v>
      </c>
      <c r="K58" s="3077" t="s">
        <v>2361</v>
      </c>
      <c r="L58" s="1893" t="e">
        <f ca="1">ROUND(POWER(1+L52,L47-L48)*(POWER(1+L52,L48)-1)/(POWER(1+L52,L47)-1),4)</f>
        <v>#DIV/0!</v>
      </c>
      <c r="O58" s="2362" t="s">
        <v>2378</v>
      </c>
      <c r="P58" s="2363" t="s">
        <v>2409</v>
      </c>
      <c r="Q58" s="2364" t="e">
        <f ca="1">L60</f>
        <v>#DIV/0!</v>
      </c>
      <c r="R58" s="2367" t="s">
        <v>2411</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7" t="s">
        <v>2358</v>
      </c>
      <c r="J60" s="3118" t="e">
        <f ca="1">IF(OR(M47="住宅",J51&lt;L48,J56="是"),"0",ROUND(J59/(1+J52)^J53,0))</f>
        <v>#DIV/0!</v>
      </c>
      <c r="K60" s="3119" t="s">
        <v>2363</v>
      </c>
      <c r="L60" s="3118" t="e">
        <f ca="1">IF(OR(M47="住宅",L48&lt;J51),0,ROUND(L57*(L58/L59-1),0))</f>
        <v>#DIV/0!</v>
      </c>
      <c r="O60" s="2365" t="s">
        <v>2381</v>
      </c>
      <c r="P60" s="2363" t="s">
        <v>2390</v>
      </c>
      <c r="Q60" s="2366">
        <f>L52</f>
        <v>0</v>
      </c>
      <c r="R60" s="2367"/>
    </row>
    <row r="61" spans="1:18" s="2044" customFormat="1" ht="18" customHeight="1" thickBot="1">
      <c r="A61" s="1636" t="s">
        <v>1833</v>
      </c>
      <c r="B61" s="341" t="s">
        <v>668</v>
      </c>
      <c r="C61" s="54">
        <f ca="1">ROUND(F61*F62/10000,1)</f>
        <v>0</v>
      </c>
      <c r="D61" s="814" t="s">
        <v>669</v>
      </c>
      <c r="E61" s="784" t="s">
        <v>670</v>
      </c>
      <c r="F61" s="640">
        <f t="shared" si="0"/>
        <v>3</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0</v>
      </c>
      <c r="I62" s="3120" t="s">
        <v>2364</v>
      </c>
      <c r="J62" s="3121" t="s">
        <v>2365</v>
      </c>
      <c r="K62" s="3121" t="s">
        <v>2366</v>
      </c>
      <c r="L62" s="3121" t="s">
        <v>2347</v>
      </c>
      <c r="M62" s="3122" t="s">
        <v>2937</v>
      </c>
      <c r="O62" s="2365" t="s">
        <v>2385</v>
      </c>
      <c r="P62" s="2363" t="str">
        <f>K59</f>
        <v>建筑物剩余耐用年限下的土地年期修正系数Kn</v>
      </c>
      <c r="Q62" s="2364" t="e">
        <f ca="1">L59</f>
        <v>#DIV/0!</v>
      </c>
      <c r="R62" s="2367" t="s">
        <v>2394</v>
      </c>
    </row>
    <row r="63" spans="1:18" s="2044" customFormat="1" ht="15.75" thickBot="1">
      <c r="A63" s="1634" t="s">
        <v>1889</v>
      </c>
      <c r="B63" s="784" t="s">
        <v>676</v>
      </c>
      <c r="C63" s="53">
        <f ca="1">ROUND(C56*F63,1)</f>
        <v>0</v>
      </c>
      <c r="D63" s="2603" t="s">
        <v>1803</v>
      </c>
      <c r="E63" s="784" t="s">
        <v>1747</v>
      </c>
      <c r="F63" s="817">
        <f t="shared" ca="1" si="0"/>
        <v>0</v>
      </c>
      <c r="I63" s="3120" t="s">
        <v>2367</v>
      </c>
      <c r="J63" s="3121">
        <v>70</v>
      </c>
      <c r="K63" s="3121">
        <v>50</v>
      </c>
      <c r="L63" s="3121">
        <v>80</v>
      </c>
      <c r="M63" s="3123">
        <v>0.02</v>
      </c>
      <c r="O63" s="2362" t="s">
        <v>2388</v>
      </c>
      <c r="P63" s="2363" t="s">
        <v>2405</v>
      </c>
      <c r="Q63" s="2364" t="e">
        <f ca="1">Q57+Q58</f>
        <v>#DIV/0!</v>
      </c>
      <c r="R63" s="2367" t="s">
        <v>2389</v>
      </c>
    </row>
    <row r="64" spans="1:18" s="2044" customFormat="1" ht="16.5" thickBot="1">
      <c r="A64" s="1634" t="s">
        <v>1890</v>
      </c>
      <c r="B64" s="784" t="s">
        <v>679</v>
      </c>
      <c r="C64" s="53">
        <f ca="1">ROUND(C55*F64,1)</f>
        <v>0</v>
      </c>
      <c r="D64" s="2603" t="s">
        <v>680</v>
      </c>
      <c r="E64" s="784" t="s">
        <v>1747</v>
      </c>
      <c r="F64" s="818">
        <f t="shared" ca="1" si="0"/>
        <v>0</v>
      </c>
      <c r="I64" s="3120" t="s">
        <v>2368</v>
      </c>
      <c r="J64" s="3121">
        <v>50</v>
      </c>
      <c r="K64" s="3121">
        <v>35</v>
      </c>
      <c r="L64" s="3121">
        <v>60</v>
      </c>
      <c r="M64" s="846">
        <v>0</v>
      </c>
      <c r="O64" s="2368" t="s">
        <v>2412</v>
      </c>
      <c r="P64" s="1578"/>
      <c r="Q64" s="1589"/>
      <c r="R64" s="1578"/>
    </row>
    <row r="65" spans="1:18" s="2044" customFormat="1" ht="15.75" thickBot="1">
      <c r="A65" s="1634" t="s">
        <v>1891</v>
      </c>
      <c r="B65" s="784" t="s">
        <v>666</v>
      </c>
      <c r="C65" s="53">
        <f ca="1">ROUND(C47*F65,1)</f>
        <v>0</v>
      </c>
      <c r="D65" s="2603" t="s">
        <v>683</v>
      </c>
      <c r="E65" s="784" t="s">
        <v>1747</v>
      </c>
      <c r="F65" s="794">
        <f t="shared" ca="1" si="0"/>
        <v>0</v>
      </c>
      <c r="I65" s="3120" t="s">
        <v>2369</v>
      </c>
      <c r="J65" s="3121">
        <v>40</v>
      </c>
      <c r="K65" s="3121">
        <v>30</v>
      </c>
      <c r="L65" s="3121">
        <v>50</v>
      </c>
      <c r="M65" s="3123">
        <v>0.02</v>
      </c>
      <c r="O65" s="2359" t="s">
        <v>2372</v>
      </c>
      <c r="P65" s="2360" t="s">
        <v>2373</v>
      </c>
      <c r="Q65" s="2361" t="s">
        <v>2374</v>
      </c>
      <c r="R65" s="2360" t="s">
        <v>2375</v>
      </c>
    </row>
    <row r="66" spans="1:18" s="2044" customFormat="1" ht="24.75" thickBot="1">
      <c r="A66" s="797" t="s">
        <v>1776</v>
      </c>
      <c r="B66" s="2963" t="s">
        <v>2819</v>
      </c>
      <c r="C66" s="799">
        <f ca="1">C47-C57</f>
        <v>0</v>
      </c>
      <c r="D66" s="2602" t="s">
        <v>700</v>
      </c>
      <c r="E66" s="2601"/>
      <c r="F66" s="820"/>
      <c r="K66" s="2071"/>
      <c r="O66" s="2362" t="s">
        <v>2376</v>
      </c>
      <c r="P66" s="2363" t="s">
        <v>2406</v>
      </c>
      <c r="Q66" s="2364" t="e">
        <f ca="1">C40+J29</f>
        <v>#DIV/0!</v>
      </c>
      <c r="R66" s="2363" t="s">
        <v>2377</v>
      </c>
    </row>
    <row r="67" spans="1:18" s="2044" customFormat="1" ht="20.25" thickBot="1">
      <c r="A67" s="781" t="s">
        <v>1780</v>
      </c>
      <c r="B67" s="2217" t="s">
        <v>2298</v>
      </c>
      <c r="C67" s="783" t="e">
        <f ca="1">ROUND(C66*(1-((1+F69)/(1+F67))^F68)/(F67-F69),0)</f>
        <v>#DIV/0!</v>
      </c>
      <c r="D67" s="814" t="s">
        <v>704</v>
      </c>
      <c r="E67" s="784" t="s">
        <v>705</v>
      </c>
      <c r="F67" s="794">
        <f ca="1">F40</f>
        <v>0</v>
      </c>
      <c r="K67" s="2071"/>
      <c r="O67" s="2362" t="s">
        <v>2378</v>
      </c>
      <c r="P67" s="2363" t="s">
        <v>2409</v>
      </c>
      <c r="Q67" s="2364" t="e">
        <f ca="1">L60</f>
        <v>#DIV/0!</v>
      </c>
      <c r="R67" s="2367" t="s">
        <v>2411</v>
      </c>
    </row>
    <row r="68" spans="1:18" ht="21.75" thickBot="1">
      <c r="A68" s="786"/>
      <c r="B68" s="787"/>
      <c r="C68" s="788"/>
      <c r="D68" s="821" t="s">
        <v>1808</v>
      </c>
      <c r="E68" s="784" t="s">
        <v>1784</v>
      </c>
      <c r="F68" s="822">
        <f ca="1">F41</f>
        <v>0</v>
      </c>
      <c r="O68" s="2365" t="s">
        <v>2380</v>
      </c>
      <c r="P68" s="2363" t="s">
        <v>2410</v>
      </c>
      <c r="Q68" s="2369">
        <f ca="1">L51</f>
        <v>0</v>
      </c>
      <c r="R68" s="2370" t="s">
        <v>2413</v>
      </c>
    </row>
    <row r="69" spans="1:18" ht="20.25" thickBot="1">
      <c r="A69" s="790"/>
      <c r="B69" s="791"/>
      <c r="C69" s="792"/>
      <c r="D69" s="816"/>
      <c r="E69" s="784" t="s">
        <v>710</v>
      </c>
      <c r="F69" s="2335"/>
      <c r="O69" s="2365" t="s">
        <v>2381</v>
      </c>
      <c r="P69" s="2371" t="s">
        <v>2395</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2396</v>
      </c>
      <c r="P70" s="2371" t="s">
        <v>2397</v>
      </c>
      <c r="Q70" s="2364">
        <f ca="1">C39</f>
        <v>0</v>
      </c>
      <c r="R70" s="2363" t="s">
        <v>2377</v>
      </c>
    </row>
    <row r="71" spans="1:18" ht="15.75" thickBot="1">
      <c r="O71" s="2365" t="s">
        <v>2398</v>
      </c>
      <c r="P71" s="2371" t="s">
        <v>2399</v>
      </c>
      <c r="Q71" s="2364">
        <f ca="1">C13</f>
        <v>0</v>
      </c>
      <c r="R71" s="2363" t="s">
        <v>2377</v>
      </c>
    </row>
    <row r="72" spans="1:18" ht="15.75" thickBot="1">
      <c r="O72" s="2365" t="s">
        <v>2400</v>
      </c>
      <c r="P72" s="2371" t="s">
        <v>2401</v>
      </c>
      <c r="Q72" s="2366">
        <f ca="1">J36</f>
        <v>0</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t="e">
        <f ca="1">Q66+Q67</f>
        <v>#DIV/0!</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46" t="s">
        <v>2468</v>
      </c>
      <c r="B1" s="3447"/>
      <c r="C1" s="3448"/>
      <c r="D1" s="3449">
        <f>SUM(I10,I15,I20,I21,I23)</f>
        <v>0</v>
      </c>
      <c r="E1" s="3449"/>
      <c r="F1" s="3449"/>
      <c r="G1" s="3449"/>
      <c r="H1" s="3449"/>
      <c r="I1" s="3450"/>
    </row>
    <row r="2" spans="1:9">
      <c r="A2" s="3451" t="s">
        <v>2469</v>
      </c>
      <c r="B2" s="3452" t="s">
        <v>2470</v>
      </c>
      <c r="C2" s="3452"/>
      <c r="D2" s="2471" t="s">
        <v>2471</v>
      </c>
      <c r="E2" s="2471" t="s">
        <v>2472</v>
      </c>
      <c r="F2" s="2471" t="s">
        <v>2473</v>
      </c>
      <c r="G2" s="2471" t="s">
        <v>2474</v>
      </c>
      <c r="H2" s="2471" t="s">
        <v>2475</v>
      </c>
      <c r="I2" s="2472" t="s">
        <v>2476</v>
      </c>
    </row>
    <row r="3" spans="1:9">
      <c r="A3" s="3451"/>
      <c r="B3" s="3452" t="s">
        <v>2477</v>
      </c>
      <c r="C3" s="3452"/>
      <c r="D3" s="2473"/>
      <c r="E3" s="2471"/>
      <c r="F3" s="2474"/>
      <c r="G3" s="2474"/>
      <c r="H3" s="2475"/>
      <c r="I3" s="2476">
        <f>ROUND(D3*E3*F3*G3*H3/10000,0)</f>
        <v>0</v>
      </c>
    </row>
    <row r="4" spans="1:9">
      <c r="A4" s="3451"/>
      <c r="B4" s="3452" t="s">
        <v>2478</v>
      </c>
      <c r="C4" s="3452"/>
      <c r="D4" s="2473"/>
      <c r="E4" s="2471"/>
      <c r="F4" s="2474"/>
      <c r="G4" s="2474"/>
      <c r="H4" s="2475"/>
      <c r="I4" s="2476">
        <f t="shared" ref="I4:I9" si="0">ROUND(D4*E4*F4*G4*H4/10000,0)</f>
        <v>0</v>
      </c>
    </row>
    <row r="5" spans="1:9">
      <c r="A5" s="3451"/>
      <c r="B5" s="3452" t="s">
        <v>2479</v>
      </c>
      <c r="C5" s="3452"/>
      <c r="D5" s="2473"/>
      <c r="E5" s="2471"/>
      <c r="F5" s="2474"/>
      <c r="G5" s="2474"/>
      <c r="H5" s="2475"/>
      <c r="I5" s="2476">
        <f t="shared" si="0"/>
        <v>0</v>
      </c>
    </row>
    <row r="6" spans="1:9">
      <c r="A6" s="3451"/>
      <c r="B6" s="3452" t="s">
        <v>2480</v>
      </c>
      <c r="C6" s="3452"/>
      <c r="D6" s="2473"/>
      <c r="E6" s="2471"/>
      <c r="F6" s="2474"/>
      <c r="G6" s="2474"/>
      <c r="H6" s="2475"/>
      <c r="I6" s="2476">
        <f t="shared" si="0"/>
        <v>0</v>
      </c>
    </row>
    <row r="7" spans="1:9">
      <c r="A7" s="3451"/>
      <c r="B7" s="3452" t="s">
        <v>2481</v>
      </c>
      <c r="C7" s="3452"/>
      <c r="D7" s="2473"/>
      <c r="E7" s="2471"/>
      <c r="F7" s="2474"/>
      <c r="G7" s="2474"/>
      <c r="H7" s="2475"/>
      <c r="I7" s="2476">
        <f t="shared" si="0"/>
        <v>0</v>
      </c>
    </row>
    <row r="8" spans="1:9">
      <c r="A8" s="3451"/>
      <c r="B8" s="3452" t="s">
        <v>2482</v>
      </c>
      <c r="C8" s="3452"/>
      <c r="D8" s="2473"/>
      <c r="E8" s="2471"/>
      <c r="F8" s="2474"/>
      <c r="G8" s="2474"/>
      <c r="H8" s="2475"/>
      <c r="I8" s="2476">
        <f t="shared" si="0"/>
        <v>0</v>
      </c>
    </row>
    <row r="9" spans="1:9">
      <c r="A9" s="3451"/>
      <c r="B9" s="3452" t="s">
        <v>2483</v>
      </c>
      <c r="C9" s="3452"/>
      <c r="D9" s="2473"/>
      <c r="E9" s="2471"/>
      <c r="F9" s="2474"/>
      <c r="G9" s="2474"/>
      <c r="H9" s="2475"/>
      <c r="I9" s="2476">
        <f t="shared" si="0"/>
        <v>0</v>
      </c>
    </row>
    <row r="10" spans="1:9">
      <c r="A10" s="3451"/>
      <c r="B10" s="3453" t="s">
        <v>2484</v>
      </c>
      <c r="C10" s="3453"/>
      <c r="D10" s="2477">
        <v>527</v>
      </c>
      <c r="E10" s="2477" t="e">
        <f>ROUND(D1*10000/D10/H9,0)</f>
        <v>#DIV/0!</v>
      </c>
      <c r="F10" s="2478"/>
      <c r="G10" s="2478"/>
      <c r="H10" s="2479"/>
      <c r="I10" s="2480">
        <f>SUM(I3:I9)</f>
        <v>0</v>
      </c>
    </row>
    <row r="11" spans="1:9" ht="14.25">
      <c r="A11" s="3451" t="s">
        <v>2485</v>
      </c>
      <c r="B11" s="3452" t="s">
        <v>2486</v>
      </c>
      <c r="C11" s="3452"/>
      <c r="D11" s="2473" t="s">
        <v>2487</v>
      </c>
      <c r="E11" s="2473" t="s">
        <v>2488</v>
      </c>
      <c r="F11" s="2474" t="s">
        <v>2489</v>
      </c>
      <c r="G11" s="2474" t="s">
        <v>2490</v>
      </c>
      <c r="H11" s="2481" t="s">
        <v>2491</v>
      </c>
      <c r="I11" s="2472" t="s">
        <v>2492</v>
      </c>
    </row>
    <row r="12" spans="1:9">
      <c r="A12" s="3451"/>
      <c r="B12" s="3452" t="s">
        <v>2493</v>
      </c>
      <c r="C12" s="3452"/>
      <c r="D12" s="2473"/>
      <c r="E12" s="2473"/>
      <c r="F12" s="2474"/>
      <c r="G12" s="2475"/>
      <c r="H12" s="2482"/>
      <c r="I12" s="2472">
        <f>ROUND(D12*E12*F12*G12/10000,0)</f>
        <v>0</v>
      </c>
    </row>
    <row r="13" spans="1:9">
      <c r="A13" s="3451"/>
      <c r="B13" s="3452" t="s">
        <v>2494</v>
      </c>
      <c r="C13" s="3452"/>
      <c r="D13" s="2473"/>
      <c r="E13" s="2473"/>
      <c r="F13" s="2474"/>
      <c r="G13" s="2475"/>
      <c r="H13" s="2482"/>
      <c r="I13" s="2472">
        <f>ROUND(D13*E13*F13*G13/10000,0)</f>
        <v>0</v>
      </c>
    </row>
    <row r="14" spans="1:9">
      <c r="A14" s="3451"/>
      <c r="B14" s="3452" t="s">
        <v>2495</v>
      </c>
      <c r="C14" s="3452"/>
      <c r="D14" s="2473"/>
      <c r="E14" s="2473"/>
      <c r="F14" s="2474"/>
      <c r="G14" s="2475"/>
      <c r="H14" s="2482"/>
      <c r="I14" s="2472">
        <f>ROUND(D14*E14*F14*G14/10000,0)</f>
        <v>0</v>
      </c>
    </row>
    <row r="15" spans="1:9">
      <c r="A15" s="3451"/>
      <c r="B15" s="3453" t="s">
        <v>2484</v>
      </c>
      <c r="C15" s="3453"/>
      <c r="D15" s="2477"/>
      <c r="E15" s="2477">
        <f>SUM(E12:E14)</f>
        <v>0</v>
      </c>
      <c r="F15" s="2478"/>
      <c r="G15" s="2475"/>
      <c r="H15" s="2482"/>
      <c r="I15" s="2483">
        <f>SUM(I12:I14)</f>
        <v>0</v>
      </c>
    </row>
    <row r="16" spans="1:9" ht="24">
      <c r="A16" s="3451" t="s">
        <v>2496</v>
      </c>
      <c r="B16" s="3452" t="s">
        <v>2497</v>
      </c>
      <c r="C16" s="3452"/>
      <c r="D16" s="2473" t="s">
        <v>2498</v>
      </c>
      <c r="E16" s="2484" t="s">
        <v>2499</v>
      </c>
      <c r="F16" s="2474" t="s">
        <v>2500</v>
      </c>
      <c r="G16" s="2475" t="s">
        <v>2490</v>
      </c>
      <c r="H16" s="2481" t="s">
        <v>2491</v>
      </c>
      <c r="I16" s="2472" t="s">
        <v>2492</v>
      </c>
    </row>
    <row r="17" spans="1:9" ht="14.25">
      <c r="A17" s="3451"/>
      <c r="B17" s="3452" t="s">
        <v>2501</v>
      </c>
      <c r="C17" s="3452"/>
      <c r="D17" s="2473"/>
      <c r="E17" s="2473"/>
      <c r="F17" s="2474"/>
      <c r="G17" s="2475"/>
      <c r="H17" s="2485"/>
      <c r="I17" s="2486">
        <f>ROUND(D17*E17*F17*G17/10000,0)</f>
        <v>0</v>
      </c>
    </row>
    <row r="18" spans="1:9" ht="14.25">
      <c r="A18" s="3451"/>
      <c r="B18" s="3452" t="s">
        <v>2502</v>
      </c>
      <c r="C18" s="3452"/>
      <c r="D18" s="2473"/>
      <c r="E18" s="2473"/>
      <c r="F18" s="2474"/>
      <c r="G18" s="2475"/>
      <c r="H18" s="2485"/>
      <c r="I18" s="2486">
        <f>ROUND(D18*E18*F18*G18/10000,0)</f>
        <v>0</v>
      </c>
    </row>
    <row r="19" spans="1:9" ht="14.25">
      <c r="A19" s="3451"/>
      <c r="B19" s="3452" t="s">
        <v>2503</v>
      </c>
      <c r="C19" s="3452"/>
      <c r="D19" s="2473"/>
      <c r="E19" s="2473"/>
      <c r="F19" s="2474"/>
      <c r="G19" s="2475"/>
      <c r="H19" s="2485"/>
      <c r="I19" s="2486">
        <f>ROUND(D19*E19*F19*G19/10000,0)</f>
        <v>0</v>
      </c>
    </row>
    <row r="20" spans="1:9">
      <c r="A20" s="3451"/>
      <c r="B20" s="3453" t="s">
        <v>2484</v>
      </c>
      <c r="C20" s="3453"/>
      <c r="D20" s="2477">
        <f>SUM(D17:D19)</f>
        <v>0</v>
      </c>
      <c r="E20" s="2477"/>
      <c r="F20" s="2478"/>
      <c r="G20" s="2475"/>
      <c r="H20" s="2482"/>
      <c r="I20" s="2483">
        <f>SUM(I17:I19)</f>
        <v>0</v>
      </c>
    </row>
    <row r="21" spans="1:9">
      <c r="A21" s="3451" t="s">
        <v>2504</v>
      </c>
      <c r="B21" s="3455"/>
      <c r="C21" s="3455"/>
      <c r="D21" s="3455"/>
      <c r="E21" s="3455"/>
      <c r="F21" s="3455"/>
      <c r="G21" s="3455"/>
      <c r="H21" s="2487">
        <v>0.1</v>
      </c>
      <c r="I21" s="2480">
        <f>ROUND(I10*H21,0)</f>
        <v>0</v>
      </c>
    </row>
    <row r="22" spans="1:9" ht="14.25">
      <c r="A22" s="3456" t="s">
        <v>2505</v>
      </c>
      <c r="B22" s="3457"/>
      <c r="C22" s="3458"/>
      <c r="D22" s="2488" t="s">
        <v>2506</v>
      </c>
      <c r="E22" s="2488" t="s">
        <v>2507</v>
      </c>
      <c r="F22" s="2489" t="s">
        <v>2508</v>
      </c>
      <c r="G22" s="2489" t="s">
        <v>2509</v>
      </c>
      <c r="H22" s="2481" t="s">
        <v>2510</v>
      </c>
      <c r="I22" s="2472" t="s">
        <v>2511</v>
      </c>
    </row>
    <row r="23" spans="1:9" ht="14.25" thickBot="1">
      <c r="A23" s="3459"/>
      <c r="B23" s="3460"/>
      <c r="C23" s="3461"/>
      <c r="D23" s="2490"/>
      <c r="E23" s="2490"/>
      <c r="F23" s="2490"/>
      <c r="G23" s="2491"/>
      <c r="H23" s="2492"/>
      <c r="I23" s="2493">
        <f>ROUND(E23*D23*F23*(1-G23)/10000,0)</f>
        <v>0</v>
      </c>
    </row>
    <row r="26" spans="1:9">
      <c r="A26" s="2494" t="s">
        <v>2512</v>
      </c>
      <c r="B26" s="2494"/>
      <c r="C26" s="2494"/>
      <c r="D26" s="2494"/>
      <c r="E26" s="3462">
        <f>C27-C30-C31-C32</f>
        <v>0</v>
      </c>
      <c r="F26" s="3462"/>
      <c r="G26" s="3462"/>
      <c r="H26" s="2995" t="s">
        <v>2840</v>
      </c>
    </row>
    <row r="27" spans="1:9">
      <c r="A27" s="2495">
        <v>1</v>
      </c>
      <c r="B27" s="2496" t="s">
        <v>2513</v>
      </c>
      <c r="C27" s="2496"/>
      <c r="D27" s="2496"/>
      <c r="E27" s="3463"/>
      <c r="F27" s="3463"/>
      <c r="G27" s="3463"/>
    </row>
    <row r="28" spans="1:9">
      <c r="A28" s="2497" t="s">
        <v>2514</v>
      </c>
      <c r="B28" s="2496" t="s">
        <v>2515</v>
      </c>
      <c r="C28" s="2496"/>
      <c r="D28" s="2496"/>
      <c r="E28" s="3463"/>
      <c r="F28" s="3463"/>
      <c r="G28" s="3463"/>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54"/>
      <c r="F32" s="3454"/>
      <c r="G32" s="3454"/>
    </row>
    <row r="33" spans="1:7" hidden="1">
      <c r="A33" s="3464" t="s">
        <v>2523</v>
      </c>
      <c r="B33" s="3465"/>
      <c r="C33" s="3465"/>
      <c r="D33" s="3466"/>
      <c r="E33" s="3462"/>
      <c r="F33" s="3462"/>
      <c r="G33" s="3462"/>
    </row>
    <row r="34" spans="1:7" hidden="1">
      <c r="A34" s="2499">
        <v>1</v>
      </c>
      <c r="B34" s="2496" t="s">
        <v>2524</v>
      </c>
      <c r="C34" s="2496"/>
      <c r="D34" s="2496"/>
      <c r="E34" s="3463"/>
      <c r="F34" s="3463"/>
      <c r="G34" s="3463"/>
    </row>
    <row r="35" spans="1:7" hidden="1">
      <c r="A35" s="2499">
        <v>2</v>
      </c>
      <c r="B35" s="2496" t="s">
        <v>2525</v>
      </c>
      <c r="C35" s="2496"/>
      <c r="D35" s="2496"/>
      <c r="E35" s="3463"/>
      <c r="F35" s="3463"/>
      <c r="G35" s="3463"/>
    </row>
    <row r="36" spans="1:7" hidden="1">
      <c r="A36" s="2499">
        <v>3</v>
      </c>
      <c r="B36" s="2496" t="s">
        <v>2526</v>
      </c>
      <c r="C36" s="2496"/>
      <c r="D36" s="2496"/>
      <c r="E36" s="3463"/>
      <c r="F36" s="3463"/>
      <c r="G36" s="3463"/>
    </row>
    <row r="37" spans="1:7" hidden="1">
      <c r="A37" s="2499">
        <v>4</v>
      </c>
      <c r="B37" s="2496" t="s">
        <v>2527</v>
      </c>
      <c r="C37" s="2496"/>
      <c r="D37" s="2496"/>
      <c r="E37" s="3463"/>
      <c r="F37" s="3463"/>
      <c r="G37" s="3463"/>
    </row>
    <row r="38" spans="1:7" hidden="1">
      <c r="A38" s="3464" t="s">
        <v>2528</v>
      </c>
      <c r="B38" s="3465"/>
      <c r="C38" s="3465"/>
      <c r="D38" s="3466"/>
      <c r="E38" s="3462"/>
      <c r="F38" s="3462"/>
      <c r="G38" s="34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2872</v>
      </c>
      <c r="C2" s="2093"/>
      <c r="D2" s="2093"/>
      <c r="E2" s="2093"/>
      <c r="F2" s="2093"/>
      <c r="G2" s="2093"/>
    </row>
    <row r="3" spans="1:25" s="2044" customFormat="1" ht="18" customHeight="1">
      <c r="A3" s="1375" t="s">
        <v>1685</v>
      </c>
      <c r="B3" s="425">
        <f ca="1">ROUND(B2*10000/'数据-汇总表'!E3,0)</f>
        <v>177</v>
      </c>
      <c r="C3" s="2093"/>
      <c r="D3" s="2093"/>
      <c r="E3" s="2093"/>
      <c r="F3" s="2093"/>
      <c r="G3" s="2093"/>
    </row>
    <row r="4" spans="1:25" s="2044" customFormat="1" ht="18" customHeight="1">
      <c r="A4" s="426" t="s">
        <v>468</v>
      </c>
      <c r="B4" s="427">
        <f ca="1">ROUND(B2*10000/'数据-汇总表'!D3,0)</f>
        <v>547</v>
      </c>
      <c r="C4" s="2046"/>
      <c r="D4" s="2093"/>
      <c r="E4" s="2093"/>
      <c r="F4" s="2093"/>
      <c r="G4" s="2093"/>
    </row>
    <row r="5" spans="1:25" s="2044" customFormat="1" ht="18" customHeight="1" thickBot="1">
      <c r="A5" s="429"/>
      <c r="B5" s="430">
        <f ca="1">ROUND(B2/('数据-汇总表'!D3/666.67),0)</f>
        <v>36</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2785</v>
      </c>
      <c r="D10" s="760">
        <f>'数据-汇总表'!E3</f>
        <v>162338</v>
      </c>
      <c r="E10" s="749">
        <f>'数据-取费表'!B31</f>
        <v>50</v>
      </c>
      <c r="F10" s="761"/>
      <c r="G10" s="759" t="s">
        <v>614</v>
      </c>
    </row>
    <row r="11" spans="1:25" s="2168" customFormat="1" ht="13.5" customHeight="1">
      <c r="A11" s="2433" t="s">
        <v>2437</v>
      </c>
      <c r="B11" s="752" t="s">
        <v>610</v>
      </c>
      <c r="C11" s="753">
        <f>'数据-取费表'!B29</f>
        <v>2785</v>
      </c>
      <c r="D11" s="754"/>
      <c r="E11" s="753"/>
      <c r="F11" s="755"/>
      <c r="G11" s="2442" t="s">
        <v>2448</v>
      </c>
    </row>
    <row r="12" spans="1:25" s="2168" customFormat="1" ht="13.5" customHeight="1">
      <c r="A12" s="2440" t="s">
        <v>2445</v>
      </c>
      <c r="B12" s="756" t="s">
        <v>611</v>
      </c>
      <c r="C12" s="757">
        <f>ROUND(D12*E12/10000,0)</f>
        <v>1632</v>
      </c>
      <c r="D12" s="758">
        <f>'数据-汇总表'!E5</f>
        <v>101997</v>
      </c>
      <c r="E12" s="757">
        <f>'数据-取费表'!B27</f>
        <v>160</v>
      </c>
      <c r="F12" s="755"/>
      <c r="G12" s="759"/>
    </row>
    <row r="13" spans="1:25" s="2168" customFormat="1" ht="13.5" customHeight="1">
      <c r="A13" s="2440" t="s">
        <v>2444</v>
      </c>
      <c r="B13" s="756" t="s">
        <v>612</v>
      </c>
      <c r="C13" s="757">
        <f>ROUND(D13*E13/10000,0)</f>
        <v>1207</v>
      </c>
      <c r="D13" s="758">
        <f>'数据-汇总表'!E6</f>
        <v>60341</v>
      </c>
      <c r="E13" s="757">
        <f>'数据-取费表'!B28</f>
        <v>200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306</v>
      </c>
      <c r="D18" s="762"/>
      <c r="E18" s="763"/>
      <c r="F18" s="761">
        <f>'数据-取费表'!Q16</f>
        <v>0.11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3091</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3091</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2872</v>
      </c>
      <c r="D22" s="760"/>
      <c r="E22" s="749"/>
      <c r="F22" s="766">
        <f>'数据-取费表'!AP16</f>
        <v>0.92900000000000005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2872</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I47" sqref="I47"/>
    </sheetView>
  </sheetViews>
  <sheetFormatPr defaultColWidth="9" defaultRowHeight="14.25"/>
  <cols>
    <col min="1" max="1" width="10.5" style="1333" customWidth="1"/>
    <col min="2" max="2" width="15.87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57" t="s">
        <v>522</v>
      </c>
      <c r="D4" s="3358"/>
      <c r="E4" s="3391" t="s">
        <v>523</v>
      </c>
      <c r="F4" s="3392"/>
      <c r="G4" s="3357" t="s">
        <v>524</v>
      </c>
      <c r="H4" s="3358"/>
      <c r="I4" s="3357" t="s">
        <v>525</v>
      </c>
      <c r="J4" s="3358"/>
      <c r="K4" s="853" t="s">
        <v>526</v>
      </c>
      <c r="L4" s="2118"/>
      <c r="M4" s="2119"/>
      <c r="N4" s="2119"/>
      <c r="O4" s="2119"/>
      <c r="P4" s="3359" t="s">
        <v>527</v>
      </c>
      <c r="Q4" s="3360"/>
      <c r="R4" s="3365" t="s">
        <v>523</v>
      </c>
      <c r="S4" s="3366"/>
      <c r="T4" s="3365" t="s">
        <v>524</v>
      </c>
      <c r="U4" s="3366"/>
      <c r="V4" s="3352" t="s">
        <v>525</v>
      </c>
      <c r="W4" s="3352"/>
      <c r="X4" s="1553"/>
      <c r="Y4" s="3365" t="s">
        <v>527</v>
      </c>
      <c r="Z4" s="3366"/>
      <c r="AA4" s="3354" t="s">
        <v>523</v>
      </c>
      <c r="AB4" s="3354" t="s">
        <v>524</v>
      </c>
      <c r="AC4" s="3354" t="s">
        <v>525</v>
      </c>
    </row>
    <row r="5" spans="1:29" ht="15">
      <c r="A5" s="515"/>
      <c r="B5" s="516"/>
      <c r="C5" s="3373" t="s">
        <v>2924</v>
      </c>
      <c r="D5" s="3374"/>
      <c r="E5" s="3393" t="s">
        <v>2925</v>
      </c>
      <c r="F5" s="3394"/>
      <c r="G5" s="3373" t="s">
        <v>2926</v>
      </c>
      <c r="H5" s="3374"/>
      <c r="I5" s="3373" t="s">
        <v>2927</v>
      </c>
      <c r="J5" s="3374"/>
      <c r="K5" s="854"/>
      <c r="L5" s="2118"/>
      <c r="M5" s="2119"/>
      <c r="N5" s="2119"/>
      <c r="O5" s="2119"/>
      <c r="P5" s="3361"/>
      <c r="Q5" s="3362"/>
      <c r="R5" s="3367"/>
      <c r="S5" s="3368"/>
      <c r="T5" s="3367"/>
      <c r="U5" s="3368"/>
      <c r="V5" s="3352"/>
      <c r="W5" s="3352"/>
      <c r="X5" s="1553"/>
      <c r="Y5" s="3367"/>
      <c r="Z5" s="3368"/>
      <c r="AA5" s="3355"/>
      <c r="AB5" s="3355"/>
      <c r="AC5" s="3355"/>
    </row>
    <row r="6" spans="1:29" ht="15.75" thickBot="1">
      <c r="A6" s="517"/>
      <c r="B6" s="518"/>
      <c r="C6" s="3371" t="s">
        <v>2928</v>
      </c>
      <c r="D6" s="3372"/>
      <c r="E6" s="3389" t="s">
        <v>2928</v>
      </c>
      <c r="F6" s="3390"/>
      <c r="G6" s="3371" t="s">
        <v>2928</v>
      </c>
      <c r="H6" s="3372"/>
      <c r="I6" s="3371" t="s">
        <v>2928</v>
      </c>
      <c r="J6" s="3372"/>
      <c r="K6" s="854" t="s">
        <v>528</v>
      </c>
      <c r="L6" s="2118"/>
      <c r="M6" s="2119"/>
      <c r="N6" s="2119"/>
      <c r="O6" s="2119"/>
      <c r="P6" s="3363"/>
      <c r="Q6" s="3364"/>
      <c r="R6" s="3367"/>
      <c r="S6" s="3368"/>
      <c r="T6" s="3369"/>
      <c r="U6" s="3370"/>
      <c r="V6" s="3352"/>
      <c r="W6" s="3352"/>
      <c r="X6" s="1553"/>
      <c r="Y6" s="3369"/>
      <c r="Z6" s="3370"/>
      <c r="AA6" s="3356"/>
      <c r="AB6" s="3356"/>
      <c r="AC6" s="3356"/>
    </row>
    <row r="7" spans="1:29" s="1216" customFormat="1" ht="15.75" thickBot="1">
      <c r="A7" s="2867"/>
      <c r="B7" s="2874" t="s">
        <v>529</v>
      </c>
      <c r="C7" s="519">
        <f>'数据-取费表'!B2</f>
        <v>43782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82" t="s">
        <v>530</v>
      </c>
      <c r="Q7" s="3384"/>
      <c r="R7" s="1554" t="s">
        <v>13</v>
      </c>
      <c r="S7" s="1555">
        <f t="shared" ref="S7:S15" si="0">F7</f>
        <v>0</v>
      </c>
      <c r="T7" s="1554" t="s">
        <v>13</v>
      </c>
      <c r="U7" s="1555">
        <f t="shared" ref="U7:U15" si="1">H7</f>
        <v>0</v>
      </c>
      <c r="V7" s="1554" t="s">
        <v>13</v>
      </c>
      <c r="W7" s="1555">
        <f t="shared" ref="W7:W15" si="2">J7</f>
        <v>0</v>
      </c>
      <c r="X7" s="1556"/>
      <c r="Y7" s="3382" t="s">
        <v>530</v>
      </c>
      <c r="Z7" s="3383"/>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82" t="s">
        <v>533</v>
      </c>
      <c r="Q8" s="3383"/>
      <c r="R8" s="1554" t="s">
        <v>13</v>
      </c>
      <c r="S8" s="1555">
        <f t="shared" si="0"/>
        <v>0</v>
      </c>
      <c r="T8" s="1554" t="s">
        <v>13</v>
      </c>
      <c r="U8" s="1555">
        <f t="shared" si="1"/>
        <v>0</v>
      </c>
      <c r="V8" s="1554" t="s">
        <v>13</v>
      </c>
      <c r="W8" s="1555">
        <f t="shared" si="2"/>
        <v>0</v>
      </c>
      <c r="X8" s="1556"/>
      <c r="Y8" s="3382" t="s">
        <v>533</v>
      </c>
      <c r="Z8" s="3383"/>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51" t="s">
        <v>535</v>
      </c>
      <c r="Q9" s="1147" t="str">
        <f t="shared" ref="Q9:Q15" si="6">B9</f>
        <v>用途</v>
      </c>
      <c r="R9" s="1554" t="s">
        <v>8</v>
      </c>
      <c r="S9" s="1555">
        <f t="shared" si="0"/>
        <v>100</v>
      </c>
      <c r="T9" s="1554" t="s">
        <v>8</v>
      </c>
      <c r="U9" s="1555">
        <f t="shared" si="1"/>
        <v>100</v>
      </c>
      <c r="V9" s="1554" t="s">
        <v>8</v>
      </c>
      <c r="W9" s="1555">
        <f t="shared" si="2"/>
        <v>100</v>
      </c>
      <c r="X9" s="1556"/>
      <c r="Y9" s="3297"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51"/>
      <c r="Q10" s="1147" t="str">
        <f t="shared" si="6"/>
        <v>土地使用年限（年）</v>
      </c>
      <c r="R10" s="1554" t="s">
        <v>8</v>
      </c>
      <c r="S10" s="1555">
        <f t="shared" si="0"/>
        <v>100</v>
      </c>
      <c r="T10" s="1554" t="s">
        <v>8</v>
      </c>
      <c r="U10" s="1555">
        <f t="shared" si="1"/>
        <v>100</v>
      </c>
      <c r="V10" s="1554" t="s">
        <v>8</v>
      </c>
      <c r="W10" s="1555">
        <f t="shared" si="2"/>
        <v>100</v>
      </c>
      <c r="X10" s="1556"/>
      <c r="Y10" s="3297"/>
      <c r="Z10" s="1146" t="str">
        <f t="shared" si="7"/>
        <v>土地使用年限（年）</v>
      </c>
      <c r="AA10" s="1557">
        <f t="shared" si="3"/>
        <v>1</v>
      </c>
      <c r="AB10" s="1557">
        <f t="shared" si="4"/>
        <v>1</v>
      </c>
      <c r="AC10" s="1557">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51"/>
      <c r="Q11" s="1147" t="str">
        <f t="shared" si="6"/>
        <v>容积率</v>
      </c>
      <c r="R11" s="1554" t="s">
        <v>11</v>
      </c>
      <c r="S11" s="1555" t="e">
        <f t="shared" si="0"/>
        <v>#N/A</v>
      </c>
      <c r="T11" s="1554" t="s">
        <v>11</v>
      </c>
      <c r="U11" s="1555" t="e">
        <f t="shared" si="1"/>
        <v>#N/A</v>
      </c>
      <c r="V11" s="1554" t="s">
        <v>11</v>
      </c>
      <c r="W11" s="1555" t="e">
        <f t="shared" si="2"/>
        <v>#N/A</v>
      </c>
      <c r="X11" s="1556"/>
      <c r="Y11" s="3297"/>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51"/>
      <c r="Q12" s="1147">
        <f t="shared" si="6"/>
        <v>111</v>
      </c>
      <c r="R12" s="1554" t="s">
        <v>11</v>
      </c>
      <c r="S12" s="1555">
        <f t="shared" si="0"/>
        <v>100</v>
      </c>
      <c r="T12" s="1554" t="s">
        <v>11</v>
      </c>
      <c r="U12" s="1555">
        <f t="shared" si="1"/>
        <v>100</v>
      </c>
      <c r="V12" s="1554" t="s">
        <v>11</v>
      </c>
      <c r="W12" s="1555">
        <f t="shared" si="2"/>
        <v>100</v>
      </c>
      <c r="X12" s="1556"/>
      <c r="Y12" s="3297"/>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51"/>
      <c r="Q13" s="1147">
        <f t="shared" si="6"/>
        <v>111</v>
      </c>
      <c r="R13" s="1554" t="s">
        <v>11</v>
      </c>
      <c r="S13" s="1555">
        <f t="shared" si="0"/>
        <v>100</v>
      </c>
      <c r="T13" s="1554" t="s">
        <v>11</v>
      </c>
      <c r="U13" s="1555">
        <f t="shared" si="1"/>
        <v>100</v>
      </c>
      <c r="V13" s="1554" t="s">
        <v>11</v>
      </c>
      <c r="W13" s="1555">
        <f t="shared" si="2"/>
        <v>100</v>
      </c>
      <c r="X13" s="1556"/>
      <c r="Y13" s="3297"/>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51"/>
      <c r="Q14" s="1147">
        <f t="shared" si="6"/>
        <v>111</v>
      </c>
      <c r="R14" s="1554" t="s">
        <v>11</v>
      </c>
      <c r="S14" s="1555">
        <f t="shared" si="0"/>
        <v>100</v>
      </c>
      <c r="T14" s="1554" t="s">
        <v>11</v>
      </c>
      <c r="U14" s="1555">
        <f t="shared" si="1"/>
        <v>100</v>
      </c>
      <c r="V14" s="1554" t="s">
        <v>11</v>
      </c>
      <c r="W14" s="1555">
        <f t="shared" si="2"/>
        <v>100</v>
      </c>
      <c r="X14" s="1556"/>
      <c r="Y14" s="3297"/>
      <c r="Z14" s="1146">
        <f t="shared" si="7"/>
        <v>111</v>
      </c>
      <c r="AA14" s="1557">
        <f t="shared" si="3"/>
        <v>1</v>
      </c>
      <c r="AB14" s="1557">
        <f t="shared" si="4"/>
        <v>1</v>
      </c>
      <c r="AC14" s="1557">
        <f t="shared" si="5"/>
        <v>1</v>
      </c>
    </row>
    <row r="15" spans="1:29" ht="99.7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5" t="s">
        <v>540</v>
      </c>
      <c r="Q15" s="1558" t="str">
        <f t="shared" si="6"/>
        <v>居住社区成熟度</v>
      </c>
      <c r="R15" s="1559" t="s">
        <v>11</v>
      </c>
      <c r="S15" s="1560">
        <f t="shared" si="0"/>
        <v>100</v>
      </c>
      <c r="T15" s="1559" t="s">
        <v>11</v>
      </c>
      <c r="U15" s="1560">
        <f t="shared" si="1"/>
        <v>100</v>
      </c>
      <c r="V15" s="1559" t="s">
        <v>11</v>
      </c>
      <c r="W15" s="1560">
        <f t="shared" si="2"/>
        <v>100</v>
      </c>
      <c r="X15" s="1553"/>
      <c r="Y15" s="3385"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6"/>
      <c r="Q16" s="1558"/>
      <c r="R16" s="1559"/>
      <c r="S16" s="1560"/>
      <c r="T16" s="1559"/>
      <c r="U16" s="1560"/>
      <c r="V16" s="1559"/>
      <c r="W16" s="1560"/>
      <c r="X16" s="1553"/>
      <c r="Y16" s="338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6"/>
      <c r="Q17" s="1558" t="str">
        <f>B17</f>
        <v>交通便捷度</v>
      </c>
      <c r="R17" s="1559" t="s">
        <v>11</v>
      </c>
      <c r="S17" s="1560">
        <f>F17</f>
        <v>100</v>
      </c>
      <c r="T17" s="1559" t="s">
        <v>11</v>
      </c>
      <c r="U17" s="1560">
        <f>H17</f>
        <v>100</v>
      </c>
      <c r="V17" s="1559" t="s">
        <v>11</v>
      </c>
      <c r="W17" s="1560">
        <f>J17</f>
        <v>100</v>
      </c>
      <c r="X17" s="1553"/>
      <c r="Y17" s="338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6"/>
      <c r="Q18" s="1558"/>
      <c r="R18" s="1559"/>
      <c r="S18" s="1560"/>
      <c r="T18" s="1559"/>
      <c r="U18" s="1560"/>
      <c r="V18" s="1559"/>
      <c r="W18" s="1560"/>
      <c r="X18" s="1553"/>
      <c r="Y18" s="3386"/>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6"/>
      <c r="Q19" s="1558" t="str">
        <f>B19</f>
        <v>公共配套设施</v>
      </c>
      <c r="R19" s="1559" t="s">
        <v>11</v>
      </c>
      <c r="S19" s="1560">
        <f>F19</f>
        <v>100</v>
      </c>
      <c r="T19" s="1559" t="s">
        <v>11</v>
      </c>
      <c r="U19" s="1560">
        <f>H19</f>
        <v>100</v>
      </c>
      <c r="V19" s="1559" t="s">
        <v>11</v>
      </c>
      <c r="W19" s="1560">
        <f>J19</f>
        <v>100</v>
      </c>
      <c r="X19" s="1553"/>
      <c r="Y19" s="338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6"/>
      <c r="Q20" s="1558"/>
      <c r="R20" s="1559"/>
      <c r="S20" s="1560"/>
      <c r="T20" s="1559"/>
      <c r="U20" s="1560"/>
      <c r="V20" s="1559"/>
      <c r="W20" s="1560"/>
      <c r="X20" s="1553"/>
      <c r="Y20" s="3386"/>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6"/>
      <c r="Q21" s="2543" t="str">
        <f>B21</f>
        <v>基础设施水平</v>
      </c>
      <c r="R21" s="1559" t="s">
        <v>11</v>
      </c>
      <c r="S21" s="1560">
        <f>F21</f>
        <v>100</v>
      </c>
      <c r="T21" s="1559" t="s">
        <v>11</v>
      </c>
      <c r="U21" s="1560">
        <f>H21</f>
        <v>100</v>
      </c>
      <c r="V21" s="1559" t="s">
        <v>11</v>
      </c>
      <c r="W21" s="1560">
        <f>J21</f>
        <v>100</v>
      </c>
      <c r="X21" s="2545"/>
      <c r="Y21" s="338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6"/>
      <c r="Q22" s="2543"/>
      <c r="R22" s="1559"/>
      <c r="S22" s="1560"/>
      <c r="T22" s="1559"/>
      <c r="U22" s="1560"/>
      <c r="V22" s="1559"/>
      <c r="W22" s="1560"/>
      <c r="X22" s="2545"/>
      <c r="Y22" s="3386"/>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6"/>
      <c r="Q23" s="1558" t="str">
        <f>B23</f>
        <v>自然及人文环境</v>
      </c>
      <c r="R23" s="1559" t="s">
        <v>11</v>
      </c>
      <c r="S23" s="1560">
        <f>F23</f>
        <v>100</v>
      </c>
      <c r="T23" s="1559" t="s">
        <v>11</v>
      </c>
      <c r="U23" s="1560">
        <f>H23</f>
        <v>100</v>
      </c>
      <c r="V23" s="1559" t="s">
        <v>11</v>
      </c>
      <c r="W23" s="1560">
        <f>J23</f>
        <v>100</v>
      </c>
      <c r="X23" s="1553"/>
      <c r="Y23" s="338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6"/>
      <c r="Q24" s="1558"/>
      <c r="R24" s="1559"/>
      <c r="S24" s="1560"/>
      <c r="T24" s="1559"/>
      <c r="U24" s="1560"/>
      <c r="V24" s="1559"/>
      <c r="W24" s="1560"/>
      <c r="X24" s="1553"/>
      <c r="Y24" s="3386"/>
      <c r="Z24" s="1561"/>
      <c r="AA24" s="1562">
        <v>1</v>
      </c>
      <c r="AB24" s="1562">
        <v>1</v>
      </c>
      <c r="AC24" s="1562">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6"/>
      <c r="Q25" s="1558" t="str">
        <f t="shared" ref="Q25:Q46" si="11">B25</f>
        <v>楼层-1</v>
      </c>
      <c r="R25" s="1559" t="s">
        <v>11</v>
      </c>
      <c r="S25" s="1560">
        <f>F25</f>
        <v>100</v>
      </c>
      <c r="T25" s="1559" t="s">
        <v>11</v>
      </c>
      <c r="U25" s="1560">
        <f>H25</f>
        <v>100</v>
      </c>
      <c r="V25" s="1559" t="s">
        <v>11</v>
      </c>
      <c r="W25" s="1560">
        <f>J25</f>
        <v>100</v>
      </c>
      <c r="X25" s="1553"/>
      <c r="Y25" s="338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6"/>
      <c r="Q26" s="1558" t="str">
        <f t="shared" si="11"/>
        <v>朝向</v>
      </c>
      <c r="R26" s="1559" t="s">
        <v>11</v>
      </c>
      <c r="S26" s="1560">
        <f>F26</f>
        <v>100</v>
      </c>
      <c r="T26" s="1559" t="s">
        <v>11</v>
      </c>
      <c r="U26" s="1560">
        <f>H26</f>
        <v>100</v>
      </c>
      <c r="V26" s="1559" t="s">
        <v>11</v>
      </c>
      <c r="W26" s="1560">
        <f>J26</f>
        <v>100</v>
      </c>
      <c r="X26" s="1553"/>
      <c r="Y26" s="3386"/>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6"/>
      <c r="Q27" s="1147" t="str">
        <f t="shared" si="11"/>
        <v>道路级别</v>
      </c>
      <c r="R27" s="1554" t="s">
        <v>11</v>
      </c>
      <c r="S27" s="1555">
        <f>F27</f>
        <v>100</v>
      </c>
      <c r="T27" s="1554" t="s">
        <v>11</v>
      </c>
      <c r="U27" s="1555">
        <f>H27</f>
        <v>100</v>
      </c>
      <c r="V27" s="1554" t="s">
        <v>11</v>
      </c>
      <c r="W27" s="1555">
        <f>J27</f>
        <v>100</v>
      </c>
      <c r="X27" s="1556"/>
      <c r="Y27" s="3386"/>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6"/>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6"/>
      <c r="Q29" s="1558">
        <f t="shared" si="11"/>
        <v>111</v>
      </c>
      <c r="R29" s="1559" t="s">
        <v>11</v>
      </c>
      <c r="S29" s="1560">
        <f t="shared" si="12"/>
        <v>100</v>
      </c>
      <c r="T29" s="1559" t="s">
        <v>11</v>
      </c>
      <c r="U29" s="1560">
        <f t="shared" si="13"/>
        <v>100</v>
      </c>
      <c r="V29" s="1559" t="s">
        <v>11</v>
      </c>
      <c r="W29" s="1560">
        <f t="shared" si="14"/>
        <v>100</v>
      </c>
      <c r="X29" s="1553"/>
      <c r="Y29" s="338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6"/>
      <c r="Q30" s="1558">
        <f t="shared" si="11"/>
        <v>111</v>
      </c>
      <c r="R30" s="1559" t="s">
        <v>11</v>
      </c>
      <c r="S30" s="1560">
        <f t="shared" si="12"/>
        <v>100</v>
      </c>
      <c r="T30" s="1559" t="s">
        <v>11</v>
      </c>
      <c r="U30" s="1560">
        <f t="shared" si="13"/>
        <v>100</v>
      </c>
      <c r="V30" s="1559" t="s">
        <v>11</v>
      </c>
      <c r="W30" s="1560">
        <f t="shared" si="14"/>
        <v>100</v>
      </c>
      <c r="X30" s="1553"/>
      <c r="Y30" s="338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6"/>
      <c r="Q31" s="1558">
        <f t="shared" si="11"/>
        <v>111</v>
      </c>
      <c r="R31" s="1559" t="s">
        <v>11</v>
      </c>
      <c r="S31" s="1560">
        <f t="shared" si="12"/>
        <v>100</v>
      </c>
      <c r="T31" s="1559" t="s">
        <v>11</v>
      </c>
      <c r="U31" s="1560">
        <f t="shared" si="13"/>
        <v>100</v>
      </c>
      <c r="V31" s="1559" t="s">
        <v>11</v>
      </c>
      <c r="W31" s="1560">
        <f t="shared" si="14"/>
        <v>100</v>
      </c>
      <c r="X31" s="1553"/>
      <c r="Y31" s="3386"/>
      <c r="Z31" s="1561">
        <f t="shared" si="15"/>
        <v>111</v>
      </c>
      <c r="AA31" s="1562">
        <f t="shared" si="3"/>
        <v>1</v>
      </c>
      <c r="AB31" s="1562">
        <f t="shared" si="4"/>
        <v>1</v>
      </c>
      <c r="AC31" s="1562">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7" t="s">
        <v>550</v>
      </c>
      <c r="Q32" s="1558" t="str">
        <f t="shared" si="11"/>
        <v>建筑类型</v>
      </c>
      <c r="R32" s="1559" t="s">
        <v>11</v>
      </c>
      <c r="S32" s="1560">
        <f t="shared" si="12"/>
        <v>100</v>
      </c>
      <c r="T32" s="1559" t="s">
        <v>11</v>
      </c>
      <c r="U32" s="1560">
        <f t="shared" si="13"/>
        <v>100</v>
      </c>
      <c r="V32" s="1559" t="s">
        <v>11</v>
      </c>
      <c r="W32" s="1560">
        <f t="shared" si="14"/>
        <v>100</v>
      </c>
      <c r="X32" s="1553"/>
      <c r="Y32" s="3388"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8"/>
      <c r="Q33" s="1590" t="str">
        <f t="shared" si="11"/>
        <v>项目建筑规模</v>
      </c>
      <c r="R33" s="1563" t="s">
        <v>11</v>
      </c>
      <c r="S33" s="1564" t="e">
        <f t="shared" si="12"/>
        <v>#N/A</v>
      </c>
      <c r="T33" s="1563" t="s">
        <v>11</v>
      </c>
      <c r="U33" s="1564" t="e">
        <f t="shared" si="13"/>
        <v>#N/A</v>
      </c>
      <c r="V33" s="1563" t="s">
        <v>11</v>
      </c>
      <c r="W33" s="1564" t="e">
        <f t="shared" si="14"/>
        <v>#N/A</v>
      </c>
      <c r="X33" s="1565"/>
      <c r="Y33" s="338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8"/>
      <c r="Q34" s="1558" t="str">
        <f t="shared" si="11"/>
        <v>建筑结构</v>
      </c>
      <c r="R34" s="1559" t="s">
        <v>11</v>
      </c>
      <c r="S34" s="1560">
        <f t="shared" si="12"/>
        <v>100</v>
      </c>
      <c r="T34" s="1559" t="s">
        <v>11</v>
      </c>
      <c r="U34" s="1560">
        <f t="shared" si="13"/>
        <v>100</v>
      </c>
      <c r="V34" s="1559" t="s">
        <v>11</v>
      </c>
      <c r="W34" s="1560">
        <f t="shared" si="14"/>
        <v>100</v>
      </c>
      <c r="X34" s="1553"/>
      <c r="Y34" s="3388"/>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8"/>
      <c r="Q35" s="1558" t="str">
        <f t="shared" si="11"/>
        <v>建筑品质</v>
      </c>
      <c r="R35" s="1559" t="s">
        <v>11</v>
      </c>
      <c r="S35" s="1560">
        <f t="shared" si="12"/>
        <v>100</v>
      </c>
      <c r="T35" s="1559" t="s">
        <v>11</v>
      </c>
      <c r="U35" s="1560">
        <f t="shared" si="13"/>
        <v>100</v>
      </c>
      <c r="V35" s="1559" t="s">
        <v>11</v>
      </c>
      <c r="W35" s="1560">
        <f t="shared" si="14"/>
        <v>100</v>
      </c>
      <c r="X35" s="1553"/>
      <c r="Y35" s="3388"/>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8"/>
      <c r="Q36" s="1558" t="str">
        <f t="shared" si="11"/>
        <v>公共部分装修</v>
      </c>
      <c r="R36" s="1559" t="s">
        <v>11</v>
      </c>
      <c r="S36" s="1560">
        <f t="shared" si="12"/>
        <v>100</v>
      </c>
      <c r="T36" s="1559" t="s">
        <v>11</v>
      </c>
      <c r="U36" s="1560">
        <f t="shared" si="13"/>
        <v>100</v>
      </c>
      <c r="V36" s="1559" t="s">
        <v>11</v>
      </c>
      <c r="W36" s="1560">
        <f t="shared" si="14"/>
        <v>100</v>
      </c>
      <c r="X36" s="1553"/>
      <c r="Y36" s="3388"/>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8"/>
      <c r="Q37" s="1147" t="str">
        <f t="shared" si="11"/>
        <v>成新度</v>
      </c>
      <c r="R37" s="1554" t="s">
        <v>11</v>
      </c>
      <c r="S37" s="1555" t="e">
        <f t="shared" si="12"/>
        <v>#N/A</v>
      </c>
      <c r="T37" s="1554" t="s">
        <v>11</v>
      </c>
      <c r="U37" s="1555" t="e">
        <f t="shared" si="13"/>
        <v>#N/A</v>
      </c>
      <c r="V37" s="1554" t="s">
        <v>11</v>
      </c>
      <c r="W37" s="1555" t="e">
        <f t="shared" si="14"/>
        <v>#N/A</v>
      </c>
      <c r="X37" s="1556"/>
      <c r="Y37" s="3388"/>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8" t="s">
        <v>550</v>
      </c>
      <c r="Q38" s="1558" t="str">
        <f t="shared" si="11"/>
        <v>物业管理</v>
      </c>
      <c r="R38" s="1559" t="s">
        <v>11</v>
      </c>
      <c r="S38" s="1560">
        <f t="shared" si="12"/>
        <v>100</v>
      </c>
      <c r="T38" s="1559" t="s">
        <v>11</v>
      </c>
      <c r="U38" s="1560">
        <f t="shared" si="13"/>
        <v>100</v>
      </c>
      <c r="V38" s="1559" t="s">
        <v>11</v>
      </c>
      <c r="W38" s="1560">
        <f t="shared" si="14"/>
        <v>100</v>
      </c>
      <c r="X38" s="1553"/>
      <c r="Y38" s="3388" t="s">
        <v>550</v>
      </c>
      <c r="Z38" s="1561" t="str">
        <f t="shared" si="15"/>
        <v>物业管理</v>
      </c>
      <c r="AA38" s="1562">
        <f t="shared" si="3"/>
        <v>1</v>
      </c>
      <c r="AB38" s="1562">
        <f t="shared" si="4"/>
        <v>1</v>
      </c>
      <c r="AC38" s="1562">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8"/>
      <c r="Q39" s="1558" t="str">
        <f t="shared" si="11"/>
        <v>市政基础设施</v>
      </c>
      <c r="R39" s="1559" t="s">
        <v>11</v>
      </c>
      <c r="S39" s="1560">
        <f t="shared" si="12"/>
        <v>100</v>
      </c>
      <c r="T39" s="1559" t="s">
        <v>11</v>
      </c>
      <c r="U39" s="1560">
        <f t="shared" si="13"/>
        <v>100</v>
      </c>
      <c r="V39" s="1559" t="s">
        <v>11</v>
      </c>
      <c r="W39" s="1560">
        <f t="shared" si="14"/>
        <v>100</v>
      </c>
      <c r="X39" s="1553"/>
      <c r="Y39" s="338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8"/>
      <c r="Q40" s="1558" t="str">
        <f t="shared" si="11"/>
        <v>房型</v>
      </c>
      <c r="R40" s="1559" t="s">
        <v>11</v>
      </c>
      <c r="S40" s="1560">
        <f t="shared" si="12"/>
        <v>100</v>
      </c>
      <c r="T40" s="1559" t="s">
        <v>11</v>
      </c>
      <c r="U40" s="1560">
        <f t="shared" si="13"/>
        <v>100</v>
      </c>
      <c r="V40" s="1559" t="s">
        <v>11</v>
      </c>
      <c r="W40" s="1560">
        <f t="shared" si="14"/>
        <v>100</v>
      </c>
      <c r="X40" s="1553"/>
      <c r="Y40" s="3388"/>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8"/>
      <c r="Q41" s="1590" t="str">
        <f t="shared" si="11"/>
        <v>单套/主力户型建筑面积</v>
      </c>
      <c r="R41" s="1563" t="s">
        <v>11</v>
      </c>
      <c r="S41" s="1564">
        <f t="shared" si="12"/>
        <v>100</v>
      </c>
      <c r="T41" s="1563" t="s">
        <v>11</v>
      </c>
      <c r="U41" s="1564">
        <f t="shared" si="13"/>
        <v>100</v>
      </c>
      <c r="V41" s="1563" t="s">
        <v>11</v>
      </c>
      <c r="W41" s="1564">
        <f t="shared" si="14"/>
        <v>100</v>
      </c>
      <c r="X41" s="1565"/>
      <c r="Y41" s="3388"/>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8"/>
      <c r="Q42" s="1558" t="str">
        <f t="shared" si="11"/>
        <v>内部装修</v>
      </c>
      <c r="R42" s="1559" t="s">
        <v>11</v>
      </c>
      <c r="S42" s="1560">
        <f t="shared" si="12"/>
        <v>100</v>
      </c>
      <c r="T42" s="1559" t="s">
        <v>11</v>
      </c>
      <c r="U42" s="1560">
        <f t="shared" si="13"/>
        <v>100</v>
      </c>
      <c r="V42" s="1559" t="s">
        <v>11</v>
      </c>
      <c r="W42" s="1560">
        <f t="shared" si="14"/>
        <v>100</v>
      </c>
      <c r="X42" s="1553"/>
      <c r="Y42" s="3388"/>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8"/>
      <c r="Q43" s="1558" t="str">
        <f t="shared" si="11"/>
        <v>内部装修维护情况</v>
      </c>
      <c r="R43" s="1559" t="s">
        <v>11</v>
      </c>
      <c r="S43" s="1560">
        <f t="shared" si="12"/>
        <v>100</v>
      </c>
      <c r="T43" s="1559" t="s">
        <v>11</v>
      </c>
      <c r="U43" s="1560">
        <f t="shared" si="13"/>
        <v>100</v>
      </c>
      <c r="V43" s="1559" t="s">
        <v>11</v>
      </c>
      <c r="W43" s="1560">
        <f t="shared" si="14"/>
        <v>100</v>
      </c>
      <c r="X43" s="1553"/>
      <c r="Y43" s="338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8"/>
      <c r="Q44" s="1147">
        <f t="shared" si="11"/>
        <v>111</v>
      </c>
      <c r="R44" s="1554" t="s">
        <v>11</v>
      </c>
      <c r="S44" s="1555">
        <f t="shared" si="12"/>
        <v>100</v>
      </c>
      <c r="T44" s="1554" t="s">
        <v>11</v>
      </c>
      <c r="U44" s="1555">
        <f t="shared" si="13"/>
        <v>100</v>
      </c>
      <c r="V44" s="1554" t="s">
        <v>11</v>
      </c>
      <c r="W44" s="1555">
        <f t="shared" si="14"/>
        <v>100</v>
      </c>
      <c r="X44" s="1556"/>
      <c r="Y44" s="338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8"/>
      <c r="Q45" s="1558">
        <f t="shared" si="11"/>
        <v>111</v>
      </c>
      <c r="R45" s="1559" t="s">
        <v>11</v>
      </c>
      <c r="S45" s="1560">
        <f t="shared" si="12"/>
        <v>100</v>
      </c>
      <c r="T45" s="1559" t="s">
        <v>11</v>
      </c>
      <c r="U45" s="1560">
        <f t="shared" si="13"/>
        <v>100</v>
      </c>
      <c r="V45" s="1559" t="s">
        <v>11</v>
      </c>
      <c r="W45" s="1560">
        <f t="shared" si="14"/>
        <v>100</v>
      </c>
      <c r="X45" s="1553"/>
      <c r="Y45" s="3388"/>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69"/>
      <c r="Q46" s="1558">
        <f t="shared" si="11"/>
        <v>111</v>
      </c>
      <c r="R46" s="1559" t="s">
        <v>10</v>
      </c>
      <c r="S46" s="1560">
        <f t="shared" si="12"/>
        <v>100</v>
      </c>
      <c r="T46" s="1559" t="s">
        <v>10</v>
      </c>
      <c r="U46" s="1560">
        <f t="shared" si="13"/>
        <v>100</v>
      </c>
      <c r="V46" s="1559" t="s">
        <v>10</v>
      </c>
      <c r="W46" s="1560">
        <f t="shared" si="14"/>
        <v>100</v>
      </c>
      <c r="X46" s="1553"/>
      <c r="Y46" s="3469"/>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51" t="str">
        <f>A47</f>
        <v>成交单价（元/平方米）</v>
      </c>
      <c r="Q47" s="3351"/>
      <c r="R47" s="3468">
        <f>E47</f>
        <v>0</v>
      </c>
      <c r="S47" s="3468"/>
      <c r="T47" s="3468">
        <f>G47</f>
        <v>0</v>
      </c>
      <c r="U47" s="3468"/>
      <c r="V47" s="3468">
        <f>I47</f>
        <v>0</v>
      </c>
      <c r="W47" s="3468"/>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3"/>
      <c r="L49" s="2129"/>
      <c r="M49" s="2130"/>
      <c r="N49" s="2130"/>
      <c r="O49" s="2130"/>
      <c r="P49" s="3348" t="str">
        <f>A49</f>
        <v>估价对象XX用房的比较价格（楼面单价，元/平方米）</v>
      </c>
      <c r="Q49" s="3349"/>
      <c r="R49" s="3467" t="e">
        <f>IF(F1="售价",ROUND(AVERAGE(R48:V48),0),ROUND(AVERAGE(R48:V48),1))</f>
        <v>#DIV/0!</v>
      </c>
      <c r="S49" s="3467"/>
      <c r="T49" s="3467"/>
      <c r="U49" s="3467"/>
      <c r="V49" s="3467"/>
      <c r="W49" s="34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47" sqref="I47"/>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57" t="s">
        <v>522</v>
      </c>
      <c r="D4" s="3358"/>
      <c r="E4" s="3391" t="s">
        <v>523</v>
      </c>
      <c r="F4" s="3392"/>
      <c r="G4" s="3357" t="s">
        <v>524</v>
      </c>
      <c r="H4" s="3358"/>
      <c r="I4" s="3357" t="s">
        <v>525</v>
      </c>
      <c r="J4" s="3358"/>
      <c r="K4" s="514" t="s">
        <v>526</v>
      </c>
      <c r="L4" s="2118"/>
      <c r="M4" s="2119"/>
      <c r="N4" s="2119"/>
      <c r="O4" s="2119"/>
      <c r="P4" s="3359" t="s">
        <v>527</v>
      </c>
      <c r="Q4" s="3360"/>
      <c r="R4" s="3365" t="s">
        <v>523</v>
      </c>
      <c r="S4" s="3366"/>
      <c r="T4" s="3365" t="s">
        <v>524</v>
      </c>
      <c r="U4" s="3366"/>
      <c r="V4" s="3352" t="s">
        <v>525</v>
      </c>
      <c r="W4" s="3352"/>
      <c r="X4" s="1553"/>
      <c r="Y4" s="3365" t="s">
        <v>527</v>
      </c>
      <c r="Z4" s="3366"/>
      <c r="AA4" s="3354" t="s">
        <v>523</v>
      </c>
      <c r="AB4" s="3352" t="s">
        <v>524</v>
      </c>
      <c r="AC4" s="3354" t="s">
        <v>525</v>
      </c>
    </row>
    <row r="5" spans="1:29" ht="15">
      <c r="A5" s="515"/>
      <c r="B5" s="516"/>
      <c r="C5" s="3373" t="s">
        <v>2924</v>
      </c>
      <c r="D5" s="3374"/>
      <c r="E5" s="3393" t="s">
        <v>2925</v>
      </c>
      <c r="F5" s="3394"/>
      <c r="G5" s="3373" t="s">
        <v>2926</v>
      </c>
      <c r="H5" s="3374"/>
      <c r="I5" s="3373" t="s">
        <v>2927</v>
      </c>
      <c r="J5" s="3374"/>
      <c r="K5" s="514"/>
      <c r="L5" s="2118"/>
      <c r="M5" s="2119"/>
      <c r="N5" s="2119"/>
      <c r="O5" s="2119"/>
      <c r="P5" s="3361"/>
      <c r="Q5" s="3362"/>
      <c r="R5" s="3367"/>
      <c r="S5" s="3368"/>
      <c r="T5" s="3367"/>
      <c r="U5" s="3368"/>
      <c r="V5" s="3352"/>
      <c r="W5" s="3352"/>
      <c r="X5" s="1553"/>
      <c r="Y5" s="3367"/>
      <c r="Z5" s="3368"/>
      <c r="AA5" s="3355"/>
      <c r="AB5" s="3352"/>
      <c r="AC5" s="3355"/>
    </row>
    <row r="6" spans="1:29" ht="15.75" thickBot="1">
      <c r="A6" s="517"/>
      <c r="B6" s="518"/>
      <c r="C6" s="3371" t="s">
        <v>2928</v>
      </c>
      <c r="D6" s="3372"/>
      <c r="E6" s="3389" t="s">
        <v>2928</v>
      </c>
      <c r="F6" s="3390"/>
      <c r="G6" s="3371" t="s">
        <v>2928</v>
      </c>
      <c r="H6" s="3372"/>
      <c r="I6" s="3371" t="s">
        <v>2928</v>
      </c>
      <c r="J6" s="3372"/>
      <c r="K6" s="514" t="s">
        <v>528</v>
      </c>
      <c r="L6" s="2118"/>
      <c r="M6" s="2119"/>
      <c r="N6" s="2119"/>
      <c r="O6" s="2119"/>
      <c r="P6" s="3363"/>
      <c r="Q6" s="3364"/>
      <c r="R6" s="3367"/>
      <c r="S6" s="3368"/>
      <c r="T6" s="3369"/>
      <c r="U6" s="3370"/>
      <c r="V6" s="3352"/>
      <c r="W6" s="3352"/>
      <c r="X6" s="1553"/>
      <c r="Y6" s="3369"/>
      <c r="Z6" s="3370"/>
      <c r="AA6" s="3356"/>
      <c r="AB6" s="3352"/>
      <c r="AC6" s="3356"/>
    </row>
    <row r="7" spans="1:29" s="1216" customFormat="1" ht="15.75" thickBot="1">
      <c r="A7" s="2867"/>
      <c r="B7" s="2874" t="s">
        <v>529</v>
      </c>
      <c r="C7" s="519">
        <f>'数据-取费表'!B2</f>
        <v>43782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82" t="s">
        <v>530</v>
      </c>
      <c r="Q7" s="3384"/>
      <c r="R7" s="1554" t="s">
        <v>8</v>
      </c>
      <c r="S7" s="1555">
        <f t="shared" ref="S7:S15" si="0">F7</f>
        <v>0</v>
      </c>
      <c r="T7" s="1554" t="s">
        <v>8</v>
      </c>
      <c r="U7" s="1555">
        <f t="shared" ref="U7:U15" si="1">H7</f>
        <v>0</v>
      </c>
      <c r="V7" s="1554" t="s">
        <v>8</v>
      </c>
      <c r="W7" s="1555">
        <f t="shared" ref="W7:W15" si="2">J7</f>
        <v>0</v>
      </c>
      <c r="X7" s="1556"/>
      <c r="Y7" s="3382" t="s">
        <v>530</v>
      </c>
      <c r="Z7" s="3383"/>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82" t="s">
        <v>533</v>
      </c>
      <c r="Q8" s="3383"/>
      <c r="R8" s="1554" t="s">
        <v>8</v>
      </c>
      <c r="S8" s="1555">
        <f t="shared" si="0"/>
        <v>0</v>
      </c>
      <c r="T8" s="1554" t="s">
        <v>8</v>
      </c>
      <c r="U8" s="1555">
        <f t="shared" si="1"/>
        <v>0</v>
      </c>
      <c r="V8" s="1554" t="s">
        <v>8</v>
      </c>
      <c r="W8" s="1555">
        <f t="shared" si="2"/>
        <v>0</v>
      </c>
      <c r="X8" s="1556"/>
      <c r="Y8" s="3382" t="s">
        <v>533</v>
      </c>
      <c r="Z8" s="3383"/>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51" t="s">
        <v>535</v>
      </c>
      <c r="Q9" s="1147" t="str">
        <f t="shared" ref="Q9:Q15" si="6">B9</f>
        <v>用途</v>
      </c>
      <c r="R9" s="1554" t="s">
        <v>8</v>
      </c>
      <c r="S9" s="1555">
        <f t="shared" si="0"/>
        <v>100</v>
      </c>
      <c r="T9" s="1554" t="s">
        <v>8</v>
      </c>
      <c r="U9" s="1555">
        <f t="shared" si="1"/>
        <v>100</v>
      </c>
      <c r="V9" s="1554" t="s">
        <v>8</v>
      </c>
      <c r="W9" s="1555">
        <f t="shared" si="2"/>
        <v>100</v>
      </c>
      <c r="X9" s="1556"/>
      <c r="Y9" s="3297"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51"/>
      <c r="Q10" s="1147" t="str">
        <f t="shared" si="6"/>
        <v>土地使用年限（年）</v>
      </c>
      <c r="R10" s="1554" t="s">
        <v>8</v>
      </c>
      <c r="S10" s="1555">
        <f t="shared" si="0"/>
        <v>100</v>
      </c>
      <c r="T10" s="1554" t="s">
        <v>8</v>
      </c>
      <c r="U10" s="1555">
        <f t="shared" si="1"/>
        <v>100</v>
      </c>
      <c r="V10" s="1554" t="s">
        <v>8</v>
      </c>
      <c r="W10" s="1555">
        <f t="shared" si="2"/>
        <v>100</v>
      </c>
      <c r="X10" s="1556"/>
      <c r="Y10" s="3297"/>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51"/>
      <c r="Q11" s="1147" t="str">
        <f t="shared" si="6"/>
        <v>容积率</v>
      </c>
      <c r="R11" s="1554" t="s">
        <v>8</v>
      </c>
      <c r="S11" s="1555" t="e">
        <f t="shared" si="0"/>
        <v>#N/A</v>
      </c>
      <c r="T11" s="1554" t="s">
        <v>8</v>
      </c>
      <c r="U11" s="1555" t="e">
        <f t="shared" si="1"/>
        <v>#N/A</v>
      </c>
      <c r="V11" s="1554" t="s">
        <v>8</v>
      </c>
      <c r="W11" s="1555" t="e">
        <f t="shared" si="2"/>
        <v>#N/A</v>
      </c>
      <c r="X11" s="1556"/>
      <c r="Y11" s="3297"/>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51"/>
      <c r="Q12" s="1147">
        <f t="shared" si="6"/>
        <v>111</v>
      </c>
      <c r="R12" s="1554" t="s">
        <v>8</v>
      </c>
      <c r="S12" s="1555">
        <f t="shared" si="0"/>
        <v>100</v>
      </c>
      <c r="T12" s="1554" t="s">
        <v>8</v>
      </c>
      <c r="U12" s="1555">
        <f t="shared" si="1"/>
        <v>100</v>
      </c>
      <c r="V12" s="1554" t="s">
        <v>8</v>
      </c>
      <c r="W12" s="1555">
        <f t="shared" si="2"/>
        <v>100</v>
      </c>
      <c r="X12" s="1556"/>
      <c r="Y12" s="3297"/>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51"/>
      <c r="Q13" s="1147">
        <f t="shared" si="6"/>
        <v>111</v>
      </c>
      <c r="R13" s="1554" t="s">
        <v>8</v>
      </c>
      <c r="S13" s="1555">
        <f t="shared" si="0"/>
        <v>100</v>
      </c>
      <c r="T13" s="1554" t="s">
        <v>8</v>
      </c>
      <c r="U13" s="1555">
        <f t="shared" si="1"/>
        <v>100</v>
      </c>
      <c r="V13" s="1554" t="s">
        <v>8</v>
      </c>
      <c r="W13" s="1555">
        <f t="shared" si="2"/>
        <v>100</v>
      </c>
      <c r="X13" s="1556"/>
      <c r="Y13" s="3297"/>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51"/>
      <c r="Q14" s="1147">
        <f t="shared" si="6"/>
        <v>111</v>
      </c>
      <c r="R14" s="1554" t="s">
        <v>8</v>
      </c>
      <c r="S14" s="1555">
        <f t="shared" si="0"/>
        <v>100</v>
      </c>
      <c r="T14" s="1554" t="s">
        <v>8</v>
      </c>
      <c r="U14" s="1555">
        <f t="shared" si="1"/>
        <v>100</v>
      </c>
      <c r="V14" s="1554" t="s">
        <v>8</v>
      </c>
      <c r="W14" s="1555">
        <f t="shared" si="2"/>
        <v>100</v>
      </c>
      <c r="X14" s="1556"/>
      <c r="Y14" s="3297"/>
      <c r="Z14" s="1146">
        <f t="shared" si="7"/>
        <v>111</v>
      </c>
      <c r="AA14" s="1557">
        <f t="shared" si="3"/>
        <v>1</v>
      </c>
      <c r="AB14" s="1557">
        <f t="shared" si="4"/>
        <v>1</v>
      </c>
      <c r="AC14" s="1557">
        <f t="shared" si="5"/>
        <v>1</v>
      </c>
    </row>
    <row r="15" spans="1:29" ht="71.2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5" t="s">
        <v>540</v>
      </c>
      <c r="Q15" s="1558" t="str">
        <f t="shared" si="6"/>
        <v>商业繁华度</v>
      </c>
      <c r="R15" s="1559" t="s">
        <v>8</v>
      </c>
      <c r="S15" s="1560">
        <f t="shared" si="0"/>
        <v>100</v>
      </c>
      <c r="T15" s="1559" t="s">
        <v>8</v>
      </c>
      <c r="U15" s="1560">
        <f t="shared" si="1"/>
        <v>100</v>
      </c>
      <c r="V15" s="1559" t="s">
        <v>8</v>
      </c>
      <c r="W15" s="1560">
        <f t="shared" si="2"/>
        <v>100</v>
      </c>
      <c r="X15" s="1553"/>
      <c r="Y15" s="338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6"/>
      <c r="Q16" s="1558"/>
      <c r="R16" s="1559"/>
      <c r="S16" s="1560"/>
      <c r="T16" s="1559"/>
      <c r="U16" s="1560"/>
      <c r="V16" s="1559"/>
      <c r="W16" s="1560"/>
      <c r="X16" s="1553"/>
      <c r="Y16" s="338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6"/>
      <c r="Q18" s="1558"/>
      <c r="R18" s="1559"/>
      <c r="S18" s="1560"/>
      <c r="T18" s="1559"/>
      <c r="U18" s="1560"/>
      <c r="V18" s="1559"/>
      <c r="W18" s="1560"/>
      <c r="X18" s="1553"/>
      <c r="Y18" s="3386"/>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6"/>
      <c r="Q20" s="1558"/>
      <c r="R20" s="1559"/>
      <c r="S20" s="1560"/>
      <c r="T20" s="1559"/>
      <c r="U20" s="1560"/>
      <c r="V20" s="1559"/>
      <c r="W20" s="1560"/>
      <c r="X20" s="1553"/>
      <c r="Y20" s="3386"/>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6"/>
      <c r="Q21" s="2543" t="str">
        <f>B21</f>
        <v>基础设施水平</v>
      </c>
      <c r="R21" s="1559" t="s">
        <v>8</v>
      </c>
      <c r="S21" s="1560">
        <f>F21</f>
        <v>100</v>
      </c>
      <c r="T21" s="1559" t="s">
        <v>8</v>
      </c>
      <c r="U21" s="1560">
        <f>H21</f>
        <v>100</v>
      </c>
      <c r="V21" s="1559" t="s">
        <v>8</v>
      </c>
      <c r="W21" s="1560">
        <f>J21</f>
        <v>100</v>
      </c>
      <c r="X21" s="2545"/>
      <c r="Y21" s="338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6"/>
      <c r="Q22" s="2543"/>
      <c r="R22" s="1559"/>
      <c r="S22" s="1560"/>
      <c r="T22" s="1559"/>
      <c r="U22" s="1560"/>
      <c r="V22" s="1559"/>
      <c r="W22" s="1560"/>
      <c r="X22" s="2545"/>
      <c r="Y22" s="3386"/>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6"/>
      <c r="Q23" s="1558" t="str">
        <f>B23</f>
        <v>自然及人文环境</v>
      </c>
      <c r="R23" s="1559" t="s">
        <v>8</v>
      </c>
      <c r="S23" s="1560">
        <f>F23</f>
        <v>100</v>
      </c>
      <c r="T23" s="1559" t="s">
        <v>8</v>
      </c>
      <c r="U23" s="1560">
        <f>H23</f>
        <v>100</v>
      </c>
      <c r="V23" s="1559" t="s">
        <v>8</v>
      </c>
      <c r="W23" s="1560">
        <f>J23</f>
        <v>100</v>
      </c>
      <c r="X23" s="1553"/>
      <c r="Y23" s="338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6"/>
      <c r="Q24" s="1558"/>
      <c r="R24" s="1559"/>
      <c r="S24" s="1560"/>
      <c r="T24" s="1559"/>
      <c r="U24" s="1560"/>
      <c r="V24" s="1559"/>
      <c r="W24" s="1560"/>
      <c r="X24" s="1553"/>
      <c r="Y24" s="338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6"/>
      <c r="Q25" s="1558" t="str">
        <f t="shared" ref="Q25:Q46" si="11">B25</f>
        <v>临街状况</v>
      </c>
      <c r="R25" s="1559" t="s">
        <v>8</v>
      </c>
      <c r="S25" s="1560">
        <f>F25</f>
        <v>100</v>
      </c>
      <c r="T25" s="1559" t="s">
        <v>8</v>
      </c>
      <c r="U25" s="1560">
        <f>H25</f>
        <v>100</v>
      </c>
      <c r="V25" s="1559" t="s">
        <v>8</v>
      </c>
      <c r="W25" s="1560">
        <f>J25</f>
        <v>100</v>
      </c>
      <c r="X25" s="1553"/>
      <c r="Y25" s="338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6"/>
      <c r="Q26" s="1558" t="str">
        <f t="shared" si="11"/>
        <v>平面位置/可视性</v>
      </c>
      <c r="R26" s="1559" t="s">
        <v>8</v>
      </c>
      <c r="S26" s="1560">
        <f>F26</f>
        <v>100</v>
      </c>
      <c r="T26" s="1559" t="s">
        <v>8</v>
      </c>
      <c r="U26" s="1560">
        <f>H26</f>
        <v>100</v>
      </c>
      <c r="V26" s="1559" t="s">
        <v>8</v>
      </c>
      <c r="W26" s="1560">
        <f>J26</f>
        <v>100</v>
      </c>
      <c r="X26" s="1553"/>
      <c r="Y26" s="3386"/>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6"/>
      <c r="Q27" s="1147" t="str">
        <f t="shared" si="11"/>
        <v>人流量</v>
      </c>
      <c r="R27" s="1554" t="s">
        <v>8</v>
      </c>
      <c r="S27" s="1555">
        <f>F27</f>
        <v>100</v>
      </c>
      <c r="T27" s="1554" t="s">
        <v>8</v>
      </c>
      <c r="U27" s="1555">
        <f>H27</f>
        <v>100</v>
      </c>
      <c r="V27" s="1554" t="s">
        <v>8</v>
      </c>
      <c r="W27" s="1555">
        <f>J27</f>
        <v>100</v>
      </c>
      <c r="X27" s="1556"/>
      <c r="Y27" s="3386"/>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6"/>
      <c r="Q29" s="1558">
        <f t="shared" si="11"/>
        <v>111</v>
      </c>
      <c r="R29" s="1559" t="s">
        <v>8</v>
      </c>
      <c r="S29" s="1560">
        <f t="shared" si="12"/>
        <v>100</v>
      </c>
      <c r="T29" s="1559" t="s">
        <v>8</v>
      </c>
      <c r="U29" s="1560">
        <f t="shared" si="13"/>
        <v>100</v>
      </c>
      <c r="V29" s="1559" t="s">
        <v>8</v>
      </c>
      <c r="W29" s="1560">
        <f t="shared" si="14"/>
        <v>100</v>
      </c>
      <c r="X29" s="1553"/>
      <c r="Y29" s="338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6"/>
      <c r="Q30" s="1558">
        <f t="shared" si="11"/>
        <v>111</v>
      </c>
      <c r="R30" s="1559" t="s">
        <v>8</v>
      </c>
      <c r="S30" s="1560">
        <f t="shared" si="12"/>
        <v>100</v>
      </c>
      <c r="T30" s="1559" t="s">
        <v>8</v>
      </c>
      <c r="U30" s="1560">
        <f t="shared" si="13"/>
        <v>100</v>
      </c>
      <c r="V30" s="1559" t="s">
        <v>8</v>
      </c>
      <c r="W30" s="1560">
        <f t="shared" si="14"/>
        <v>100</v>
      </c>
      <c r="X30" s="1553"/>
      <c r="Y30" s="338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6"/>
      <c r="Q31" s="1558">
        <f t="shared" si="11"/>
        <v>111</v>
      </c>
      <c r="R31" s="1559" t="s">
        <v>8</v>
      </c>
      <c r="S31" s="1560">
        <f t="shared" si="12"/>
        <v>100</v>
      </c>
      <c r="T31" s="1559" t="s">
        <v>8</v>
      </c>
      <c r="U31" s="1560">
        <f t="shared" si="13"/>
        <v>100</v>
      </c>
      <c r="V31" s="1559" t="s">
        <v>8</v>
      </c>
      <c r="W31" s="1560">
        <f t="shared" si="14"/>
        <v>100</v>
      </c>
      <c r="X31" s="1553"/>
      <c r="Y31" s="3386"/>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7" t="s">
        <v>550</v>
      </c>
      <c r="Q32" s="1558" t="str">
        <f t="shared" si="11"/>
        <v>商业类型</v>
      </c>
      <c r="R32" s="1559" t="s">
        <v>8</v>
      </c>
      <c r="S32" s="1560">
        <f t="shared" si="12"/>
        <v>100</v>
      </c>
      <c r="T32" s="1559" t="s">
        <v>8</v>
      </c>
      <c r="U32" s="1560">
        <f t="shared" si="13"/>
        <v>100</v>
      </c>
      <c r="V32" s="1559" t="s">
        <v>8</v>
      </c>
      <c r="W32" s="1560">
        <f t="shared" si="14"/>
        <v>100</v>
      </c>
      <c r="X32" s="1553"/>
      <c r="Y32" s="3388"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8"/>
      <c r="Q33" s="1590" t="str">
        <f t="shared" si="11"/>
        <v>项目建筑规模</v>
      </c>
      <c r="R33" s="1563" t="s">
        <v>8</v>
      </c>
      <c r="S33" s="1564" t="e">
        <f t="shared" si="12"/>
        <v>#N/A</v>
      </c>
      <c r="T33" s="1563" t="s">
        <v>8</v>
      </c>
      <c r="U33" s="1564" t="e">
        <f t="shared" si="13"/>
        <v>#N/A</v>
      </c>
      <c r="V33" s="1563" t="s">
        <v>8</v>
      </c>
      <c r="W33" s="1564" t="e">
        <f t="shared" si="14"/>
        <v>#N/A</v>
      </c>
      <c r="X33" s="1565"/>
      <c r="Y33" s="338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8"/>
      <c r="Q34" s="1558" t="str">
        <f t="shared" si="11"/>
        <v>建筑结构</v>
      </c>
      <c r="R34" s="1559" t="s">
        <v>8</v>
      </c>
      <c r="S34" s="1560">
        <f t="shared" si="12"/>
        <v>100</v>
      </c>
      <c r="T34" s="1559" t="s">
        <v>8</v>
      </c>
      <c r="U34" s="1560">
        <f t="shared" si="13"/>
        <v>100</v>
      </c>
      <c r="V34" s="1559" t="s">
        <v>8</v>
      </c>
      <c r="W34" s="1560">
        <f t="shared" si="14"/>
        <v>100</v>
      </c>
      <c r="X34" s="1553"/>
      <c r="Y34" s="338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8"/>
      <c r="Q35" s="1558" t="str">
        <f t="shared" si="11"/>
        <v>公共部分装修</v>
      </c>
      <c r="R35" s="1559" t="s">
        <v>8</v>
      </c>
      <c r="S35" s="1560">
        <f t="shared" si="12"/>
        <v>100</v>
      </c>
      <c r="T35" s="1559" t="s">
        <v>8</v>
      </c>
      <c r="U35" s="1560">
        <f t="shared" si="13"/>
        <v>100</v>
      </c>
      <c r="V35" s="1559" t="s">
        <v>8</v>
      </c>
      <c r="W35" s="1560">
        <f t="shared" si="14"/>
        <v>100</v>
      </c>
      <c r="X35" s="1553"/>
      <c r="Y35" s="3388"/>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8"/>
      <c r="Q36" s="1558" t="str">
        <f t="shared" si="11"/>
        <v>成新度</v>
      </c>
      <c r="R36" s="1559" t="s">
        <v>8</v>
      </c>
      <c r="S36" s="1560" t="e">
        <f t="shared" si="12"/>
        <v>#N/A</v>
      </c>
      <c r="T36" s="1559" t="s">
        <v>8</v>
      </c>
      <c r="U36" s="1560" t="e">
        <f t="shared" si="13"/>
        <v>#N/A</v>
      </c>
      <c r="V36" s="1559" t="s">
        <v>8</v>
      </c>
      <c r="W36" s="1560" t="e">
        <f t="shared" si="14"/>
        <v>#N/A</v>
      </c>
      <c r="X36" s="1553"/>
      <c r="Y36" s="3388"/>
      <c r="Z36" s="1561" t="str">
        <f t="shared" si="15"/>
        <v>成新度</v>
      </c>
      <c r="AA36" s="1562" t="e">
        <f t="shared" si="3"/>
        <v>#N/A</v>
      </c>
      <c r="AB36" s="1562" t="e">
        <f t="shared" si="4"/>
        <v>#N/A</v>
      </c>
      <c r="AC36" s="1562"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8"/>
      <c r="Q37" s="1147" t="str">
        <f t="shared" si="11"/>
        <v>市政基础设施</v>
      </c>
      <c r="R37" s="1554" t="s">
        <v>8</v>
      </c>
      <c r="S37" s="1555">
        <f t="shared" si="12"/>
        <v>100</v>
      </c>
      <c r="T37" s="1554" t="s">
        <v>8</v>
      </c>
      <c r="U37" s="1555">
        <f t="shared" si="13"/>
        <v>100</v>
      </c>
      <c r="V37" s="1554" t="s">
        <v>8</v>
      </c>
      <c r="W37" s="1555">
        <f t="shared" si="14"/>
        <v>100</v>
      </c>
      <c r="X37" s="1556"/>
      <c r="Y37" s="3388"/>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8" t="s">
        <v>766</v>
      </c>
      <c r="Q38" s="1558" t="str">
        <f t="shared" si="11"/>
        <v>业态</v>
      </c>
      <c r="R38" s="1559" t="s">
        <v>8</v>
      </c>
      <c r="S38" s="1560">
        <f t="shared" si="12"/>
        <v>100</v>
      </c>
      <c r="T38" s="1559" t="s">
        <v>8</v>
      </c>
      <c r="U38" s="1560">
        <f t="shared" si="13"/>
        <v>100</v>
      </c>
      <c r="V38" s="1559" t="s">
        <v>8</v>
      </c>
      <c r="W38" s="1560">
        <f t="shared" si="14"/>
        <v>100</v>
      </c>
      <c r="X38" s="1553"/>
      <c r="Y38" s="338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8"/>
      <c r="Q39" s="1558" t="str">
        <f t="shared" si="11"/>
        <v>层高</v>
      </c>
      <c r="R39" s="1559" t="s">
        <v>8</v>
      </c>
      <c r="S39" s="1560">
        <f t="shared" si="12"/>
        <v>100</v>
      </c>
      <c r="T39" s="1559" t="s">
        <v>8</v>
      </c>
      <c r="U39" s="1560">
        <f t="shared" si="13"/>
        <v>100</v>
      </c>
      <c r="V39" s="1559" t="s">
        <v>8</v>
      </c>
      <c r="W39" s="1560">
        <f t="shared" si="14"/>
        <v>100</v>
      </c>
      <c r="X39" s="1553"/>
      <c r="Y39" s="3388"/>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8"/>
      <c r="Q40" s="1558" t="str">
        <f t="shared" si="11"/>
        <v>单套建筑面积</v>
      </c>
      <c r="R40" s="1559" t="s">
        <v>8</v>
      </c>
      <c r="S40" s="1560">
        <f t="shared" si="12"/>
        <v>100</v>
      </c>
      <c r="T40" s="1559" t="s">
        <v>8</v>
      </c>
      <c r="U40" s="1560">
        <f t="shared" si="13"/>
        <v>100</v>
      </c>
      <c r="V40" s="1559" t="s">
        <v>8</v>
      </c>
      <c r="W40" s="1560">
        <f t="shared" si="14"/>
        <v>100</v>
      </c>
      <c r="X40" s="1553"/>
      <c r="Y40" s="3388"/>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8"/>
      <c r="Q41" s="1590" t="str">
        <f t="shared" si="11"/>
        <v>进深比</v>
      </c>
      <c r="R41" s="1563" t="s">
        <v>8</v>
      </c>
      <c r="S41" s="1564">
        <f t="shared" si="12"/>
        <v>100</v>
      </c>
      <c r="T41" s="1563" t="s">
        <v>8</v>
      </c>
      <c r="U41" s="1564">
        <f t="shared" si="13"/>
        <v>100</v>
      </c>
      <c r="V41" s="1563" t="s">
        <v>8</v>
      </c>
      <c r="W41" s="1564">
        <f t="shared" si="14"/>
        <v>100</v>
      </c>
      <c r="X41" s="1565"/>
      <c r="Y41" s="338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8"/>
      <c r="Q42" s="1558" t="str">
        <f t="shared" si="11"/>
        <v>内部装修</v>
      </c>
      <c r="R42" s="1559" t="s">
        <v>8</v>
      </c>
      <c r="S42" s="1560">
        <f t="shared" si="12"/>
        <v>100</v>
      </c>
      <c r="T42" s="1559" t="s">
        <v>8</v>
      </c>
      <c r="U42" s="1560">
        <f t="shared" si="13"/>
        <v>100</v>
      </c>
      <c r="V42" s="1559" t="s">
        <v>8</v>
      </c>
      <c r="W42" s="1560">
        <f t="shared" si="14"/>
        <v>100</v>
      </c>
      <c r="X42" s="1553"/>
      <c r="Y42" s="338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8"/>
      <c r="Q43" s="1558" t="str">
        <f t="shared" si="11"/>
        <v>内部装修维护情况</v>
      </c>
      <c r="R43" s="1559" t="s">
        <v>8</v>
      </c>
      <c r="S43" s="1560">
        <f t="shared" si="12"/>
        <v>100</v>
      </c>
      <c r="T43" s="1559" t="s">
        <v>8</v>
      </c>
      <c r="U43" s="1560">
        <f t="shared" si="13"/>
        <v>100</v>
      </c>
      <c r="V43" s="1559" t="s">
        <v>8</v>
      </c>
      <c r="W43" s="1560">
        <f t="shared" si="14"/>
        <v>100</v>
      </c>
      <c r="X43" s="1553"/>
      <c r="Y43" s="338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8"/>
      <c r="Q44" s="1147">
        <f t="shared" si="11"/>
        <v>111</v>
      </c>
      <c r="R44" s="1554" t="s">
        <v>8</v>
      </c>
      <c r="S44" s="1555">
        <f t="shared" si="12"/>
        <v>100</v>
      </c>
      <c r="T44" s="1554" t="s">
        <v>8</v>
      </c>
      <c r="U44" s="1555">
        <f t="shared" si="13"/>
        <v>100</v>
      </c>
      <c r="V44" s="1554" t="s">
        <v>8</v>
      </c>
      <c r="W44" s="1555">
        <f t="shared" si="14"/>
        <v>100</v>
      </c>
      <c r="X44" s="1556"/>
      <c r="Y44" s="338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8"/>
      <c r="Q45" s="1558">
        <f t="shared" si="11"/>
        <v>111</v>
      </c>
      <c r="R45" s="1559" t="s">
        <v>8</v>
      </c>
      <c r="S45" s="1560">
        <f t="shared" si="12"/>
        <v>100</v>
      </c>
      <c r="T45" s="1559" t="s">
        <v>8</v>
      </c>
      <c r="U45" s="1560">
        <f t="shared" si="13"/>
        <v>100</v>
      </c>
      <c r="V45" s="1559" t="s">
        <v>8</v>
      </c>
      <c r="W45" s="1560">
        <f t="shared" si="14"/>
        <v>100</v>
      </c>
      <c r="X45" s="1553"/>
      <c r="Y45" s="3388"/>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69"/>
      <c r="Q46" s="1558">
        <f t="shared" si="11"/>
        <v>111</v>
      </c>
      <c r="R46" s="1559" t="s">
        <v>8</v>
      </c>
      <c r="S46" s="1560">
        <f t="shared" si="12"/>
        <v>100</v>
      </c>
      <c r="T46" s="1559" t="s">
        <v>8</v>
      </c>
      <c r="U46" s="1560">
        <f t="shared" si="13"/>
        <v>100</v>
      </c>
      <c r="V46" s="1559" t="s">
        <v>8</v>
      </c>
      <c r="W46" s="1560">
        <f t="shared" si="14"/>
        <v>100</v>
      </c>
      <c r="X46" s="1553"/>
      <c r="Y46" s="3469"/>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51" t="str">
        <f>A47</f>
        <v>成交单价（元/平方米）</v>
      </c>
      <c r="Q47" s="3351"/>
      <c r="R47" s="3468">
        <f>E47</f>
        <v>0</v>
      </c>
      <c r="S47" s="3468"/>
      <c r="T47" s="3468">
        <f>G47</f>
        <v>0</v>
      </c>
      <c r="U47" s="3468"/>
      <c r="V47" s="3468">
        <f>I47</f>
        <v>0</v>
      </c>
      <c r="W47" s="3468"/>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51" t="str">
        <f>A48</f>
        <v>比较价格（元/平方米）</v>
      </c>
      <c r="Q48" s="3351"/>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8"/>
      <c r="L49" s="2129"/>
      <c r="M49" s="2130"/>
      <c r="N49" s="2119"/>
      <c r="O49" s="2130"/>
      <c r="P49" s="3348" t="str">
        <f>A49</f>
        <v>估价对象XX用房的比较价格（楼面单价，元/平方米）</v>
      </c>
      <c r="Q49" s="3349"/>
      <c r="R49" s="3467" t="e">
        <f>IF(F1="售价",ROUND(AVERAGE(R48:V48),0),ROUND(AVERAGE(R48:V48),1))</f>
        <v>#DIV/0!</v>
      </c>
      <c r="S49" s="3467"/>
      <c r="T49" s="3467"/>
      <c r="U49" s="3467"/>
      <c r="V49" s="3467"/>
      <c r="W49" s="34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47" sqref="I47"/>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2206"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57" t="s">
        <v>522</v>
      </c>
      <c r="D4" s="3358"/>
      <c r="E4" s="3391" t="s">
        <v>523</v>
      </c>
      <c r="F4" s="3392"/>
      <c r="G4" s="3357" t="s">
        <v>524</v>
      </c>
      <c r="H4" s="3358"/>
      <c r="I4" s="3357" t="s">
        <v>525</v>
      </c>
      <c r="J4" s="3358"/>
      <c r="K4" s="514" t="s">
        <v>526</v>
      </c>
      <c r="L4" s="2118"/>
      <c r="M4" s="2119"/>
      <c r="N4" s="2119"/>
      <c r="O4" s="2119"/>
      <c r="P4" s="3471" t="s">
        <v>527</v>
      </c>
      <c r="Q4" s="3360"/>
      <c r="R4" s="3365" t="s">
        <v>523</v>
      </c>
      <c r="S4" s="3366"/>
      <c r="T4" s="3365" t="s">
        <v>524</v>
      </c>
      <c r="U4" s="3366"/>
      <c r="V4" s="3352" t="s">
        <v>525</v>
      </c>
      <c r="W4" s="3352"/>
      <c r="X4" s="1553"/>
      <c r="Y4" s="3365" t="s">
        <v>527</v>
      </c>
      <c r="Z4" s="3366"/>
      <c r="AA4" s="3354" t="s">
        <v>523</v>
      </c>
      <c r="AB4" s="3354" t="s">
        <v>524</v>
      </c>
      <c r="AC4" s="3354" t="s">
        <v>525</v>
      </c>
    </row>
    <row r="5" spans="1:29" ht="15">
      <c r="A5" s="515"/>
      <c r="B5" s="516"/>
      <c r="C5" s="3373" t="s">
        <v>2924</v>
      </c>
      <c r="D5" s="3374"/>
      <c r="E5" s="3393" t="s">
        <v>2925</v>
      </c>
      <c r="F5" s="3394"/>
      <c r="G5" s="3373" t="s">
        <v>2926</v>
      </c>
      <c r="H5" s="3374"/>
      <c r="I5" s="3373" t="s">
        <v>2927</v>
      </c>
      <c r="J5" s="3374"/>
      <c r="K5" s="514"/>
      <c r="L5" s="2118"/>
      <c r="M5" s="2119"/>
      <c r="N5" s="2119"/>
      <c r="O5" s="2119"/>
      <c r="P5" s="3472"/>
      <c r="Q5" s="3362"/>
      <c r="R5" s="3367"/>
      <c r="S5" s="3368"/>
      <c r="T5" s="3367"/>
      <c r="U5" s="3368"/>
      <c r="V5" s="3352"/>
      <c r="W5" s="3352"/>
      <c r="X5" s="1553"/>
      <c r="Y5" s="3367"/>
      <c r="Z5" s="3368"/>
      <c r="AA5" s="3355"/>
      <c r="AB5" s="3355"/>
      <c r="AC5" s="3355"/>
    </row>
    <row r="6" spans="1:29" ht="15.75" thickBot="1">
      <c r="A6" s="517"/>
      <c r="B6" s="518"/>
      <c r="C6" s="3371" t="s">
        <v>2928</v>
      </c>
      <c r="D6" s="3372"/>
      <c r="E6" s="3389" t="s">
        <v>2928</v>
      </c>
      <c r="F6" s="3390"/>
      <c r="G6" s="3371" t="s">
        <v>2928</v>
      </c>
      <c r="H6" s="3372"/>
      <c r="I6" s="3371" t="s">
        <v>2928</v>
      </c>
      <c r="J6" s="3372"/>
      <c r="K6" s="514" t="s">
        <v>528</v>
      </c>
      <c r="L6" s="2118"/>
      <c r="M6" s="2119"/>
      <c r="N6" s="2119"/>
      <c r="O6" s="2119"/>
      <c r="P6" s="3473"/>
      <c r="Q6" s="3364"/>
      <c r="R6" s="3367"/>
      <c r="S6" s="3368"/>
      <c r="T6" s="3369"/>
      <c r="U6" s="3370"/>
      <c r="V6" s="3352"/>
      <c r="W6" s="3352"/>
      <c r="X6" s="1553"/>
      <c r="Y6" s="3369"/>
      <c r="Z6" s="3370"/>
      <c r="AA6" s="3356"/>
      <c r="AB6" s="3356"/>
      <c r="AC6" s="3356"/>
    </row>
    <row r="7" spans="1:29" s="1216" customFormat="1" ht="15.75" thickBot="1">
      <c r="A7" s="2867"/>
      <c r="B7" s="2874" t="s">
        <v>529</v>
      </c>
      <c r="C7" s="519">
        <f>'数据-取费表'!B2</f>
        <v>43782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4" t="s">
        <v>530</v>
      </c>
      <c r="Q7" s="3384"/>
      <c r="R7" s="1554" t="s">
        <v>8</v>
      </c>
      <c r="S7" s="1555">
        <f t="shared" ref="S7:S15" si="0">F7</f>
        <v>0</v>
      </c>
      <c r="T7" s="1554" t="s">
        <v>8</v>
      </c>
      <c r="U7" s="1555">
        <f t="shared" ref="U7:U15" si="1">H7</f>
        <v>0</v>
      </c>
      <c r="V7" s="1554" t="s">
        <v>8</v>
      </c>
      <c r="W7" s="1555">
        <f t="shared" ref="W7:W15" si="2">J7</f>
        <v>0</v>
      </c>
      <c r="X7" s="1556"/>
      <c r="Y7" s="3382" t="s">
        <v>530</v>
      </c>
      <c r="Z7" s="3383"/>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4" t="s">
        <v>533</v>
      </c>
      <c r="Q8" s="3383"/>
      <c r="R8" s="1554" t="s">
        <v>8</v>
      </c>
      <c r="S8" s="1555">
        <f t="shared" si="0"/>
        <v>0</v>
      </c>
      <c r="T8" s="1554" t="s">
        <v>8</v>
      </c>
      <c r="U8" s="1555">
        <f t="shared" si="1"/>
        <v>0</v>
      </c>
      <c r="V8" s="1554" t="s">
        <v>8</v>
      </c>
      <c r="W8" s="1555">
        <f t="shared" si="2"/>
        <v>0</v>
      </c>
      <c r="X8" s="1556"/>
      <c r="Y8" s="3382" t="s">
        <v>533</v>
      </c>
      <c r="Z8" s="3383"/>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51" t="s">
        <v>535</v>
      </c>
      <c r="Q9" s="1147" t="str">
        <f t="shared" ref="Q9:Q15" si="6">B9</f>
        <v>用途</v>
      </c>
      <c r="R9" s="1554" t="s">
        <v>8</v>
      </c>
      <c r="S9" s="1555">
        <f t="shared" si="0"/>
        <v>100</v>
      </c>
      <c r="T9" s="1554" t="s">
        <v>8</v>
      </c>
      <c r="U9" s="1555">
        <f t="shared" si="1"/>
        <v>100</v>
      </c>
      <c r="V9" s="1554" t="s">
        <v>8</v>
      </c>
      <c r="W9" s="1555">
        <f t="shared" si="2"/>
        <v>100</v>
      </c>
      <c r="X9" s="1556"/>
      <c r="Y9" s="3297"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51"/>
      <c r="Q10" s="1147" t="str">
        <f t="shared" si="6"/>
        <v>土地使用年限（年）</v>
      </c>
      <c r="R10" s="1554" t="s">
        <v>8</v>
      </c>
      <c r="S10" s="1555">
        <f t="shared" si="0"/>
        <v>100</v>
      </c>
      <c r="T10" s="1554" t="s">
        <v>8</v>
      </c>
      <c r="U10" s="1555">
        <f t="shared" si="1"/>
        <v>100</v>
      </c>
      <c r="V10" s="1554" t="s">
        <v>8</v>
      </c>
      <c r="W10" s="1555">
        <f t="shared" si="2"/>
        <v>100</v>
      </c>
      <c r="X10" s="1556"/>
      <c r="Y10" s="3297"/>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51"/>
      <c r="Q11" s="1147" t="str">
        <f t="shared" si="6"/>
        <v>容积率</v>
      </c>
      <c r="R11" s="1554" t="s">
        <v>8</v>
      </c>
      <c r="S11" s="1555" t="e">
        <f t="shared" si="0"/>
        <v>#N/A</v>
      </c>
      <c r="T11" s="1554" t="s">
        <v>8</v>
      </c>
      <c r="U11" s="1555" t="e">
        <f t="shared" si="1"/>
        <v>#N/A</v>
      </c>
      <c r="V11" s="1554" t="s">
        <v>8</v>
      </c>
      <c r="W11" s="1555" t="e">
        <f t="shared" si="2"/>
        <v>#N/A</v>
      </c>
      <c r="X11" s="1556"/>
      <c r="Y11" s="3297"/>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51"/>
      <c r="Q12" s="1147">
        <f t="shared" si="6"/>
        <v>111</v>
      </c>
      <c r="R12" s="1554" t="s">
        <v>8</v>
      </c>
      <c r="S12" s="1555">
        <f t="shared" si="0"/>
        <v>100</v>
      </c>
      <c r="T12" s="1554" t="s">
        <v>8</v>
      </c>
      <c r="U12" s="1555">
        <f t="shared" si="1"/>
        <v>100</v>
      </c>
      <c r="V12" s="1554" t="s">
        <v>8</v>
      </c>
      <c r="W12" s="1555">
        <f t="shared" si="2"/>
        <v>100</v>
      </c>
      <c r="X12" s="1556"/>
      <c r="Y12" s="3297"/>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51"/>
      <c r="Q13" s="1147">
        <f t="shared" si="6"/>
        <v>111</v>
      </c>
      <c r="R13" s="1554" t="s">
        <v>8</v>
      </c>
      <c r="S13" s="1555">
        <f t="shared" si="0"/>
        <v>100</v>
      </c>
      <c r="T13" s="1554" t="s">
        <v>8</v>
      </c>
      <c r="U13" s="1555">
        <f t="shared" si="1"/>
        <v>100</v>
      </c>
      <c r="V13" s="1554" t="s">
        <v>8</v>
      </c>
      <c r="W13" s="1555">
        <f t="shared" si="2"/>
        <v>100</v>
      </c>
      <c r="X13" s="1556"/>
      <c r="Y13" s="3297"/>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51"/>
      <c r="Q14" s="1147">
        <f t="shared" si="6"/>
        <v>111</v>
      </c>
      <c r="R14" s="1554" t="s">
        <v>8</v>
      </c>
      <c r="S14" s="1555">
        <f t="shared" si="0"/>
        <v>100</v>
      </c>
      <c r="T14" s="1554" t="s">
        <v>8</v>
      </c>
      <c r="U14" s="1555">
        <f t="shared" si="1"/>
        <v>100</v>
      </c>
      <c r="V14" s="1554" t="s">
        <v>8</v>
      </c>
      <c r="W14" s="1555">
        <f t="shared" si="2"/>
        <v>100</v>
      </c>
      <c r="X14" s="1556"/>
      <c r="Y14" s="3297"/>
      <c r="Z14" s="1146">
        <f t="shared" si="7"/>
        <v>111</v>
      </c>
      <c r="AA14" s="1557">
        <f t="shared" si="3"/>
        <v>1</v>
      </c>
      <c r="AB14" s="1557">
        <f t="shared" si="4"/>
        <v>1</v>
      </c>
      <c r="AC14" s="1557">
        <f t="shared" si="5"/>
        <v>1</v>
      </c>
    </row>
    <row r="15" spans="1:29" ht="71.2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5" t="s">
        <v>540</v>
      </c>
      <c r="Q15" s="1558" t="str">
        <f t="shared" si="6"/>
        <v>办公集聚程度</v>
      </c>
      <c r="R15" s="1559" t="s">
        <v>8</v>
      </c>
      <c r="S15" s="1560">
        <f t="shared" si="0"/>
        <v>100</v>
      </c>
      <c r="T15" s="1559" t="s">
        <v>8</v>
      </c>
      <c r="U15" s="1560">
        <f t="shared" si="1"/>
        <v>100</v>
      </c>
      <c r="V15" s="1559" t="s">
        <v>8</v>
      </c>
      <c r="W15" s="1560">
        <f t="shared" si="2"/>
        <v>100</v>
      </c>
      <c r="X15" s="1553"/>
      <c r="Y15" s="338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6"/>
      <c r="Q16" s="1558"/>
      <c r="R16" s="1559"/>
      <c r="S16" s="1560"/>
      <c r="T16" s="1559"/>
      <c r="U16" s="1560"/>
      <c r="V16" s="1559"/>
      <c r="W16" s="1560"/>
      <c r="X16" s="1553"/>
      <c r="Y16" s="338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6"/>
      <c r="Q18" s="1558"/>
      <c r="R18" s="1559"/>
      <c r="S18" s="1560"/>
      <c r="T18" s="1559"/>
      <c r="U18" s="1560"/>
      <c r="V18" s="1559"/>
      <c r="W18" s="1560"/>
      <c r="X18" s="1553"/>
      <c r="Y18" s="3386"/>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6"/>
      <c r="Q20" s="1558"/>
      <c r="R20" s="1559"/>
      <c r="S20" s="1560"/>
      <c r="T20" s="1559"/>
      <c r="U20" s="1560"/>
      <c r="V20" s="1559"/>
      <c r="W20" s="1560"/>
      <c r="X20" s="1553"/>
      <c r="Y20" s="3386"/>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6"/>
      <c r="Q21" s="2543" t="str">
        <f>B21</f>
        <v>基础设施水平</v>
      </c>
      <c r="R21" s="1559" t="s">
        <v>8</v>
      </c>
      <c r="S21" s="1560">
        <f>F21</f>
        <v>100</v>
      </c>
      <c r="T21" s="1559" t="s">
        <v>8</v>
      </c>
      <c r="U21" s="1560">
        <f>H21</f>
        <v>100</v>
      </c>
      <c r="V21" s="1559" t="s">
        <v>8</v>
      </c>
      <c r="W21" s="1560">
        <f>J21</f>
        <v>100</v>
      </c>
      <c r="X21" s="2545"/>
      <c r="Y21" s="3386"/>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6"/>
      <c r="Q22" s="2543"/>
      <c r="R22" s="1559"/>
      <c r="S22" s="1560"/>
      <c r="T22" s="1559"/>
      <c r="U22" s="1560"/>
      <c r="V22" s="1559"/>
      <c r="W22" s="1560"/>
      <c r="X22" s="2545"/>
      <c r="Y22" s="3386"/>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6"/>
      <c r="Q23" s="1558" t="str">
        <f>B23</f>
        <v>环境质量</v>
      </c>
      <c r="R23" s="1559" t="s">
        <v>8</v>
      </c>
      <c r="S23" s="1560">
        <f>F23</f>
        <v>100</v>
      </c>
      <c r="T23" s="1559" t="s">
        <v>8</v>
      </c>
      <c r="U23" s="1560">
        <f>H23</f>
        <v>100</v>
      </c>
      <c r="V23" s="1559" t="s">
        <v>8</v>
      </c>
      <c r="W23" s="1560">
        <f>J23</f>
        <v>100</v>
      </c>
      <c r="X23" s="1553"/>
      <c r="Y23" s="338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6"/>
      <c r="Q24" s="1558"/>
      <c r="R24" s="1559"/>
      <c r="S24" s="1560"/>
      <c r="T24" s="1559"/>
      <c r="U24" s="1560"/>
      <c r="V24" s="1559"/>
      <c r="W24" s="1560"/>
      <c r="X24" s="1553"/>
      <c r="Y24" s="3386"/>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6"/>
      <c r="Q25" s="1558" t="str">
        <f>B25</f>
        <v>毗邻道路的类型与等级</v>
      </c>
      <c r="R25" s="1559" t="s">
        <v>8</v>
      </c>
      <c r="S25" s="1560">
        <f>F25</f>
        <v>100</v>
      </c>
      <c r="T25" s="1559" t="s">
        <v>8</v>
      </c>
      <c r="U25" s="1560">
        <f>H25</f>
        <v>100</v>
      </c>
      <c r="V25" s="1559" t="s">
        <v>8</v>
      </c>
      <c r="W25" s="1560">
        <f>J25</f>
        <v>100</v>
      </c>
      <c r="X25" s="1553"/>
      <c r="Y25" s="338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6"/>
      <c r="Q26" s="1558"/>
      <c r="R26" s="1559"/>
      <c r="S26" s="1560"/>
      <c r="T26" s="1559"/>
      <c r="U26" s="1560"/>
      <c r="V26" s="1559"/>
      <c r="W26" s="1560"/>
      <c r="X26" s="1553"/>
      <c r="Y26" s="338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6"/>
      <c r="Q27" s="1558" t="str">
        <f t="shared" ref="Q27:Q47" si="11">B27</f>
        <v>楼层</v>
      </c>
      <c r="R27" s="1559" t="s">
        <v>8</v>
      </c>
      <c r="S27" s="1560">
        <f>F27</f>
        <v>100</v>
      </c>
      <c r="T27" s="1559" t="s">
        <v>8</v>
      </c>
      <c r="U27" s="1560">
        <f>H27</f>
        <v>100</v>
      </c>
      <c r="V27" s="1559" t="s">
        <v>8</v>
      </c>
      <c r="W27" s="1560">
        <f>J27</f>
        <v>100</v>
      </c>
      <c r="X27" s="1553"/>
      <c r="Y27" s="3386"/>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6"/>
      <c r="Q28" s="1147" t="str">
        <f t="shared" si="11"/>
        <v>朝向</v>
      </c>
      <c r="R28" s="1554" t="s">
        <v>8</v>
      </c>
      <c r="S28" s="1555">
        <f>F28</f>
        <v>100</v>
      </c>
      <c r="T28" s="1554" t="s">
        <v>8</v>
      </c>
      <c r="U28" s="1555">
        <f>H28</f>
        <v>100</v>
      </c>
      <c r="V28" s="1554" t="s">
        <v>8</v>
      </c>
      <c r="W28" s="1555">
        <f>J28</f>
        <v>100</v>
      </c>
      <c r="X28" s="1556"/>
      <c r="Y28" s="3386"/>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6"/>
      <c r="Q29" s="1558">
        <f t="shared" si="11"/>
        <v>111</v>
      </c>
      <c r="R29" s="1559" t="s">
        <v>8</v>
      </c>
      <c r="S29" s="1560">
        <f t="shared" ref="S29:S47" si="12">F29</f>
        <v>100</v>
      </c>
      <c r="T29" s="1559" t="s">
        <v>8</v>
      </c>
      <c r="U29" s="1560">
        <f t="shared" ref="U29:U47" si="13">H29</f>
        <v>100</v>
      </c>
      <c r="V29" s="1559" t="s">
        <v>8</v>
      </c>
      <c r="W29" s="1560">
        <f t="shared" ref="W29:W47" si="14">J29</f>
        <v>100</v>
      </c>
      <c r="X29" s="1553"/>
      <c r="Y29" s="3386"/>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6"/>
      <c r="Q30" s="1558">
        <f t="shared" si="11"/>
        <v>111</v>
      </c>
      <c r="R30" s="1559" t="s">
        <v>8</v>
      </c>
      <c r="S30" s="1560">
        <f t="shared" si="12"/>
        <v>100</v>
      </c>
      <c r="T30" s="1559" t="s">
        <v>8</v>
      </c>
      <c r="U30" s="1560">
        <f t="shared" si="13"/>
        <v>100</v>
      </c>
      <c r="V30" s="1559" t="s">
        <v>8</v>
      </c>
      <c r="W30" s="1560">
        <f t="shared" si="14"/>
        <v>100</v>
      </c>
      <c r="X30" s="1553"/>
      <c r="Y30" s="3386"/>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6"/>
      <c r="Q31" s="1558">
        <f t="shared" si="11"/>
        <v>111</v>
      </c>
      <c r="R31" s="1559" t="s">
        <v>8</v>
      </c>
      <c r="S31" s="1560">
        <f t="shared" si="12"/>
        <v>100</v>
      </c>
      <c r="T31" s="1559" t="s">
        <v>8</v>
      </c>
      <c r="U31" s="1560">
        <f t="shared" si="13"/>
        <v>100</v>
      </c>
      <c r="V31" s="1559" t="s">
        <v>8</v>
      </c>
      <c r="W31" s="1560">
        <f t="shared" si="14"/>
        <v>100</v>
      </c>
      <c r="X31" s="1553"/>
      <c r="Y31" s="3386"/>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6"/>
      <c r="Q32" s="1558">
        <f t="shared" si="11"/>
        <v>111</v>
      </c>
      <c r="R32" s="1559" t="s">
        <v>8</v>
      </c>
      <c r="S32" s="1560">
        <f t="shared" si="12"/>
        <v>100</v>
      </c>
      <c r="T32" s="1559" t="s">
        <v>8</v>
      </c>
      <c r="U32" s="1560">
        <f t="shared" si="13"/>
        <v>100</v>
      </c>
      <c r="V32" s="1559" t="s">
        <v>8</v>
      </c>
      <c r="W32" s="1560">
        <f t="shared" si="14"/>
        <v>100</v>
      </c>
      <c r="X32" s="1553"/>
      <c r="Y32" s="3386"/>
      <c r="Z32" s="1561">
        <f t="shared" si="15"/>
        <v>111</v>
      </c>
      <c r="AA32" s="1562">
        <f t="shared" si="3"/>
        <v>1</v>
      </c>
      <c r="AB32" s="1562">
        <f t="shared" si="4"/>
        <v>1</v>
      </c>
      <c r="AC32" s="1562">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7" t="s">
        <v>550</v>
      </c>
      <c r="Q33" s="1558" t="str">
        <f t="shared" si="11"/>
        <v>建筑类型</v>
      </c>
      <c r="R33" s="1559" t="s">
        <v>8</v>
      </c>
      <c r="S33" s="1560">
        <f t="shared" si="12"/>
        <v>100</v>
      </c>
      <c r="T33" s="1559" t="s">
        <v>8</v>
      </c>
      <c r="U33" s="1560">
        <f t="shared" si="13"/>
        <v>100</v>
      </c>
      <c r="V33" s="1559" t="s">
        <v>8</v>
      </c>
      <c r="W33" s="1560">
        <f t="shared" si="14"/>
        <v>100</v>
      </c>
      <c r="X33" s="1553"/>
      <c r="Y33" s="3388"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8"/>
      <c r="Q34" s="1590" t="str">
        <f t="shared" si="11"/>
        <v>项目建筑规模</v>
      </c>
      <c r="R34" s="1563" t="s">
        <v>8</v>
      </c>
      <c r="S34" s="1564" t="e">
        <f t="shared" si="12"/>
        <v>#N/A</v>
      </c>
      <c r="T34" s="1563" t="s">
        <v>8</v>
      </c>
      <c r="U34" s="1564" t="e">
        <f t="shared" si="13"/>
        <v>#N/A</v>
      </c>
      <c r="V34" s="1563" t="s">
        <v>8</v>
      </c>
      <c r="W34" s="1564" t="e">
        <f t="shared" si="14"/>
        <v>#N/A</v>
      </c>
      <c r="X34" s="1565"/>
      <c r="Y34" s="338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8"/>
      <c r="Q35" s="1558" t="str">
        <f t="shared" si="11"/>
        <v>建筑结构</v>
      </c>
      <c r="R35" s="1559" t="s">
        <v>8</v>
      </c>
      <c r="S35" s="1560">
        <f t="shared" si="12"/>
        <v>100</v>
      </c>
      <c r="T35" s="1559" t="s">
        <v>8</v>
      </c>
      <c r="U35" s="1560">
        <f t="shared" si="13"/>
        <v>100</v>
      </c>
      <c r="V35" s="1559" t="s">
        <v>8</v>
      </c>
      <c r="W35" s="1560">
        <f t="shared" si="14"/>
        <v>100</v>
      </c>
      <c r="X35" s="1553"/>
      <c r="Y35" s="338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8"/>
      <c r="Q36" s="1558" t="str">
        <f t="shared" si="11"/>
        <v>公共部分装修</v>
      </c>
      <c r="R36" s="1559" t="s">
        <v>8</v>
      </c>
      <c r="S36" s="1560">
        <f t="shared" si="12"/>
        <v>100</v>
      </c>
      <c r="T36" s="1559" t="s">
        <v>8</v>
      </c>
      <c r="U36" s="1560">
        <f t="shared" si="13"/>
        <v>100</v>
      </c>
      <c r="V36" s="1559" t="s">
        <v>8</v>
      </c>
      <c r="W36" s="1560">
        <f t="shared" si="14"/>
        <v>100</v>
      </c>
      <c r="X36" s="1553"/>
      <c r="Y36" s="3388"/>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8"/>
      <c r="Q37" s="1558" t="str">
        <f t="shared" si="11"/>
        <v>成新度</v>
      </c>
      <c r="R37" s="1559" t="s">
        <v>8</v>
      </c>
      <c r="S37" s="1560" t="e">
        <f t="shared" si="12"/>
        <v>#N/A</v>
      </c>
      <c r="T37" s="1559" t="s">
        <v>8</v>
      </c>
      <c r="U37" s="1560" t="e">
        <f t="shared" si="13"/>
        <v>#N/A</v>
      </c>
      <c r="V37" s="1559" t="s">
        <v>8</v>
      </c>
      <c r="W37" s="1560" t="e">
        <f t="shared" si="14"/>
        <v>#N/A</v>
      </c>
      <c r="X37" s="1553"/>
      <c r="Y37" s="3388"/>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8"/>
      <c r="Q38" s="1147" t="str">
        <f t="shared" si="11"/>
        <v>写字楼等级</v>
      </c>
      <c r="R38" s="1554" t="s">
        <v>8</v>
      </c>
      <c r="S38" s="1555">
        <f t="shared" si="12"/>
        <v>100</v>
      </c>
      <c r="T38" s="1554" t="s">
        <v>8</v>
      </c>
      <c r="U38" s="1555">
        <f t="shared" si="13"/>
        <v>100</v>
      </c>
      <c r="V38" s="1554" t="s">
        <v>8</v>
      </c>
      <c r="W38" s="1555">
        <f t="shared" si="14"/>
        <v>100</v>
      </c>
      <c r="X38" s="1556"/>
      <c r="Y38" s="3388"/>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8" t="s">
        <v>550</v>
      </c>
      <c r="Q39" s="1558" t="str">
        <f t="shared" si="11"/>
        <v>物业管理</v>
      </c>
      <c r="R39" s="1559" t="s">
        <v>8</v>
      </c>
      <c r="S39" s="1560">
        <f t="shared" si="12"/>
        <v>100</v>
      </c>
      <c r="T39" s="1559" t="s">
        <v>8</v>
      </c>
      <c r="U39" s="1560">
        <f t="shared" si="13"/>
        <v>100</v>
      </c>
      <c r="V39" s="1559" t="s">
        <v>8</v>
      </c>
      <c r="W39" s="1560">
        <f t="shared" si="14"/>
        <v>100</v>
      </c>
      <c r="X39" s="1553"/>
      <c r="Y39" s="3388" t="s">
        <v>550</v>
      </c>
      <c r="Z39" s="1561" t="str">
        <f t="shared" si="15"/>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8"/>
      <c r="Q40" s="1558" t="str">
        <f t="shared" si="11"/>
        <v>市政基础设施</v>
      </c>
      <c r="R40" s="1559" t="s">
        <v>8</v>
      </c>
      <c r="S40" s="1560">
        <f t="shared" si="12"/>
        <v>100</v>
      </c>
      <c r="T40" s="1559" t="s">
        <v>8</v>
      </c>
      <c r="U40" s="1560">
        <f t="shared" si="13"/>
        <v>100</v>
      </c>
      <c r="V40" s="1559" t="s">
        <v>8</v>
      </c>
      <c r="W40" s="1560">
        <f t="shared" si="14"/>
        <v>100</v>
      </c>
      <c r="X40" s="1553"/>
      <c r="Y40" s="338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8"/>
      <c r="Q41" s="1558" t="str">
        <f t="shared" si="11"/>
        <v>层高</v>
      </c>
      <c r="R41" s="1559" t="s">
        <v>8</v>
      </c>
      <c r="S41" s="1560">
        <f t="shared" si="12"/>
        <v>100</v>
      </c>
      <c r="T41" s="1559" t="s">
        <v>8</v>
      </c>
      <c r="U41" s="1560">
        <f t="shared" si="13"/>
        <v>100</v>
      </c>
      <c r="V41" s="1559" t="s">
        <v>8</v>
      </c>
      <c r="W41" s="1560">
        <f t="shared" si="14"/>
        <v>100</v>
      </c>
      <c r="X41" s="1553"/>
      <c r="Y41" s="3388"/>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8"/>
      <c r="Q42" s="1590" t="str">
        <f t="shared" si="11"/>
        <v>单套建筑面积</v>
      </c>
      <c r="R42" s="1563" t="s">
        <v>8</v>
      </c>
      <c r="S42" s="1564">
        <f t="shared" si="12"/>
        <v>100</v>
      </c>
      <c r="T42" s="1563" t="s">
        <v>8</v>
      </c>
      <c r="U42" s="1564">
        <f t="shared" si="13"/>
        <v>100</v>
      </c>
      <c r="V42" s="1563" t="s">
        <v>8</v>
      </c>
      <c r="W42" s="1564">
        <f t="shared" si="14"/>
        <v>100</v>
      </c>
      <c r="X42" s="1565"/>
      <c r="Y42" s="338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8"/>
      <c r="Q43" s="1558" t="str">
        <f t="shared" si="11"/>
        <v>内部装修</v>
      </c>
      <c r="R43" s="1559" t="s">
        <v>8</v>
      </c>
      <c r="S43" s="1560">
        <f t="shared" si="12"/>
        <v>100</v>
      </c>
      <c r="T43" s="1559" t="s">
        <v>8</v>
      </c>
      <c r="U43" s="1560">
        <f t="shared" si="13"/>
        <v>100</v>
      </c>
      <c r="V43" s="1559" t="s">
        <v>8</v>
      </c>
      <c r="W43" s="1560">
        <f t="shared" si="14"/>
        <v>100</v>
      </c>
      <c r="X43" s="1553"/>
      <c r="Y43" s="338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8"/>
      <c r="Q44" s="1558" t="str">
        <f t="shared" si="11"/>
        <v>内部装修维护情况</v>
      </c>
      <c r="R44" s="1559" t="s">
        <v>8</v>
      </c>
      <c r="S44" s="1560">
        <f t="shared" si="12"/>
        <v>100</v>
      </c>
      <c r="T44" s="1559" t="s">
        <v>8</v>
      </c>
      <c r="U44" s="1560">
        <f t="shared" si="13"/>
        <v>100</v>
      </c>
      <c r="V44" s="1559" t="s">
        <v>8</v>
      </c>
      <c r="W44" s="1560">
        <f t="shared" si="14"/>
        <v>100</v>
      </c>
      <c r="X44" s="1553"/>
      <c r="Y44" s="3388"/>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8"/>
      <c r="Q45" s="1147">
        <f t="shared" si="11"/>
        <v>111</v>
      </c>
      <c r="R45" s="1554" t="s">
        <v>8</v>
      </c>
      <c r="S45" s="1555">
        <f t="shared" si="12"/>
        <v>100</v>
      </c>
      <c r="T45" s="1554" t="s">
        <v>8</v>
      </c>
      <c r="U45" s="1555">
        <f t="shared" si="13"/>
        <v>100</v>
      </c>
      <c r="V45" s="1554" t="s">
        <v>8</v>
      </c>
      <c r="W45" s="1555">
        <f t="shared" si="14"/>
        <v>100</v>
      </c>
      <c r="X45" s="1556"/>
      <c r="Y45" s="3388"/>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8"/>
      <c r="Q46" s="1558">
        <f t="shared" si="11"/>
        <v>111</v>
      </c>
      <c r="R46" s="1559" t="s">
        <v>8</v>
      </c>
      <c r="S46" s="1560">
        <f t="shared" si="12"/>
        <v>100</v>
      </c>
      <c r="T46" s="1559" t="s">
        <v>8</v>
      </c>
      <c r="U46" s="1560">
        <f t="shared" si="13"/>
        <v>100</v>
      </c>
      <c r="V46" s="1559" t="s">
        <v>8</v>
      </c>
      <c r="W46" s="1560">
        <f t="shared" si="14"/>
        <v>100</v>
      </c>
      <c r="X46" s="1553"/>
      <c r="Y46" s="3388"/>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69"/>
      <c r="Q47" s="1558">
        <f t="shared" si="11"/>
        <v>111</v>
      </c>
      <c r="R47" s="1559" t="s">
        <v>8</v>
      </c>
      <c r="S47" s="1560">
        <f t="shared" si="12"/>
        <v>100</v>
      </c>
      <c r="T47" s="1559" t="s">
        <v>8</v>
      </c>
      <c r="U47" s="1560">
        <f t="shared" si="13"/>
        <v>100</v>
      </c>
      <c r="V47" s="1559" t="s">
        <v>8</v>
      </c>
      <c r="W47" s="1560">
        <f t="shared" si="14"/>
        <v>100</v>
      </c>
      <c r="X47" s="1553"/>
      <c r="Y47" s="3469"/>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49" t="str">
        <f>A48</f>
        <v>成交单价（元/平方米）</v>
      </c>
      <c r="Q48" s="3351"/>
      <c r="R48" s="3468">
        <f>E48</f>
        <v>0</v>
      </c>
      <c r="S48" s="3468"/>
      <c r="T48" s="3468">
        <f>G48</f>
        <v>0</v>
      </c>
      <c r="U48" s="3468"/>
      <c r="V48" s="3468">
        <f>I48</f>
        <v>0</v>
      </c>
      <c r="W48" s="3468"/>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49" t="str">
        <f>A49</f>
        <v>比较价格（元/平方米）</v>
      </c>
      <c r="Q49" s="3351"/>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5"/>
      <c r="Y49" s="1545"/>
      <c r="Z49" s="1545"/>
      <c r="AA49" s="1545"/>
      <c r="AB49" s="1545"/>
      <c r="AC49" s="1545"/>
    </row>
    <row r="50" spans="1:29" ht="15.75" thickBot="1">
      <c r="A50" s="621" t="s">
        <v>2930</v>
      </c>
      <c r="B50" s="622"/>
      <c r="C50" s="2600" t="e">
        <f>R50</f>
        <v>#DIV/0!</v>
      </c>
      <c r="D50" s="2600"/>
      <c r="E50" s="2600"/>
      <c r="F50" s="2600"/>
      <c r="G50" s="2600"/>
      <c r="H50" s="2600"/>
      <c r="I50" s="2600"/>
      <c r="J50" s="2600"/>
      <c r="K50" s="1598"/>
      <c r="L50" s="2129"/>
      <c r="M50" s="2119"/>
      <c r="N50" s="2119"/>
      <c r="O50" s="2119"/>
      <c r="P50" s="3470" t="str">
        <f>A50</f>
        <v>估价对象XX用房的比较价格（楼面单价，元/平方米）</v>
      </c>
      <c r="Q50" s="3349"/>
      <c r="R50" s="3467" t="e">
        <f>IF(F1="售价",ROUND(AVERAGE(R49:V49),0),ROUND(AVERAGE(R49:V49),1))</f>
        <v>#DIV/0!</v>
      </c>
      <c r="S50" s="3467"/>
      <c r="T50" s="3467"/>
      <c r="U50" s="3467"/>
      <c r="V50" s="3467"/>
      <c r="W50" s="346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2019-11</v>
      </c>
      <c r="D59" s="2759">
        <f>EDATE(C59,-1)</f>
        <v>43739</v>
      </c>
      <c r="E59" s="2759">
        <f t="shared" ref="E59:O59" si="16">EDATE(D59,-1)</f>
        <v>43709</v>
      </c>
      <c r="F59" s="2759">
        <f t="shared" si="16"/>
        <v>43678</v>
      </c>
      <c r="G59" s="2759">
        <f t="shared" si="16"/>
        <v>43647</v>
      </c>
      <c r="H59" s="2759">
        <f t="shared" si="16"/>
        <v>43617</v>
      </c>
      <c r="I59" s="2759">
        <f t="shared" si="16"/>
        <v>43586</v>
      </c>
      <c r="J59" s="2759">
        <f t="shared" si="16"/>
        <v>43556</v>
      </c>
      <c r="K59" s="2759">
        <f t="shared" si="16"/>
        <v>43525</v>
      </c>
      <c r="L59" s="2759">
        <f t="shared" si="16"/>
        <v>43497</v>
      </c>
      <c r="M59" s="2759">
        <f t="shared" si="16"/>
        <v>43466</v>
      </c>
      <c r="N59" s="2759">
        <f t="shared" si="16"/>
        <v>43435</v>
      </c>
      <c r="O59" s="2759">
        <f t="shared" si="16"/>
        <v>43405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47" sqref="I47"/>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57" t="s">
        <v>522</v>
      </c>
      <c r="D4" s="3358"/>
      <c r="E4" s="3391" t="s">
        <v>523</v>
      </c>
      <c r="F4" s="3392"/>
      <c r="G4" s="3357" t="s">
        <v>524</v>
      </c>
      <c r="H4" s="3358"/>
      <c r="I4" s="3357" t="s">
        <v>525</v>
      </c>
      <c r="J4" s="3358"/>
      <c r="K4" s="514" t="s">
        <v>526</v>
      </c>
      <c r="L4" s="2118"/>
      <c r="M4" s="2119"/>
      <c r="N4" s="2119"/>
      <c r="O4" s="2119"/>
      <c r="P4" s="3359" t="s">
        <v>527</v>
      </c>
      <c r="Q4" s="3360"/>
      <c r="R4" s="3365" t="s">
        <v>523</v>
      </c>
      <c r="S4" s="3366"/>
      <c r="T4" s="3365" t="s">
        <v>524</v>
      </c>
      <c r="U4" s="3366"/>
      <c r="V4" s="3352" t="s">
        <v>525</v>
      </c>
      <c r="W4" s="3352"/>
      <c r="X4" s="1553"/>
      <c r="Y4" s="3365" t="s">
        <v>527</v>
      </c>
      <c r="Z4" s="3366"/>
      <c r="AA4" s="3354" t="s">
        <v>523</v>
      </c>
      <c r="AB4" s="3355" t="s">
        <v>524</v>
      </c>
      <c r="AC4" s="3354" t="s">
        <v>525</v>
      </c>
    </row>
    <row r="5" spans="1:29" ht="15">
      <c r="A5" s="515"/>
      <c r="B5" s="516"/>
      <c r="C5" s="3373" t="s">
        <v>2924</v>
      </c>
      <c r="D5" s="3374"/>
      <c r="E5" s="3393" t="s">
        <v>2925</v>
      </c>
      <c r="F5" s="3394"/>
      <c r="G5" s="3373" t="s">
        <v>2926</v>
      </c>
      <c r="H5" s="3374"/>
      <c r="I5" s="3373" t="s">
        <v>2927</v>
      </c>
      <c r="J5" s="3374"/>
      <c r="K5" s="514"/>
      <c r="L5" s="2118"/>
      <c r="M5" s="2119"/>
      <c r="N5" s="2119"/>
      <c r="O5" s="2119"/>
      <c r="P5" s="3361"/>
      <c r="Q5" s="3362"/>
      <c r="R5" s="3367"/>
      <c r="S5" s="3368"/>
      <c r="T5" s="3367"/>
      <c r="U5" s="3368"/>
      <c r="V5" s="3352"/>
      <c r="W5" s="3352"/>
      <c r="X5" s="1553"/>
      <c r="Y5" s="3367"/>
      <c r="Z5" s="3368"/>
      <c r="AA5" s="3355"/>
      <c r="AB5" s="3355"/>
      <c r="AC5" s="3355"/>
    </row>
    <row r="6" spans="1:29" ht="15.75" thickBot="1">
      <c r="A6" s="517"/>
      <c r="B6" s="518"/>
      <c r="C6" s="3371" t="s">
        <v>2928</v>
      </c>
      <c r="D6" s="3372"/>
      <c r="E6" s="3389" t="s">
        <v>2928</v>
      </c>
      <c r="F6" s="3390"/>
      <c r="G6" s="3371" t="s">
        <v>2928</v>
      </c>
      <c r="H6" s="3372"/>
      <c r="I6" s="3371" t="s">
        <v>2928</v>
      </c>
      <c r="J6" s="3372"/>
      <c r="K6" s="514" t="s">
        <v>528</v>
      </c>
      <c r="L6" s="2118"/>
      <c r="M6" s="2119"/>
      <c r="N6" s="2119"/>
      <c r="O6" s="2119"/>
      <c r="P6" s="3363"/>
      <c r="Q6" s="3364"/>
      <c r="R6" s="3367"/>
      <c r="S6" s="3368"/>
      <c r="T6" s="3369"/>
      <c r="U6" s="3370"/>
      <c r="V6" s="3352"/>
      <c r="W6" s="3352"/>
      <c r="X6" s="1553"/>
      <c r="Y6" s="3369"/>
      <c r="Z6" s="3370"/>
      <c r="AA6" s="3356"/>
      <c r="AB6" s="3356"/>
      <c r="AC6" s="3356"/>
    </row>
    <row r="7" spans="1:29" s="1216" customFormat="1" ht="15.75" thickBot="1">
      <c r="A7" s="2867"/>
      <c r="B7" s="2874" t="s">
        <v>529</v>
      </c>
      <c r="C7" s="519">
        <f>'数据-取费表'!B2</f>
        <v>43782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82" t="s">
        <v>530</v>
      </c>
      <c r="Q7" s="3384"/>
      <c r="R7" s="1554" t="s">
        <v>8</v>
      </c>
      <c r="S7" s="1555">
        <f t="shared" ref="S7:S15" si="0">F7</f>
        <v>0</v>
      </c>
      <c r="T7" s="1554" t="s">
        <v>8</v>
      </c>
      <c r="U7" s="1555">
        <f t="shared" ref="U7:U15" si="1">H7</f>
        <v>0</v>
      </c>
      <c r="V7" s="1554" t="s">
        <v>8</v>
      </c>
      <c r="W7" s="1555">
        <f t="shared" ref="W7:W15" si="2">J7</f>
        <v>0</v>
      </c>
      <c r="X7" s="1556"/>
      <c r="Y7" s="3382" t="s">
        <v>530</v>
      </c>
      <c r="Z7" s="3383"/>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82" t="s">
        <v>533</v>
      </c>
      <c r="Q8" s="3383"/>
      <c r="R8" s="1554" t="s">
        <v>8</v>
      </c>
      <c r="S8" s="1555">
        <f t="shared" si="0"/>
        <v>0</v>
      </c>
      <c r="T8" s="1554" t="s">
        <v>8</v>
      </c>
      <c r="U8" s="1555">
        <f t="shared" si="1"/>
        <v>0</v>
      </c>
      <c r="V8" s="1554" t="s">
        <v>8</v>
      </c>
      <c r="W8" s="1555">
        <f t="shared" si="2"/>
        <v>0</v>
      </c>
      <c r="X8" s="1556"/>
      <c r="Y8" s="3382" t="s">
        <v>533</v>
      </c>
      <c r="Z8" s="3383"/>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51" t="s">
        <v>535</v>
      </c>
      <c r="Q9" s="1147" t="str">
        <f t="shared" ref="Q9:Q15" si="6">B9</f>
        <v>用途</v>
      </c>
      <c r="R9" s="1554" t="s">
        <v>8</v>
      </c>
      <c r="S9" s="1555">
        <f t="shared" si="0"/>
        <v>100</v>
      </c>
      <c r="T9" s="1554" t="s">
        <v>8</v>
      </c>
      <c r="U9" s="1555">
        <f t="shared" si="1"/>
        <v>100</v>
      </c>
      <c r="V9" s="1554" t="s">
        <v>8</v>
      </c>
      <c r="W9" s="1555">
        <f t="shared" si="2"/>
        <v>100</v>
      </c>
      <c r="X9" s="1556"/>
      <c r="Y9" s="3297"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51"/>
      <c r="Q10" s="1147" t="str">
        <f t="shared" si="6"/>
        <v>土地使用年限（年）</v>
      </c>
      <c r="R10" s="1554" t="s">
        <v>8</v>
      </c>
      <c r="S10" s="1555">
        <f t="shared" si="0"/>
        <v>100</v>
      </c>
      <c r="T10" s="1554" t="s">
        <v>8</v>
      </c>
      <c r="U10" s="1555">
        <f t="shared" si="1"/>
        <v>100</v>
      </c>
      <c r="V10" s="1554" t="s">
        <v>8</v>
      </c>
      <c r="W10" s="1555">
        <f t="shared" si="2"/>
        <v>100</v>
      </c>
      <c r="X10" s="1556"/>
      <c r="Y10" s="3297"/>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51"/>
      <c r="Q11" s="1147" t="str">
        <f t="shared" si="6"/>
        <v>容积率</v>
      </c>
      <c r="R11" s="1554" t="s">
        <v>8</v>
      </c>
      <c r="S11" s="1555" t="e">
        <f t="shared" si="0"/>
        <v>#N/A</v>
      </c>
      <c r="T11" s="1554" t="s">
        <v>8</v>
      </c>
      <c r="U11" s="1555" t="e">
        <f t="shared" si="1"/>
        <v>#N/A</v>
      </c>
      <c r="V11" s="1554" t="s">
        <v>8</v>
      </c>
      <c r="W11" s="1555" t="e">
        <f t="shared" si="2"/>
        <v>#N/A</v>
      </c>
      <c r="X11" s="1556"/>
      <c r="Y11" s="3297"/>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51"/>
      <c r="Q12" s="1147">
        <f t="shared" si="6"/>
        <v>111</v>
      </c>
      <c r="R12" s="1554" t="s">
        <v>8</v>
      </c>
      <c r="S12" s="1555">
        <f t="shared" si="0"/>
        <v>100</v>
      </c>
      <c r="T12" s="1554" t="s">
        <v>8</v>
      </c>
      <c r="U12" s="1555">
        <f t="shared" si="1"/>
        <v>100</v>
      </c>
      <c r="V12" s="1554" t="s">
        <v>8</v>
      </c>
      <c r="W12" s="1555">
        <f t="shared" si="2"/>
        <v>100</v>
      </c>
      <c r="X12" s="1556"/>
      <c r="Y12" s="3297"/>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51"/>
      <c r="Q13" s="1147">
        <f t="shared" si="6"/>
        <v>111</v>
      </c>
      <c r="R13" s="1554" t="s">
        <v>8</v>
      </c>
      <c r="S13" s="1555">
        <f t="shared" si="0"/>
        <v>100</v>
      </c>
      <c r="T13" s="1554" t="s">
        <v>8</v>
      </c>
      <c r="U13" s="1555">
        <f t="shared" si="1"/>
        <v>100</v>
      </c>
      <c r="V13" s="1554" t="s">
        <v>8</v>
      </c>
      <c r="W13" s="1555">
        <f t="shared" si="2"/>
        <v>100</v>
      </c>
      <c r="X13" s="1556"/>
      <c r="Y13" s="3297"/>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51"/>
      <c r="Q14" s="1147">
        <f t="shared" si="6"/>
        <v>111</v>
      </c>
      <c r="R14" s="1554" t="s">
        <v>8</v>
      </c>
      <c r="S14" s="1555">
        <f t="shared" si="0"/>
        <v>100</v>
      </c>
      <c r="T14" s="1554" t="s">
        <v>8</v>
      </c>
      <c r="U14" s="1555">
        <f t="shared" si="1"/>
        <v>100</v>
      </c>
      <c r="V14" s="1554" t="s">
        <v>8</v>
      </c>
      <c r="W14" s="1555">
        <f t="shared" si="2"/>
        <v>100</v>
      </c>
      <c r="X14" s="1556"/>
      <c r="Y14" s="3297"/>
      <c r="Z14" s="1146">
        <f t="shared" si="7"/>
        <v>111</v>
      </c>
      <c r="AA14" s="1557">
        <f t="shared" si="3"/>
        <v>1</v>
      </c>
      <c r="AB14" s="1557">
        <f t="shared" si="4"/>
        <v>1</v>
      </c>
      <c r="AC14" s="1557">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5" t="s">
        <v>540</v>
      </c>
      <c r="Q15" s="1558" t="str">
        <f t="shared" si="6"/>
        <v>产业集聚程度</v>
      </c>
      <c r="R15" s="1559" t="s">
        <v>8</v>
      </c>
      <c r="S15" s="1560">
        <f t="shared" si="0"/>
        <v>100</v>
      </c>
      <c r="T15" s="1559" t="s">
        <v>8</v>
      </c>
      <c r="U15" s="1560">
        <f t="shared" si="1"/>
        <v>100</v>
      </c>
      <c r="V15" s="1559" t="s">
        <v>8</v>
      </c>
      <c r="W15" s="1560">
        <f t="shared" si="2"/>
        <v>100</v>
      </c>
      <c r="X15" s="1553"/>
      <c r="Y15" s="338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6"/>
      <c r="Q16" s="1558"/>
      <c r="R16" s="1559"/>
      <c r="S16" s="1560"/>
      <c r="T16" s="1559"/>
      <c r="U16" s="1560"/>
      <c r="V16" s="1559"/>
      <c r="W16" s="1560"/>
      <c r="X16" s="1553"/>
      <c r="Y16" s="338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6"/>
      <c r="Q18" s="1558"/>
      <c r="R18" s="1559"/>
      <c r="S18" s="1560"/>
      <c r="T18" s="1559"/>
      <c r="U18" s="1560"/>
      <c r="V18" s="1559"/>
      <c r="W18" s="1560"/>
      <c r="X18" s="1553"/>
      <c r="Y18" s="3386"/>
      <c r="Z18" s="1561"/>
      <c r="AA18" s="1562">
        <v>1</v>
      </c>
      <c r="AB18" s="1562">
        <v>1</v>
      </c>
      <c r="AC18" s="1562">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6"/>
      <c r="Q20" s="1558"/>
      <c r="R20" s="1559"/>
      <c r="S20" s="1560"/>
      <c r="T20" s="1559"/>
      <c r="U20" s="1560"/>
      <c r="V20" s="1559"/>
      <c r="W20" s="1560"/>
      <c r="X20" s="1553"/>
      <c r="Y20" s="3386"/>
      <c r="Z20" s="1561"/>
      <c r="AA20" s="1562">
        <v>1</v>
      </c>
      <c r="AB20" s="1562">
        <v>1</v>
      </c>
      <c r="AC20" s="1562">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6"/>
      <c r="Q21" s="2543" t="str">
        <f>B21</f>
        <v>基础设施水平</v>
      </c>
      <c r="R21" s="1559" t="s">
        <v>8</v>
      </c>
      <c r="S21" s="1560">
        <f>F21</f>
        <v>100</v>
      </c>
      <c r="T21" s="1559" t="s">
        <v>8</v>
      </c>
      <c r="U21" s="1560">
        <f>H21</f>
        <v>100</v>
      </c>
      <c r="V21" s="1559" t="s">
        <v>8</v>
      </c>
      <c r="W21" s="1560">
        <f>J21</f>
        <v>100</v>
      </c>
      <c r="X21" s="2545"/>
      <c r="Y21" s="3386"/>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6"/>
      <c r="Q22" s="2543"/>
      <c r="R22" s="1559"/>
      <c r="S22" s="1560"/>
      <c r="T22" s="1559"/>
      <c r="U22" s="1560"/>
      <c r="V22" s="1559"/>
      <c r="W22" s="1560"/>
      <c r="X22" s="2545"/>
      <c r="Y22" s="3386"/>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6"/>
      <c r="Q23" s="1558" t="str">
        <f>B23</f>
        <v>环境质量</v>
      </c>
      <c r="R23" s="1559" t="s">
        <v>8</v>
      </c>
      <c r="S23" s="1560">
        <f>F23</f>
        <v>100</v>
      </c>
      <c r="T23" s="1559" t="s">
        <v>8</v>
      </c>
      <c r="U23" s="1560">
        <f>H23</f>
        <v>100</v>
      </c>
      <c r="V23" s="1559" t="s">
        <v>8</v>
      </c>
      <c r="W23" s="1560">
        <f>J23</f>
        <v>100</v>
      </c>
      <c r="X23" s="1553"/>
      <c r="Y23" s="3386"/>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6"/>
      <c r="Q24" s="1558"/>
      <c r="R24" s="1559"/>
      <c r="S24" s="1560"/>
      <c r="T24" s="1559"/>
      <c r="U24" s="1560"/>
      <c r="V24" s="1559"/>
      <c r="W24" s="1560"/>
      <c r="X24" s="1553"/>
      <c r="Y24" s="338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6"/>
      <c r="Q25" s="1558">
        <f>B25</f>
        <v>111</v>
      </c>
      <c r="R25" s="1559" t="s">
        <v>8</v>
      </c>
      <c r="S25" s="1560">
        <f>F25</f>
        <v>100</v>
      </c>
      <c r="T25" s="1559" t="s">
        <v>8</v>
      </c>
      <c r="U25" s="1560">
        <f>H25</f>
        <v>100</v>
      </c>
      <c r="V25" s="1559" t="s">
        <v>8</v>
      </c>
      <c r="W25" s="1560">
        <f>J25</f>
        <v>100</v>
      </c>
      <c r="X25" s="1553"/>
      <c r="Y25" s="338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6"/>
      <c r="Q26" s="1558">
        <f t="shared" ref="Q26:Q40" si="11">B26</f>
        <v>111</v>
      </c>
      <c r="R26" s="1559" t="s">
        <v>8</v>
      </c>
      <c r="S26" s="1560">
        <f>F26</f>
        <v>100</v>
      </c>
      <c r="T26" s="1559" t="s">
        <v>8</v>
      </c>
      <c r="U26" s="1560">
        <f>H26</f>
        <v>100</v>
      </c>
      <c r="V26" s="1559" t="s">
        <v>8</v>
      </c>
      <c r="W26" s="1560">
        <f>J26</f>
        <v>100</v>
      </c>
      <c r="X26" s="1553"/>
      <c r="Y26" s="3386"/>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6"/>
      <c r="Q27" s="1147">
        <f t="shared" si="11"/>
        <v>111</v>
      </c>
      <c r="R27" s="1554" t="s">
        <v>8</v>
      </c>
      <c r="S27" s="1555">
        <f>F27</f>
        <v>100</v>
      </c>
      <c r="T27" s="1554" t="s">
        <v>8</v>
      </c>
      <c r="U27" s="1555">
        <f>H27</f>
        <v>100</v>
      </c>
      <c r="V27" s="1554" t="s">
        <v>8</v>
      </c>
      <c r="W27" s="1555">
        <f>J27</f>
        <v>100</v>
      </c>
      <c r="X27" s="1556"/>
      <c r="Y27" s="3386"/>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6"/>
      <c r="Q28" s="1558">
        <f t="shared" si="11"/>
        <v>111</v>
      </c>
      <c r="R28" s="1559" t="s">
        <v>8</v>
      </c>
      <c r="S28" s="1560">
        <f t="shared" ref="S28:S40" si="12">F28</f>
        <v>100</v>
      </c>
      <c r="T28" s="1559" t="s">
        <v>8</v>
      </c>
      <c r="U28" s="1560">
        <f t="shared" ref="U28:U40" si="13">H28</f>
        <v>100</v>
      </c>
      <c r="V28" s="1559" t="s">
        <v>8</v>
      </c>
      <c r="W28" s="1560">
        <f t="shared" ref="W28:W40" si="14">J28</f>
        <v>100</v>
      </c>
      <c r="X28" s="1553"/>
      <c r="Y28" s="3386"/>
      <c r="Z28" s="1561">
        <f t="shared" ref="Z28:Z40" si="15">Q28</f>
        <v>111</v>
      </c>
      <c r="AA28" s="1562">
        <f t="shared" si="3"/>
        <v>1</v>
      </c>
      <c r="AB28" s="1562">
        <f t="shared" si="4"/>
        <v>1</v>
      </c>
      <c r="AC28" s="1562">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7" t="s">
        <v>550</v>
      </c>
      <c r="Q29" s="1558" t="str">
        <f t="shared" si="11"/>
        <v>建筑类型</v>
      </c>
      <c r="R29" s="1559" t="s">
        <v>8</v>
      </c>
      <c r="S29" s="1560">
        <f t="shared" si="12"/>
        <v>100</v>
      </c>
      <c r="T29" s="1559" t="s">
        <v>8</v>
      </c>
      <c r="U29" s="1560">
        <f t="shared" si="13"/>
        <v>100</v>
      </c>
      <c r="V29" s="1559" t="s">
        <v>8</v>
      </c>
      <c r="W29" s="1560">
        <f t="shared" si="14"/>
        <v>100</v>
      </c>
      <c r="X29" s="1553"/>
      <c r="Y29" s="3388"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8"/>
      <c r="Q30" s="1590" t="str">
        <f t="shared" si="11"/>
        <v>项目建筑规模</v>
      </c>
      <c r="R30" s="1563" t="s">
        <v>8</v>
      </c>
      <c r="S30" s="1564" t="e">
        <f t="shared" si="12"/>
        <v>#N/A</v>
      </c>
      <c r="T30" s="1563" t="s">
        <v>8</v>
      </c>
      <c r="U30" s="1564" t="e">
        <f t="shared" si="13"/>
        <v>#N/A</v>
      </c>
      <c r="V30" s="1563" t="s">
        <v>8</v>
      </c>
      <c r="W30" s="1564" t="e">
        <f t="shared" si="14"/>
        <v>#N/A</v>
      </c>
      <c r="X30" s="1565"/>
      <c r="Y30" s="338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8"/>
      <c r="Q31" s="1558" t="str">
        <f t="shared" si="11"/>
        <v>建筑结构</v>
      </c>
      <c r="R31" s="1559" t="s">
        <v>8</v>
      </c>
      <c r="S31" s="1560">
        <f t="shared" si="12"/>
        <v>100</v>
      </c>
      <c r="T31" s="1559" t="s">
        <v>8</v>
      </c>
      <c r="U31" s="1560">
        <f t="shared" si="13"/>
        <v>100</v>
      </c>
      <c r="V31" s="1559" t="s">
        <v>8</v>
      </c>
      <c r="W31" s="1560">
        <f t="shared" si="14"/>
        <v>100</v>
      </c>
      <c r="X31" s="1553"/>
      <c r="Y31" s="338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8"/>
      <c r="Q32" s="1558" t="str">
        <f t="shared" si="11"/>
        <v>公共部分装修</v>
      </c>
      <c r="R32" s="1559" t="s">
        <v>8</v>
      </c>
      <c r="S32" s="1560">
        <f t="shared" si="12"/>
        <v>100</v>
      </c>
      <c r="T32" s="1559" t="s">
        <v>8</v>
      </c>
      <c r="U32" s="1560">
        <f t="shared" si="13"/>
        <v>100</v>
      </c>
      <c r="V32" s="1559" t="s">
        <v>8</v>
      </c>
      <c r="W32" s="1560">
        <f t="shared" si="14"/>
        <v>100</v>
      </c>
      <c r="X32" s="1553"/>
      <c r="Y32" s="3388"/>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8"/>
      <c r="Q33" s="1558" t="str">
        <f t="shared" si="11"/>
        <v>成新度</v>
      </c>
      <c r="R33" s="1559" t="s">
        <v>8</v>
      </c>
      <c r="S33" s="1560" t="e">
        <f t="shared" si="12"/>
        <v>#N/A</v>
      </c>
      <c r="T33" s="1559" t="s">
        <v>8</v>
      </c>
      <c r="U33" s="1560" t="e">
        <f t="shared" si="13"/>
        <v>#N/A</v>
      </c>
      <c r="V33" s="1559" t="s">
        <v>8</v>
      </c>
      <c r="W33" s="1560" t="e">
        <f t="shared" si="14"/>
        <v>#N/A</v>
      </c>
      <c r="X33" s="1553"/>
      <c r="Y33" s="3388"/>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8"/>
      <c r="Q34" s="1147" t="str">
        <f t="shared" si="11"/>
        <v>物业管理</v>
      </c>
      <c r="R34" s="1554" t="s">
        <v>8</v>
      </c>
      <c r="S34" s="1555">
        <f t="shared" si="12"/>
        <v>100</v>
      </c>
      <c r="T34" s="1554" t="s">
        <v>8</v>
      </c>
      <c r="U34" s="1555">
        <f t="shared" si="13"/>
        <v>100</v>
      </c>
      <c r="V34" s="1554" t="s">
        <v>8</v>
      </c>
      <c r="W34" s="1555">
        <f t="shared" si="14"/>
        <v>100</v>
      </c>
      <c r="X34" s="1556"/>
      <c r="Y34" s="3388"/>
      <c r="Z34" s="1146" t="str">
        <f t="shared" si="15"/>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8" t="s">
        <v>550</v>
      </c>
      <c r="Q35" s="1558" t="str">
        <f t="shared" si="11"/>
        <v>市政基础设施</v>
      </c>
      <c r="R35" s="1559" t="s">
        <v>8</v>
      </c>
      <c r="S35" s="1560">
        <f t="shared" si="12"/>
        <v>100</v>
      </c>
      <c r="T35" s="1559" t="s">
        <v>8</v>
      </c>
      <c r="U35" s="1560">
        <f t="shared" si="13"/>
        <v>100</v>
      </c>
      <c r="V35" s="1559" t="s">
        <v>8</v>
      </c>
      <c r="W35" s="1560">
        <f t="shared" si="14"/>
        <v>100</v>
      </c>
      <c r="X35" s="1553"/>
      <c r="Y35" s="338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8"/>
      <c r="Q36" s="1558" t="str">
        <f t="shared" si="11"/>
        <v>内部装修</v>
      </c>
      <c r="R36" s="1559" t="s">
        <v>8</v>
      </c>
      <c r="S36" s="1560">
        <f t="shared" si="12"/>
        <v>100</v>
      </c>
      <c r="T36" s="1559" t="s">
        <v>8</v>
      </c>
      <c r="U36" s="1560">
        <f t="shared" si="13"/>
        <v>100</v>
      </c>
      <c r="V36" s="1559" t="s">
        <v>8</v>
      </c>
      <c r="W36" s="1560">
        <f t="shared" si="14"/>
        <v>100</v>
      </c>
      <c r="X36" s="1553"/>
      <c r="Y36" s="338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8"/>
      <c r="Q37" s="1558" t="str">
        <f t="shared" si="11"/>
        <v>内部装修状况</v>
      </c>
      <c r="R37" s="1559" t="s">
        <v>8</v>
      </c>
      <c r="S37" s="1560">
        <f t="shared" si="12"/>
        <v>100</v>
      </c>
      <c r="T37" s="1559" t="s">
        <v>8</v>
      </c>
      <c r="U37" s="1560">
        <f t="shared" si="13"/>
        <v>100</v>
      </c>
      <c r="V37" s="1559" t="s">
        <v>8</v>
      </c>
      <c r="W37" s="1560">
        <f t="shared" si="14"/>
        <v>100</v>
      </c>
      <c r="X37" s="1553"/>
      <c r="Y37" s="3388"/>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8"/>
      <c r="Q38" s="1590">
        <f t="shared" si="11"/>
        <v>111</v>
      </c>
      <c r="R38" s="1563" t="s">
        <v>8</v>
      </c>
      <c r="S38" s="1564">
        <f t="shared" si="12"/>
        <v>100</v>
      </c>
      <c r="T38" s="1563" t="s">
        <v>8</v>
      </c>
      <c r="U38" s="1564">
        <f t="shared" si="13"/>
        <v>100</v>
      </c>
      <c r="V38" s="1563" t="s">
        <v>8</v>
      </c>
      <c r="W38" s="1564">
        <f t="shared" si="14"/>
        <v>100</v>
      </c>
      <c r="X38" s="1565"/>
      <c r="Y38" s="3388"/>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8"/>
      <c r="Q39" s="1558">
        <f t="shared" si="11"/>
        <v>111</v>
      </c>
      <c r="R39" s="1559" t="s">
        <v>8</v>
      </c>
      <c r="S39" s="1560">
        <f t="shared" si="12"/>
        <v>100</v>
      </c>
      <c r="T39" s="1559" t="s">
        <v>8</v>
      </c>
      <c r="U39" s="1560">
        <f t="shared" si="13"/>
        <v>100</v>
      </c>
      <c r="V39" s="1559" t="s">
        <v>8</v>
      </c>
      <c r="W39" s="1560">
        <f t="shared" si="14"/>
        <v>100</v>
      </c>
      <c r="X39" s="1553"/>
      <c r="Y39" s="3388"/>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69"/>
      <c r="Q40" s="1558">
        <f t="shared" si="11"/>
        <v>111</v>
      </c>
      <c r="R40" s="1559" t="s">
        <v>8</v>
      </c>
      <c r="S40" s="1560">
        <f t="shared" si="12"/>
        <v>100</v>
      </c>
      <c r="T40" s="1559" t="s">
        <v>8</v>
      </c>
      <c r="U40" s="1560">
        <f t="shared" si="13"/>
        <v>100</v>
      </c>
      <c r="V40" s="1559" t="s">
        <v>8</v>
      </c>
      <c r="W40" s="1560">
        <f t="shared" si="14"/>
        <v>100</v>
      </c>
      <c r="X40" s="1553"/>
      <c r="Y40" s="3469"/>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51" t="str">
        <f>A41</f>
        <v>成交单价（元/平方米）</v>
      </c>
      <c r="Q41" s="3351"/>
      <c r="R41" s="3468">
        <f>E41</f>
        <v>0</v>
      </c>
      <c r="S41" s="3468"/>
      <c r="T41" s="3468">
        <f>G41</f>
        <v>0</v>
      </c>
      <c r="U41" s="3468"/>
      <c r="V41" s="3468">
        <f>I41</f>
        <v>0</v>
      </c>
      <c r="W41" s="3468"/>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51" t="str">
        <f>A42</f>
        <v>比较价格（元/平方米）</v>
      </c>
      <c r="Q42" s="3351"/>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5"/>
      <c r="Y42" s="1545"/>
      <c r="Z42" s="1545"/>
      <c r="AA42" s="1545"/>
      <c r="AB42" s="1545"/>
      <c r="AC42" s="1545"/>
    </row>
    <row r="43" spans="1:29" ht="15.75" thickBot="1">
      <c r="A43" s="621" t="s">
        <v>2930</v>
      </c>
      <c r="B43" s="622"/>
      <c r="C43" s="2600" t="e">
        <f>R43</f>
        <v>#DIV/0!</v>
      </c>
      <c r="D43" s="2600"/>
      <c r="E43" s="2600"/>
      <c r="F43" s="2600"/>
      <c r="G43" s="2600"/>
      <c r="H43" s="2600"/>
      <c r="I43" s="2600"/>
      <c r="J43" s="2600"/>
      <c r="K43" s="1598"/>
      <c r="L43" s="2129"/>
      <c r="M43" s="2130"/>
      <c r="N43" s="2130"/>
      <c r="O43" s="2130"/>
      <c r="P43" s="3348" t="str">
        <f>A43</f>
        <v>估价对象XX用房的比较价格（楼面单价，元/平方米）</v>
      </c>
      <c r="Q43" s="3349"/>
      <c r="R43" s="3467" t="e">
        <f>IF(F1="售价",ROUND(AVERAGE(R42:V42),0),ROUND(AVERAGE(R42:V42),1))</f>
        <v>#DIV/0!</v>
      </c>
      <c r="S43" s="3467"/>
      <c r="T43" s="3467"/>
      <c r="U43" s="3467"/>
      <c r="V43" s="3467"/>
      <c r="W43" s="346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2019-11</v>
      </c>
      <c r="D52" s="2759">
        <f>EDATE(C52,-1)</f>
        <v>43739</v>
      </c>
      <c r="E52" s="2759">
        <f t="shared" ref="E52:O52" si="16">EDATE(D52,-1)</f>
        <v>43709</v>
      </c>
      <c r="F52" s="2759">
        <f t="shared" si="16"/>
        <v>43678</v>
      </c>
      <c r="G52" s="2759">
        <f t="shared" si="16"/>
        <v>43647</v>
      </c>
      <c r="H52" s="2759">
        <f t="shared" si="16"/>
        <v>43617</v>
      </c>
      <c r="I52" s="2759">
        <f t="shared" si="16"/>
        <v>43586</v>
      </c>
      <c r="J52" s="2759">
        <f t="shared" si="16"/>
        <v>43556</v>
      </c>
      <c r="K52" s="2759">
        <f t="shared" si="16"/>
        <v>43525</v>
      </c>
      <c r="L52" s="2759">
        <f t="shared" si="16"/>
        <v>43497</v>
      </c>
      <c r="M52" s="2759">
        <f t="shared" si="16"/>
        <v>43466</v>
      </c>
      <c r="N52" s="2759">
        <f t="shared" si="16"/>
        <v>43435</v>
      </c>
      <c r="O52" s="2759">
        <f t="shared" si="16"/>
        <v>43405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47" sqref="I47"/>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57" t="s">
        <v>798</v>
      </c>
      <c r="D4" s="3358"/>
      <c r="E4" s="3357" t="s">
        <v>799</v>
      </c>
      <c r="F4" s="3358"/>
      <c r="G4" s="3357" t="s">
        <v>800</v>
      </c>
      <c r="H4" s="3358"/>
      <c r="I4" s="3357" t="s">
        <v>801</v>
      </c>
      <c r="J4" s="3358"/>
      <c r="K4" s="514" t="s">
        <v>802</v>
      </c>
      <c r="L4" s="2118"/>
      <c r="M4" s="2119"/>
      <c r="N4" s="2119"/>
      <c r="O4" s="2119"/>
      <c r="P4" s="3359" t="s">
        <v>803</v>
      </c>
      <c r="Q4" s="3360"/>
      <c r="R4" s="3365" t="s">
        <v>799</v>
      </c>
      <c r="S4" s="3366"/>
      <c r="T4" s="3365" t="s">
        <v>800</v>
      </c>
      <c r="U4" s="3366"/>
      <c r="V4" s="3352" t="s">
        <v>801</v>
      </c>
      <c r="W4" s="3352"/>
      <c r="X4" s="1553"/>
      <c r="Y4" s="3365" t="s">
        <v>803</v>
      </c>
      <c r="Z4" s="3366"/>
      <c r="AA4" s="3354" t="s">
        <v>799</v>
      </c>
      <c r="AB4" s="3355" t="s">
        <v>800</v>
      </c>
      <c r="AC4" s="3354" t="s">
        <v>801</v>
      </c>
    </row>
    <row r="5" spans="1:29" ht="15">
      <c r="A5" s="515"/>
      <c r="B5" s="516"/>
      <c r="C5" s="3373" t="s">
        <v>2924</v>
      </c>
      <c r="D5" s="3374"/>
      <c r="E5" s="3373" t="s">
        <v>2925</v>
      </c>
      <c r="F5" s="3374"/>
      <c r="G5" s="3373" t="s">
        <v>2926</v>
      </c>
      <c r="H5" s="3374"/>
      <c r="I5" s="3373" t="s">
        <v>2927</v>
      </c>
      <c r="J5" s="3374"/>
      <c r="K5" s="514"/>
      <c r="L5" s="2118"/>
      <c r="M5" s="2119"/>
      <c r="N5" s="2119"/>
      <c r="O5" s="2119"/>
      <c r="P5" s="3361"/>
      <c r="Q5" s="3362"/>
      <c r="R5" s="3367"/>
      <c r="S5" s="3368"/>
      <c r="T5" s="3367"/>
      <c r="U5" s="3368"/>
      <c r="V5" s="3352"/>
      <c r="W5" s="3352"/>
      <c r="X5" s="1553"/>
      <c r="Y5" s="3367"/>
      <c r="Z5" s="3368"/>
      <c r="AA5" s="3355"/>
      <c r="AB5" s="3355"/>
      <c r="AC5" s="3355"/>
    </row>
    <row r="6" spans="1:29" ht="15.75" thickBot="1">
      <c r="A6" s="517"/>
      <c r="B6" s="518"/>
      <c r="C6" s="3371" t="s">
        <v>2928</v>
      </c>
      <c r="D6" s="3372"/>
      <c r="E6" s="3375" t="s">
        <v>2928</v>
      </c>
      <c r="F6" s="3376"/>
      <c r="G6" s="3371" t="s">
        <v>2928</v>
      </c>
      <c r="H6" s="3372"/>
      <c r="I6" s="3371" t="s">
        <v>2928</v>
      </c>
      <c r="J6" s="3372"/>
      <c r="K6" s="514" t="s">
        <v>528</v>
      </c>
      <c r="L6" s="2118"/>
      <c r="M6" s="2119"/>
      <c r="N6" s="2119"/>
      <c r="O6" s="2119"/>
      <c r="P6" s="3363"/>
      <c r="Q6" s="3364"/>
      <c r="R6" s="3367"/>
      <c r="S6" s="3368"/>
      <c r="T6" s="3369"/>
      <c r="U6" s="3370"/>
      <c r="V6" s="3352"/>
      <c r="W6" s="3352"/>
      <c r="X6" s="1553"/>
      <c r="Y6" s="3369"/>
      <c r="Z6" s="3370"/>
      <c r="AA6" s="3356"/>
      <c r="AB6" s="3356"/>
      <c r="AC6" s="3356"/>
    </row>
    <row r="7" spans="1:29" s="1216" customFormat="1" ht="15.75" thickBot="1">
      <c r="A7" s="2867"/>
      <c r="B7" s="2874" t="s">
        <v>529</v>
      </c>
      <c r="C7" s="519">
        <f>'数据-取费表'!B2</f>
        <v>43782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82" t="s">
        <v>530</v>
      </c>
      <c r="Q7" s="3384"/>
      <c r="R7" s="1554" t="s">
        <v>8</v>
      </c>
      <c r="S7" s="1555">
        <f t="shared" ref="S7:S14" si="0">F7</f>
        <v>0</v>
      </c>
      <c r="T7" s="1554" t="s">
        <v>8</v>
      </c>
      <c r="U7" s="1555">
        <f t="shared" ref="U7:U14" si="1">H7</f>
        <v>0</v>
      </c>
      <c r="V7" s="1554" t="s">
        <v>8</v>
      </c>
      <c r="W7" s="1555">
        <f t="shared" ref="W7:W14" si="2">J7</f>
        <v>0</v>
      </c>
      <c r="X7" s="1556"/>
      <c r="Y7" s="3382" t="s">
        <v>530</v>
      </c>
      <c r="Z7" s="3383"/>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82" t="s">
        <v>533</v>
      </c>
      <c r="Q8" s="3383"/>
      <c r="R8" s="1554" t="s">
        <v>8</v>
      </c>
      <c r="S8" s="1555">
        <f t="shared" si="0"/>
        <v>0</v>
      </c>
      <c r="T8" s="1554" t="s">
        <v>8</v>
      </c>
      <c r="U8" s="1555">
        <f t="shared" si="1"/>
        <v>0</v>
      </c>
      <c r="V8" s="1554" t="s">
        <v>8</v>
      </c>
      <c r="W8" s="1555">
        <f t="shared" si="2"/>
        <v>0</v>
      </c>
      <c r="X8" s="1556"/>
      <c r="Y8" s="3382" t="s">
        <v>533</v>
      </c>
      <c r="Z8" s="3383"/>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51" t="s">
        <v>535</v>
      </c>
      <c r="Q9" s="1147" t="str">
        <f t="shared" ref="Q9:Q14" si="6">B9</f>
        <v>用途</v>
      </c>
      <c r="R9" s="1554" t="s">
        <v>8</v>
      </c>
      <c r="S9" s="1555">
        <f t="shared" si="0"/>
        <v>100</v>
      </c>
      <c r="T9" s="1554" t="s">
        <v>8</v>
      </c>
      <c r="U9" s="1555">
        <f t="shared" si="1"/>
        <v>100</v>
      </c>
      <c r="V9" s="1554" t="s">
        <v>8</v>
      </c>
      <c r="W9" s="1555">
        <f t="shared" si="2"/>
        <v>100</v>
      </c>
      <c r="X9" s="1556"/>
      <c r="Y9" s="3297"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51"/>
      <c r="Q10" s="1147" t="str">
        <f t="shared" si="6"/>
        <v>土地使用年限（年）</v>
      </c>
      <c r="R10" s="1554" t="s">
        <v>8</v>
      </c>
      <c r="S10" s="1555">
        <f t="shared" si="0"/>
        <v>100</v>
      </c>
      <c r="T10" s="1554" t="s">
        <v>8</v>
      </c>
      <c r="U10" s="1555">
        <f t="shared" si="1"/>
        <v>100</v>
      </c>
      <c r="V10" s="1554" t="s">
        <v>8</v>
      </c>
      <c r="W10" s="1555">
        <f t="shared" si="2"/>
        <v>100</v>
      </c>
      <c r="X10" s="1556"/>
      <c r="Y10" s="3297"/>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51"/>
      <c r="Q11" s="1147">
        <f t="shared" si="6"/>
        <v>111</v>
      </c>
      <c r="R11" s="1554" t="s">
        <v>8</v>
      </c>
      <c r="S11" s="1555">
        <f t="shared" si="0"/>
        <v>100</v>
      </c>
      <c r="T11" s="1554" t="s">
        <v>8</v>
      </c>
      <c r="U11" s="1555">
        <f t="shared" si="1"/>
        <v>100</v>
      </c>
      <c r="V11" s="1554" t="s">
        <v>8</v>
      </c>
      <c r="W11" s="1555">
        <f t="shared" si="2"/>
        <v>100</v>
      </c>
      <c r="X11" s="1556"/>
      <c r="Y11" s="3297"/>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51"/>
      <c r="Q12" s="1147">
        <f t="shared" si="6"/>
        <v>111</v>
      </c>
      <c r="R12" s="1554" t="s">
        <v>8</v>
      </c>
      <c r="S12" s="1555">
        <f t="shared" si="0"/>
        <v>100</v>
      </c>
      <c r="T12" s="1554" t="s">
        <v>8</v>
      </c>
      <c r="U12" s="1555">
        <f t="shared" si="1"/>
        <v>100</v>
      </c>
      <c r="V12" s="1554" t="s">
        <v>8</v>
      </c>
      <c r="W12" s="1555">
        <f t="shared" si="2"/>
        <v>100</v>
      </c>
      <c r="X12" s="1556"/>
      <c r="Y12" s="3297"/>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51"/>
      <c r="Q13" s="1147">
        <f t="shared" si="6"/>
        <v>111</v>
      </c>
      <c r="R13" s="1554" t="s">
        <v>8</v>
      </c>
      <c r="S13" s="1555">
        <f t="shared" si="0"/>
        <v>100</v>
      </c>
      <c r="T13" s="1554" t="s">
        <v>8</v>
      </c>
      <c r="U13" s="1555">
        <f t="shared" si="1"/>
        <v>100</v>
      </c>
      <c r="V13" s="1554" t="s">
        <v>8</v>
      </c>
      <c r="W13" s="1555">
        <f t="shared" si="2"/>
        <v>100</v>
      </c>
      <c r="X13" s="1556"/>
      <c r="Y13" s="3297"/>
      <c r="Z13" s="1146">
        <f t="shared" si="7"/>
        <v>111</v>
      </c>
      <c r="AA13" s="1557">
        <f t="shared" si="3"/>
        <v>1</v>
      </c>
      <c r="AB13" s="1557">
        <f t="shared" si="4"/>
        <v>1</v>
      </c>
      <c r="AC13" s="1557">
        <f t="shared" si="5"/>
        <v>1</v>
      </c>
    </row>
    <row r="14" spans="1:29" ht="85.5">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5" t="s">
        <v>540</v>
      </c>
      <c r="Q14" s="1558" t="str">
        <f t="shared" si="6"/>
        <v>交通便捷度</v>
      </c>
      <c r="R14" s="1559" t="s">
        <v>8</v>
      </c>
      <c r="S14" s="1560">
        <f t="shared" si="0"/>
        <v>100</v>
      </c>
      <c r="T14" s="1559" t="s">
        <v>8</v>
      </c>
      <c r="U14" s="1560">
        <f t="shared" si="1"/>
        <v>100</v>
      </c>
      <c r="V14" s="1559" t="s">
        <v>8</v>
      </c>
      <c r="W14" s="1560">
        <f t="shared" si="2"/>
        <v>100</v>
      </c>
      <c r="X14" s="1553"/>
      <c r="Y14" s="3385"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6"/>
      <c r="Q15" s="1558"/>
      <c r="R15" s="1559"/>
      <c r="S15" s="1560"/>
      <c r="T15" s="1559"/>
      <c r="U15" s="1560"/>
      <c r="V15" s="1559"/>
      <c r="W15" s="1560"/>
      <c r="X15" s="1553"/>
      <c r="Y15" s="3386"/>
      <c r="Z15" s="1561"/>
      <c r="AA15" s="1562">
        <v>1</v>
      </c>
      <c r="AB15" s="1562">
        <v>1</v>
      </c>
      <c r="AC15" s="1562">
        <v>1</v>
      </c>
    </row>
    <row r="16" spans="1:29" ht="42.75">
      <c r="A16" s="515"/>
      <c r="B16" s="2567"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6"/>
      <c r="Q16" s="1558" t="str">
        <f>B16</f>
        <v>公共配套设施</v>
      </c>
      <c r="R16" s="1559" t="s">
        <v>8</v>
      </c>
      <c r="S16" s="1560">
        <f>F16</f>
        <v>100</v>
      </c>
      <c r="T16" s="1559" t="s">
        <v>8</v>
      </c>
      <c r="U16" s="1560">
        <f>H16</f>
        <v>100</v>
      </c>
      <c r="V16" s="1559" t="s">
        <v>8</v>
      </c>
      <c r="W16" s="1560">
        <f>J16</f>
        <v>100</v>
      </c>
      <c r="X16" s="1553"/>
      <c r="Y16" s="338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6"/>
      <c r="Q17" s="1558"/>
      <c r="R17" s="1559"/>
      <c r="S17" s="1560"/>
      <c r="T17" s="1559"/>
      <c r="U17" s="1560"/>
      <c r="V17" s="1559"/>
      <c r="W17" s="1560"/>
      <c r="X17" s="1553"/>
      <c r="Y17" s="3386"/>
      <c r="Z17" s="1561"/>
      <c r="AA17" s="1562">
        <v>1</v>
      </c>
      <c r="AB17" s="1562">
        <v>1</v>
      </c>
      <c r="AC17" s="1562">
        <v>1</v>
      </c>
    </row>
    <row r="18" spans="1:29" ht="28.5">
      <c r="A18" s="515"/>
      <c r="B18" s="2555"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6"/>
      <c r="Q18" s="2543" t="str">
        <f>B18</f>
        <v>基础设施水平</v>
      </c>
      <c r="R18" s="1559" t="s">
        <v>8</v>
      </c>
      <c r="S18" s="1560">
        <f>F18</f>
        <v>100</v>
      </c>
      <c r="T18" s="1559" t="s">
        <v>8</v>
      </c>
      <c r="U18" s="1560">
        <f>H18</f>
        <v>100</v>
      </c>
      <c r="V18" s="1559" t="s">
        <v>8</v>
      </c>
      <c r="W18" s="1560">
        <f>J18</f>
        <v>100</v>
      </c>
      <c r="X18" s="2545"/>
      <c r="Y18" s="3386"/>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6"/>
      <c r="Q19" s="2543"/>
      <c r="R19" s="1559"/>
      <c r="S19" s="1560"/>
      <c r="T19" s="1559"/>
      <c r="U19" s="1560"/>
      <c r="V19" s="1559"/>
      <c r="W19" s="1560"/>
      <c r="X19" s="2545"/>
      <c r="Y19" s="3386"/>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6"/>
      <c r="Q20" s="1558" t="str">
        <f>B20</f>
        <v>自然及人文环境</v>
      </c>
      <c r="R20" s="1559" t="s">
        <v>8</v>
      </c>
      <c r="S20" s="1560">
        <f>F20</f>
        <v>100</v>
      </c>
      <c r="T20" s="1559" t="s">
        <v>8</v>
      </c>
      <c r="U20" s="1560">
        <f>H20</f>
        <v>100</v>
      </c>
      <c r="V20" s="1559" t="s">
        <v>8</v>
      </c>
      <c r="W20" s="1560">
        <f>J20</f>
        <v>100</v>
      </c>
      <c r="X20" s="1553"/>
      <c r="Y20" s="338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6"/>
      <c r="Q21" s="1558"/>
      <c r="R21" s="1559"/>
      <c r="S21" s="1560"/>
      <c r="T21" s="1559"/>
      <c r="U21" s="1560"/>
      <c r="V21" s="1559"/>
      <c r="W21" s="1560"/>
      <c r="X21" s="1553"/>
      <c r="Y21" s="338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6"/>
      <c r="Q22" s="1558" t="str">
        <f>B22</f>
        <v>楼层</v>
      </c>
      <c r="R22" s="1559" t="s">
        <v>8</v>
      </c>
      <c r="S22" s="1560">
        <f>F22</f>
        <v>100</v>
      </c>
      <c r="T22" s="1559" t="s">
        <v>8</v>
      </c>
      <c r="U22" s="1560">
        <f>H22</f>
        <v>100</v>
      </c>
      <c r="V22" s="1559" t="s">
        <v>8</v>
      </c>
      <c r="W22" s="1560">
        <f>J22</f>
        <v>100</v>
      </c>
      <c r="X22" s="1553"/>
      <c r="Y22" s="3386"/>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6"/>
      <c r="Q23" s="1558">
        <f>B23</f>
        <v>111</v>
      </c>
      <c r="R23" s="1559" t="s">
        <v>8</v>
      </c>
      <c r="S23" s="1560">
        <f>F23</f>
        <v>100</v>
      </c>
      <c r="T23" s="1559" t="s">
        <v>8</v>
      </c>
      <c r="U23" s="1560">
        <f>H23</f>
        <v>100</v>
      </c>
      <c r="V23" s="1559" t="s">
        <v>8</v>
      </c>
      <c r="W23" s="1560">
        <f>J23</f>
        <v>100</v>
      </c>
      <c r="X23" s="1553"/>
      <c r="Y23" s="3386"/>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6"/>
      <c r="Q24" s="1558">
        <f t="shared" ref="Q24:Q36" si="11">B24</f>
        <v>111</v>
      </c>
      <c r="R24" s="1559" t="s">
        <v>8</v>
      </c>
      <c r="S24" s="1560">
        <f>F24</f>
        <v>100</v>
      </c>
      <c r="T24" s="1559" t="s">
        <v>8</v>
      </c>
      <c r="U24" s="1560">
        <f>H24</f>
        <v>100</v>
      </c>
      <c r="V24" s="1559" t="s">
        <v>8</v>
      </c>
      <c r="W24" s="1560">
        <f>J24</f>
        <v>100</v>
      </c>
      <c r="X24" s="1553"/>
      <c r="Y24" s="3386"/>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6"/>
      <c r="Q25" s="1147">
        <f t="shared" si="11"/>
        <v>111</v>
      </c>
      <c r="R25" s="1554" t="s">
        <v>8</v>
      </c>
      <c r="S25" s="1555">
        <f>F25</f>
        <v>100</v>
      </c>
      <c r="T25" s="1554" t="s">
        <v>8</v>
      </c>
      <c r="U25" s="1555">
        <f>H25</f>
        <v>100</v>
      </c>
      <c r="V25" s="1554" t="s">
        <v>8</v>
      </c>
      <c r="W25" s="1555">
        <f>J25</f>
        <v>100</v>
      </c>
      <c r="X25" s="1556"/>
      <c r="Y25" s="3386"/>
      <c r="Z25" s="1146">
        <f>Q25</f>
        <v>111</v>
      </c>
      <c r="AA25" s="1562">
        <f>D25/F25</f>
        <v>1</v>
      </c>
      <c r="AB25" s="1562">
        <f>D25/H25</f>
        <v>1</v>
      </c>
      <c r="AC25" s="1562">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8"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8"/>
      <c r="Q27" s="1590" t="str">
        <f t="shared" si="11"/>
        <v>项目停车位配比</v>
      </c>
      <c r="R27" s="1563" t="s">
        <v>8</v>
      </c>
      <c r="S27" s="1564">
        <f t="shared" si="12"/>
        <v>100</v>
      </c>
      <c r="T27" s="1563" t="s">
        <v>8</v>
      </c>
      <c r="U27" s="1564">
        <f t="shared" si="13"/>
        <v>100</v>
      </c>
      <c r="V27" s="1563" t="s">
        <v>8</v>
      </c>
      <c r="W27" s="1564">
        <f t="shared" si="14"/>
        <v>100</v>
      </c>
      <c r="X27" s="1565"/>
      <c r="Y27" s="3388"/>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8"/>
      <c r="Q28" s="1558" t="str">
        <f t="shared" si="11"/>
        <v>公共部分装修</v>
      </c>
      <c r="R28" s="1559" t="s">
        <v>8</v>
      </c>
      <c r="S28" s="1560">
        <f t="shared" si="12"/>
        <v>100</v>
      </c>
      <c r="T28" s="1559" t="s">
        <v>8</v>
      </c>
      <c r="U28" s="1560">
        <f t="shared" si="13"/>
        <v>100</v>
      </c>
      <c r="V28" s="1559" t="s">
        <v>8</v>
      </c>
      <c r="W28" s="1560">
        <f t="shared" si="14"/>
        <v>100</v>
      </c>
      <c r="X28" s="1553"/>
      <c r="Y28" s="3388"/>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8"/>
      <c r="Q29" s="1558" t="str">
        <f t="shared" si="11"/>
        <v>成新率</v>
      </c>
      <c r="R29" s="1559" t="s">
        <v>8</v>
      </c>
      <c r="S29" s="1560" t="e">
        <f t="shared" si="12"/>
        <v>#N/A</v>
      </c>
      <c r="T29" s="1559" t="s">
        <v>8</v>
      </c>
      <c r="U29" s="1560" t="e">
        <f t="shared" si="13"/>
        <v>#N/A</v>
      </c>
      <c r="V29" s="1559" t="s">
        <v>8</v>
      </c>
      <c r="W29" s="1560" t="e">
        <f t="shared" si="14"/>
        <v>#N/A</v>
      </c>
      <c r="X29" s="1553"/>
      <c r="Y29" s="3388"/>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8"/>
      <c r="Q30" s="1558" t="str">
        <f t="shared" si="11"/>
        <v>物业等级</v>
      </c>
      <c r="R30" s="1559" t="s">
        <v>8</v>
      </c>
      <c r="S30" s="1560">
        <f t="shared" si="12"/>
        <v>100</v>
      </c>
      <c r="T30" s="1559" t="s">
        <v>8</v>
      </c>
      <c r="U30" s="1560">
        <f t="shared" si="13"/>
        <v>100</v>
      </c>
      <c r="V30" s="1559" t="s">
        <v>8</v>
      </c>
      <c r="W30" s="1560">
        <f t="shared" si="14"/>
        <v>100</v>
      </c>
      <c r="X30" s="1553"/>
      <c r="Y30" s="3388"/>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8"/>
      <c r="Q31" s="1147" t="str">
        <f t="shared" si="11"/>
        <v>停车位面积</v>
      </c>
      <c r="R31" s="1554" t="s">
        <v>8</v>
      </c>
      <c r="S31" s="1555" t="e">
        <f t="shared" si="12"/>
        <v>#N/A</v>
      </c>
      <c r="T31" s="1554" t="s">
        <v>8</v>
      </c>
      <c r="U31" s="1555" t="e">
        <f t="shared" si="13"/>
        <v>#N/A</v>
      </c>
      <c r="V31" s="1554" t="s">
        <v>8</v>
      </c>
      <c r="W31" s="1555" t="e">
        <f t="shared" si="14"/>
        <v>#N/A</v>
      </c>
      <c r="X31" s="1556"/>
      <c r="Y31" s="3388"/>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8" t="s">
        <v>550</v>
      </c>
      <c r="Q32" s="1558" t="str">
        <f t="shared" si="11"/>
        <v>车位类型</v>
      </c>
      <c r="R32" s="1559" t="s">
        <v>8</v>
      </c>
      <c r="S32" s="1560">
        <f t="shared" si="12"/>
        <v>100</v>
      </c>
      <c r="T32" s="1559" t="s">
        <v>8</v>
      </c>
      <c r="U32" s="1560">
        <f t="shared" si="13"/>
        <v>100</v>
      </c>
      <c r="V32" s="1559" t="s">
        <v>8</v>
      </c>
      <c r="W32" s="1560">
        <f t="shared" si="14"/>
        <v>100</v>
      </c>
      <c r="X32" s="1553"/>
      <c r="Y32" s="3388"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8"/>
      <c r="Q33" s="1558" t="str">
        <f t="shared" si="11"/>
        <v>是否直接入户</v>
      </c>
      <c r="R33" s="1559" t="s">
        <v>8</v>
      </c>
      <c r="S33" s="1560">
        <f t="shared" si="12"/>
        <v>100</v>
      </c>
      <c r="T33" s="1559" t="s">
        <v>8</v>
      </c>
      <c r="U33" s="1560">
        <f t="shared" si="13"/>
        <v>100</v>
      </c>
      <c r="V33" s="1559" t="s">
        <v>8</v>
      </c>
      <c r="W33" s="1560">
        <f t="shared" si="14"/>
        <v>100</v>
      </c>
      <c r="X33" s="1553"/>
      <c r="Y33" s="3388"/>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8"/>
      <c r="Q34" s="1558">
        <f t="shared" si="11"/>
        <v>111</v>
      </c>
      <c r="R34" s="1559" t="s">
        <v>8</v>
      </c>
      <c r="S34" s="1560">
        <f t="shared" si="12"/>
        <v>100</v>
      </c>
      <c r="T34" s="1559" t="s">
        <v>8</v>
      </c>
      <c r="U34" s="1560">
        <f t="shared" si="13"/>
        <v>100</v>
      </c>
      <c r="V34" s="1559" t="s">
        <v>8</v>
      </c>
      <c r="W34" s="1560">
        <f t="shared" si="14"/>
        <v>100</v>
      </c>
      <c r="X34" s="1553"/>
      <c r="Y34" s="3388"/>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8"/>
      <c r="Q35" s="1590">
        <f t="shared" si="11"/>
        <v>111</v>
      </c>
      <c r="R35" s="1563" t="s">
        <v>8</v>
      </c>
      <c r="S35" s="1564">
        <f t="shared" si="12"/>
        <v>100</v>
      </c>
      <c r="T35" s="1563" t="s">
        <v>8</v>
      </c>
      <c r="U35" s="1564">
        <f t="shared" si="13"/>
        <v>100</v>
      </c>
      <c r="V35" s="1563" t="s">
        <v>8</v>
      </c>
      <c r="W35" s="1564">
        <f t="shared" si="14"/>
        <v>100</v>
      </c>
      <c r="X35" s="1565"/>
      <c r="Y35" s="3388"/>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8"/>
      <c r="Q36" s="1558">
        <f t="shared" si="11"/>
        <v>111</v>
      </c>
      <c r="R36" s="1559" t="s">
        <v>8</v>
      </c>
      <c r="S36" s="1560">
        <f t="shared" si="12"/>
        <v>100</v>
      </c>
      <c r="T36" s="1559" t="s">
        <v>8</v>
      </c>
      <c r="U36" s="1560">
        <f t="shared" si="13"/>
        <v>100</v>
      </c>
      <c r="V36" s="1559" t="s">
        <v>8</v>
      </c>
      <c r="W36" s="1560">
        <f t="shared" si="14"/>
        <v>100</v>
      </c>
      <c r="X36" s="1553"/>
      <c r="Y36" s="3388"/>
      <c r="Z36" s="1561">
        <f t="shared" si="15"/>
        <v>111</v>
      </c>
      <c r="AA36" s="1562">
        <f t="shared" si="3"/>
        <v>1</v>
      </c>
      <c r="AB36" s="1562">
        <f t="shared" si="4"/>
        <v>1</v>
      </c>
      <c r="AC36" s="1562">
        <f t="shared" si="5"/>
        <v>1</v>
      </c>
    </row>
    <row r="37" spans="1:29" ht="15">
      <c r="A37" s="1831" t="s">
        <v>2074</v>
      </c>
      <c r="B37" s="1832" t="s">
        <v>2075</v>
      </c>
      <c r="C37" s="2591" t="s">
        <v>1</v>
      </c>
      <c r="D37" s="2592"/>
      <c r="E37" s="2593"/>
      <c r="F37" s="2594"/>
      <c r="G37" s="2595"/>
      <c r="H37" s="2596"/>
      <c r="I37" s="2593"/>
      <c r="J37" s="2596"/>
      <c r="K37" s="1596"/>
      <c r="L37" s="2129"/>
      <c r="M37" s="2130"/>
      <c r="N37" s="2119"/>
      <c r="O37" s="2130"/>
      <c r="P37" s="3351" t="str">
        <f>A37</f>
        <v>成交单价</v>
      </c>
      <c r="Q37" s="3351"/>
      <c r="R37" s="3468">
        <f>E37</f>
        <v>0</v>
      </c>
      <c r="S37" s="3468"/>
      <c r="T37" s="3468">
        <f>G37</f>
        <v>0</v>
      </c>
      <c r="U37" s="3468"/>
      <c r="V37" s="3468">
        <f>I37</f>
        <v>0</v>
      </c>
      <c r="W37" s="3468"/>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51" t="str">
        <f>A38</f>
        <v>比较价格（元/平方米）</v>
      </c>
      <c r="Q38" s="3351"/>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5"/>
      <c r="Y38" s="1545"/>
      <c r="Z38" s="1545"/>
      <c r="AA38" s="1545"/>
      <c r="AB38" s="1545"/>
      <c r="AC38" s="1545"/>
    </row>
    <row r="39" spans="1:29" ht="15.75" thickBot="1">
      <c r="A39" s="621" t="s">
        <v>2930</v>
      </c>
      <c r="B39" s="622"/>
      <c r="C39" s="2600" t="e">
        <f>R39</f>
        <v>#DIV/0!</v>
      </c>
      <c r="D39" s="2600"/>
      <c r="E39" s="2600"/>
      <c r="F39" s="2600"/>
      <c r="G39" s="2600"/>
      <c r="H39" s="2600"/>
      <c r="I39" s="2600"/>
      <c r="J39" s="2600"/>
      <c r="K39" s="1598"/>
      <c r="L39" s="2129"/>
      <c r="M39" s="2130"/>
      <c r="N39" s="2130"/>
      <c r="O39" s="2130"/>
      <c r="P39" s="3348" t="str">
        <f>A39</f>
        <v>估价对象XX用房的比较价格（楼面单价，元/平方米）</v>
      </c>
      <c r="Q39" s="3349"/>
      <c r="R39" s="3467" t="e">
        <f>IF(F1="售价",ROUND(AVERAGE(R38:V38),0),ROUND(AVERAGE(R38:V38),1))</f>
        <v>#DIV/0!</v>
      </c>
      <c r="S39" s="3467"/>
      <c r="T39" s="3467"/>
      <c r="U39" s="3467"/>
      <c r="V39" s="3467"/>
      <c r="W39" s="346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2019-11</v>
      </c>
      <c r="D48" s="2759">
        <f>EDATE(C48,-1)</f>
        <v>43739</v>
      </c>
      <c r="E48" s="2759">
        <f t="shared" ref="E48:O48" si="16">EDATE(D48,-1)</f>
        <v>43709</v>
      </c>
      <c r="F48" s="2759">
        <f t="shared" si="16"/>
        <v>43678</v>
      </c>
      <c r="G48" s="2759">
        <f t="shared" si="16"/>
        <v>43647</v>
      </c>
      <c r="H48" s="2759">
        <f t="shared" si="16"/>
        <v>43617</v>
      </c>
      <c r="I48" s="2759">
        <f t="shared" si="16"/>
        <v>43586</v>
      </c>
      <c r="J48" s="2759">
        <f t="shared" si="16"/>
        <v>43556</v>
      </c>
      <c r="K48" s="2759">
        <f t="shared" si="16"/>
        <v>43525</v>
      </c>
      <c r="L48" s="2759">
        <f t="shared" si="16"/>
        <v>43497</v>
      </c>
      <c r="M48" s="2759">
        <f t="shared" si="16"/>
        <v>43466</v>
      </c>
      <c r="N48" s="2759">
        <f t="shared" si="16"/>
        <v>43435</v>
      </c>
      <c r="O48" s="2759">
        <f t="shared" si="16"/>
        <v>43405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47" sqref="I47"/>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57" t="s">
        <v>798</v>
      </c>
      <c r="D4" s="3358"/>
      <c r="E4" s="3391" t="s">
        <v>799</v>
      </c>
      <c r="F4" s="3392"/>
      <c r="G4" s="3357" t="s">
        <v>800</v>
      </c>
      <c r="H4" s="3358"/>
      <c r="I4" s="3357" t="s">
        <v>801</v>
      </c>
      <c r="J4" s="3358"/>
      <c r="K4" s="514" t="s">
        <v>802</v>
      </c>
      <c r="L4" s="2118"/>
      <c r="M4" s="2119"/>
      <c r="N4" s="2119"/>
      <c r="O4" s="2119"/>
      <c r="P4" s="3359" t="s">
        <v>803</v>
      </c>
      <c r="Q4" s="3360"/>
      <c r="R4" s="3365" t="s">
        <v>799</v>
      </c>
      <c r="S4" s="3366"/>
      <c r="T4" s="3365" t="s">
        <v>800</v>
      </c>
      <c r="U4" s="3366"/>
      <c r="V4" s="3352" t="s">
        <v>801</v>
      </c>
      <c r="W4" s="3352"/>
      <c r="X4" s="1553"/>
      <c r="Y4" s="3365" t="s">
        <v>803</v>
      </c>
      <c r="Z4" s="3366"/>
      <c r="AA4" s="3354" t="s">
        <v>799</v>
      </c>
      <c r="AB4" s="3355" t="s">
        <v>800</v>
      </c>
      <c r="AC4" s="3354" t="s">
        <v>801</v>
      </c>
    </row>
    <row r="5" spans="1:29" ht="15">
      <c r="A5" s="515"/>
      <c r="B5" s="516"/>
      <c r="C5" s="3373" t="s">
        <v>2924</v>
      </c>
      <c r="D5" s="3374"/>
      <c r="E5" s="3393" t="s">
        <v>2925</v>
      </c>
      <c r="F5" s="3394"/>
      <c r="G5" s="3373" t="s">
        <v>2926</v>
      </c>
      <c r="H5" s="3374"/>
      <c r="I5" s="3373" t="s">
        <v>2927</v>
      </c>
      <c r="J5" s="3374"/>
      <c r="K5" s="514"/>
      <c r="L5" s="2118"/>
      <c r="M5" s="2119"/>
      <c r="N5" s="2119"/>
      <c r="O5" s="2119"/>
      <c r="P5" s="3361"/>
      <c r="Q5" s="3362"/>
      <c r="R5" s="3367"/>
      <c r="S5" s="3368"/>
      <c r="T5" s="3367"/>
      <c r="U5" s="3368"/>
      <c r="V5" s="3352"/>
      <c r="W5" s="3352"/>
      <c r="X5" s="1553"/>
      <c r="Y5" s="3367"/>
      <c r="Z5" s="3368"/>
      <c r="AA5" s="3355"/>
      <c r="AB5" s="3355"/>
      <c r="AC5" s="3355"/>
    </row>
    <row r="6" spans="1:29" ht="15.75" thickBot="1">
      <c r="A6" s="517"/>
      <c r="B6" s="518"/>
      <c r="C6" s="3371" t="s">
        <v>2928</v>
      </c>
      <c r="D6" s="3372"/>
      <c r="E6" s="3389" t="s">
        <v>2928</v>
      </c>
      <c r="F6" s="3390"/>
      <c r="G6" s="3371" t="s">
        <v>2928</v>
      </c>
      <c r="H6" s="3372"/>
      <c r="I6" s="3371" t="s">
        <v>2928</v>
      </c>
      <c r="J6" s="3372"/>
      <c r="K6" s="514" t="s">
        <v>528</v>
      </c>
      <c r="L6" s="2118"/>
      <c r="M6" s="2119"/>
      <c r="N6" s="2119"/>
      <c r="O6" s="2119"/>
      <c r="P6" s="3363"/>
      <c r="Q6" s="3364"/>
      <c r="R6" s="3367"/>
      <c r="S6" s="3368"/>
      <c r="T6" s="3369"/>
      <c r="U6" s="3370"/>
      <c r="V6" s="3352"/>
      <c r="W6" s="3352"/>
      <c r="X6" s="1553"/>
      <c r="Y6" s="3369"/>
      <c r="Z6" s="3370"/>
      <c r="AA6" s="3356"/>
      <c r="AB6" s="3356"/>
      <c r="AC6" s="3356"/>
    </row>
    <row r="7" spans="1:29" s="1216" customFormat="1" ht="15.75" thickBot="1">
      <c r="A7" s="2867"/>
      <c r="B7" s="2874" t="s">
        <v>529</v>
      </c>
      <c r="C7" s="519">
        <f>'数据-取费表'!B2</f>
        <v>43782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82" t="s">
        <v>530</v>
      </c>
      <c r="Q7" s="3384"/>
      <c r="R7" s="1554" t="s">
        <v>8</v>
      </c>
      <c r="S7" s="1555">
        <f t="shared" ref="S7:S14" si="0">F7</f>
        <v>0</v>
      </c>
      <c r="T7" s="1554" t="s">
        <v>8</v>
      </c>
      <c r="U7" s="1555">
        <f t="shared" ref="U7:U14" si="1">H7</f>
        <v>0</v>
      </c>
      <c r="V7" s="1554" t="s">
        <v>8</v>
      </c>
      <c r="W7" s="1555">
        <f t="shared" ref="W7:W14" si="2">J7</f>
        <v>0</v>
      </c>
      <c r="X7" s="1556"/>
      <c r="Y7" s="3382" t="s">
        <v>530</v>
      </c>
      <c r="Z7" s="3383"/>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82" t="s">
        <v>533</v>
      </c>
      <c r="Q8" s="3383"/>
      <c r="R8" s="1554" t="s">
        <v>8</v>
      </c>
      <c r="S8" s="1555">
        <f t="shared" si="0"/>
        <v>0</v>
      </c>
      <c r="T8" s="1554" t="s">
        <v>8</v>
      </c>
      <c r="U8" s="1555">
        <f t="shared" si="1"/>
        <v>0</v>
      </c>
      <c r="V8" s="1554" t="s">
        <v>8</v>
      </c>
      <c r="W8" s="1555">
        <f t="shared" si="2"/>
        <v>0</v>
      </c>
      <c r="X8" s="1556"/>
      <c r="Y8" s="3382" t="s">
        <v>533</v>
      </c>
      <c r="Z8" s="3383"/>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51" t="s">
        <v>535</v>
      </c>
      <c r="Q9" s="1147" t="str">
        <f t="shared" ref="Q9:Q14" si="6">B9</f>
        <v>用途</v>
      </c>
      <c r="R9" s="1554" t="s">
        <v>8</v>
      </c>
      <c r="S9" s="1555">
        <f t="shared" si="0"/>
        <v>100</v>
      </c>
      <c r="T9" s="1554" t="s">
        <v>8</v>
      </c>
      <c r="U9" s="1555">
        <f t="shared" si="1"/>
        <v>100</v>
      </c>
      <c r="V9" s="1554" t="s">
        <v>8</v>
      </c>
      <c r="W9" s="1555">
        <f t="shared" si="2"/>
        <v>100</v>
      </c>
      <c r="X9" s="1556"/>
      <c r="Y9" s="3297"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51"/>
      <c r="Q10" s="1147" t="str">
        <f t="shared" si="6"/>
        <v>土地使用年限（年）</v>
      </c>
      <c r="R10" s="1554" t="s">
        <v>8</v>
      </c>
      <c r="S10" s="1555">
        <f t="shared" si="0"/>
        <v>100</v>
      </c>
      <c r="T10" s="1554" t="s">
        <v>8</v>
      </c>
      <c r="U10" s="1555">
        <f t="shared" si="1"/>
        <v>100</v>
      </c>
      <c r="V10" s="1554" t="s">
        <v>8</v>
      </c>
      <c r="W10" s="1555">
        <f t="shared" si="2"/>
        <v>100</v>
      </c>
      <c r="X10" s="1556"/>
      <c r="Y10" s="3297"/>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51"/>
      <c r="Q11" s="1147">
        <f t="shared" si="6"/>
        <v>111</v>
      </c>
      <c r="R11" s="1554" t="s">
        <v>8</v>
      </c>
      <c r="S11" s="1555">
        <f t="shared" si="0"/>
        <v>100</v>
      </c>
      <c r="T11" s="1554" t="s">
        <v>8</v>
      </c>
      <c r="U11" s="1555">
        <f t="shared" si="1"/>
        <v>100</v>
      </c>
      <c r="V11" s="1554" t="s">
        <v>8</v>
      </c>
      <c r="W11" s="1555">
        <f t="shared" si="2"/>
        <v>100</v>
      </c>
      <c r="X11" s="1556"/>
      <c r="Y11" s="3297"/>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51"/>
      <c r="Q12" s="1147">
        <f t="shared" si="6"/>
        <v>111</v>
      </c>
      <c r="R12" s="1554" t="s">
        <v>8</v>
      </c>
      <c r="S12" s="1555">
        <f t="shared" si="0"/>
        <v>100</v>
      </c>
      <c r="T12" s="1554" t="s">
        <v>8</v>
      </c>
      <c r="U12" s="1555">
        <f t="shared" si="1"/>
        <v>100</v>
      </c>
      <c r="V12" s="1554" t="s">
        <v>8</v>
      </c>
      <c r="W12" s="1555">
        <f t="shared" si="2"/>
        <v>100</v>
      </c>
      <c r="X12" s="1556"/>
      <c r="Y12" s="3297"/>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51"/>
      <c r="Q13" s="1147">
        <f t="shared" si="6"/>
        <v>111</v>
      </c>
      <c r="R13" s="1554" t="s">
        <v>8</v>
      </c>
      <c r="S13" s="1555">
        <f t="shared" si="0"/>
        <v>100</v>
      </c>
      <c r="T13" s="1554" t="s">
        <v>8</v>
      </c>
      <c r="U13" s="1555">
        <f t="shared" si="1"/>
        <v>100</v>
      </c>
      <c r="V13" s="1554" t="s">
        <v>8</v>
      </c>
      <c r="W13" s="1555">
        <f t="shared" si="2"/>
        <v>100</v>
      </c>
      <c r="X13" s="1556"/>
      <c r="Y13" s="3297"/>
      <c r="Z13" s="1146">
        <f t="shared" si="7"/>
        <v>111</v>
      </c>
      <c r="AA13" s="1557">
        <f t="shared" si="3"/>
        <v>1</v>
      </c>
      <c r="AB13" s="1557">
        <f t="shared" si="4"/>
        <v>1</v>
      </c>
      <c r="AC13" s="1557">
        <f t="shared" si="5"/>
        <v>1</v>
      </c>
    </row>
    <row r="14" spans="1:29" ht="85.5">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5" t="s">
        <v>540</v>
      </c>
      <c r="Q14" s="1558" t="str">
        <f t="shared" si="6"/>
        <v>交通便捷度</v>
      </c>
      <c r="R14" s="1559" t="s">
        <v>8</v>
      </c>
      <c r="S14" s="1560">
        <f t="shared" si="0"/>
        <v>100</v>
      </c>
      <c r="T14" s="1559" t="s">
        <v>8</v>
      </c>
      <c r="U14" s="1560">
        <f t="shared" si="1"/>
        <v>100</v>
      </c>
      <c r="V14" s="1559" t="s">
        <v>8</v>
      </c>
      <c r="W14" s="1560">
        <f t="shared" si="2"/>
        <v>100</v>
      </c>
      <c r="X14" s="1553"/>
      <c r="Y14" s="338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6"/>
      <c r="Q15" s="1558"/>
      <c r="R15" s="1559"/>
      <c r="S15" s="1560"/>
      <c r="T15" s="1559"/>
      <c r="U15" s="1560"/>
      <c r="V15" s="1559"/>
      <c r="W15" s="1560"/>
      <c r="X15" s="1553"/>
      <c r="Y15" s="3386"/>
      <c r="Z15" s="1561"/>
      <c r="AA15" s="1562">
        <v>1</v>
      </c>
      <c r="AB15" s="1562">
        <v>1</v>
      </c>
      <c r="AC15" s="1562">
        <v>1</v>
      </c>
    </row>
    <row r="16" spans="1:29" ht="42.75">
      <c r="A16" s="532"/>
      <c r="B16" s="2567"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6"/>
      <c r="Q16" s="1558" t="str">
        <f>B16</f>
        <v>公共配套设施</v>
      </c>
      <c r="R16" s="1559" t="s">
        <v>8</v>
      </c>
      <c r="S16" s="1560">
        <f>F16</f>
        <v>100</v>
      </c>
      <c r="T16" s="1559" t="s">
        <v>8</v>
      </c>
      <c r="U16" s="1560">
        <f>H16</f>
        <v>100</v>
      </c>
      <c r="V16" s="1559" t="s">
        <v>8</v>
      </c>
      <c r="W16" s="1560">
        <f>J16</f>
        <v>100</v>
      </c>
      <c r="X16" s="1553"/>
      <c r="Y16" s="338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6"/>
      <c r="Q17" s="1558"/>
      <c r="R17" s="1559"/>
      <c r="S17" s="1560"/>
      <c r="T17" s="1559"/>
      <c r="U17" s="1560"/>
      <c r="V17" s="1559"/>
      <c r="W17" s="1560"/>
      <c r="X17" s="1553"/>
      <c r="Y17" s="3386"/>
      <c r="Z17" s="1561"/>
      <c r="AA17" s="1562">
        <v>1</v>
      </c>
      <c r="AB17" s="1562">
        <v>1</v>
      </c>
      <c r="AC17" s="1562">
        <v>1</v>
      </c>
    </row>
    <row r="18" spans="1:29" ht="28.5">
      <c r="A18" s="532"/>
      <c r="B18" s="2555"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6"/>
      <c r="Q18" s="2543" t="str">
        <f>B18</f>
        <v>基础设施水平</v>
      </c>
      <c r="R18" s="1559" t="s">
        <v>8</v>
      </c>
      <c r="S18" s="1560">
        <f>F18</f>
        <v>100</v>
      </c>
      <c r="T18" s="1559" t="s">
        <v>8</v>
      </c>
      <c r="U18" s="1560">
        <f>H18</f>
        <v>100</v>
      </c>
      <c r="V18" s="1559" t="s">
        <v>8</v>
      </c>
      <c r="W18" s="1560">
        <f>J18</f>
        <v>100</v>
      </c>
      <c r="X18" s="2545"/>
      <c r="Y18" s="3386"/>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6"/>
      <c r="Q19" s="2543"/>
      <c r="R19" s="1559"/>
      <c r="S19" s="1560"/>
      <c r="T19" s="1559"/>
      <c r="U19" s="1560"/>
      <c r="V19" s="1559"/>
      <c r="W19" s="1560"/>
      <c r="X19" s="2545"/>
      <c r="Y19" s="3386"/>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6"/>
      <c r="Q20" s="1558" t="str">
        <f>B20</f>
        <v>自然及人文环境</v>
      </c>
      <c r="R20" s="1559" t="s">
        <v>8</v>
      </c>
      <c r="S20" s="1560">
        <f>F20</f>
        <v>100</v>
      </c>
      <c r="T20" s="1559" t="s">
        <v>8</v>
      </c>
      <c r="U20" s="1560">
        <f>H20</f>
        <v>100</v>
      </c>
      <c r="V20" s="1559" t="s">
        <v>8</v>
      </c>
      <c r="W20" s="1560">
        <f>J20</f>
        <v>100</v>
      </c>
      <c r="X20" s="1553"/>
      <c r="Y20" s="338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6"/>
      <c r="Q21" s="1558"/>
      <c r="R21" s="1559"/>
      <c r="S21" s="1560"/>
      <c r="T21" s="1559"/>
      <c r="U21" s="1560"/>
      <c r="V21" s="1559"/>
      <c r="W21" s="1560"/>
      <c r="X21" s="1553"/>
      <c r="Y21" s="338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6"/>
      <c r="Q22" s="1558" t="str">
        <f>B22</f>
        <v>楼层</v>
      </c>
      <c r="R22" s="1559" t="s">
        <v>8</v>
      </c>
      <c r="S22" s="1560">
        <f>F22</f>
        <v>100</v>
      </c>
      <c r="T22" s="1559" t="s">
        <v>8</v>
      </c>
      <c r="U22" s="1560">
        <f>H22</f>
        <v>100</v>
      </c>
      <c r="V22" s="1559" t="s">
        <v>8</v>
      </c>
      <c r="W22" s="1560">
        <f>J22</f>
        <v>100</v>
      </c>
      <c r="X22" s="1553"/>
      <c r="Y22" s="338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6"/>
      <c r="Q23" s="1558">
        <f>B23</f>
        <v>111</v>
      </c>
      <c r="R23" s="1559" t="s">
        <v>8</v>
      </c>
      <c r="S23" s="1560">
        <f>F23</f>
        <v>100</v>
      </c>
      <c r="T23" s="1559" t="s">
        <v>8</v>
      </c>
      <c r="U23" s="1560">
        <f>H23</f>
        <v>100</v>
      </c>
      <c r="V23" s="1559" t="s">
        <v>8</v>
      </c>
      <c r="W23" s="1560">
        <f>J23</f>
        <v>100</v>
      </c>
      <c r="X23" s="1553"/>
      <c r="Y23" s="338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6"/>
      <c r="Q24" s="1558">
        <f t="shared" ref="Q24:Q34" si="11">B24</f>
        <v>111</v>
      </c>
      <c r="R24" s="1559" t="s">
        <v>8</v>
      </c>
      <c r="S24" s="1560">
        <f>F24</f>
        <v>100</v>
      </c>
      <c r="T24" s="1559" t="s">
        <v>8</v>
      </c>
      <c r="U24" s="1560">
        <f>H24</f>
        <v>100</v>
      </c>
      <c r="V24" s="1559" t="s">
        <v>8</v>
      </c>
      <c r="W24" s="1560">
        <f>J24</f>
        <v>100</v>
      </c>
      <c r="X24" s="1553"/>
      <c r="Y24" s="3386"/>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6"/>
      <c r="Q25" s="1147">
        <f t="shared" si="11"/>
        <v>111</v>
      </c>
      <c r="R25" s="1554" t="s">
        <v>8</v>
      </c>
      <c r="S25" s="1555">
        <f>F25</f>
        <v>100</v>
      </c>
      <c r="T25" s="1554" t="s">
        <v>8</v>
      </c>
      <c r="U25" s="1555">
        <f>H25</f>
        <v>100</v>
      </c>
      <c r="V25" s="1554" t="s">
        <v>8</v>
      </c>
      <c r="W25" s="1555">
        <f>J25</f>
        <v>100</v>
      </c>
      <c r="X25" s="1556"/>
      <c r="Y25" s="3386"/>
      <c r="Z25" s="1146">
        <f>Q25</f>
        <v>111</v>
      </c>
      <c r="AA25" s="1562">
        <f>D25/F25</f>
        <v>1</v>
      </c>
      <c r="AB25" s="1562">
        <f>D25/H25</f>
        <v>1</v>
      </c>
      <c r="AC25" s="1562">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8"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8"/>
      <c r="Q27" s="1590" t="str">
        <f t="shared" si="11"/>
        <v>成新率</v>
      </c>
      <c r="R27" s="1563" t="s">
        <v>8</v>
      </c>
      <c r="S27" s="1564" t="e">
        <f t="shared" si="12"/>
        <v>#N/A</v>
      </c>
      <c r="T27" s="1563" t="s">
        <v>8</v>
      </c>
      <c r="U27" s="1564" t="e">
        <f t="shared" si="13"/>
        <v>#N/A</v>
      </c>
      <c r="V27" s="1563" t="s">
        <v>8</v>
      </c>
      <c r="W27" s="1564" t="e">
        <f t="shared" si="14"/>
        <v>#N/A</v>
      </c>
      <c r="X27" s="1565"/>
      <c r="Y27" s="338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8"/>
      <c r="Q28" s="1558" t="str">
        <f t="shared" si="11"/>
        <v>物业等级</v>
      </c>
      <c r="R28" s="1559" t="s">
        <v>8</v>
      </c>
      <c r="S28" s="1560">
        <f t="shared" si="12"/>
        <v>100</v>
      </c>
      <c r="T28" s="1559" t="s">
        <v>8</v>
      </c>
      <c r="U28" s="1560">
        <f t="shared" si="13"/>
        <v>100</v>
      </c>
      <c r="V28" s="1559" t="s">
        <v>8</v>
      </c>
      <c r="W28" s="1560">
        <f t="shared" si="14"/>
        <v>100</v>
      </c>
      <c r="X28" s="1553"/>
      <c r="Y28" s="3388"/>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8"/>
      <c r="Q29" s="1558" t="str">
        <f t="shared" si="11"/>
        <v>有无电梯</v>
      </c>
      <c r="R29" s="1559" t="s">
        <v>8</v>
      </c>
      <c r="S29" s="1560">
        <f t="shared" si="12"/>
        <v>100</v>
      </c>
      <c r="T29" s="1559" t="s">
        <v>8</v>
      </c>
      <c r="U29" s="1560">
        <f t="shared" si="13"/>
        <v>100</v>
      </c>
      <c r="V29" s="1559" t="s">
        <v>8</v>
      </c>
      <c r="W29" s="1560">
        <f t="shared" si="14"/>
        <v>100</v>
      </c>
      <c r="X29" s="1553"/>
      <c r="Y29" s="3388"/>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8"/>
      <c r="Q30" s="1558" t="str">
        <f t="shared" si="11"/>
        <v>建筑面积</v>
      </c>
      <c r="R30" s="1559" t="s">
        <v>8</v>
      </c>
      <c r="S30" s="1560" t="e">
        <f t="shared" si="12"/>
        <v>#N/A</v>
      </c>
      <c r="T30" s="1559" t="s">
        <v>8</v>
      </c>
      <c r="U30" s="1560" t="e">
        <f t="shared" si="13"/>
        <v>#N/A</v>
      </c>
      <c r="V30" s="1559" t="s">
        <v>8</v>
      </c>
      <c r="W30" s="1560" t="e">
        <f t="shared" si="14"/>
        <v>#N/A</v>
      </c>
      <c r="X30" s="1553"/>
      <c r="Y30" s="3388"/>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8"/>
      <c r="Q31" s="1147" t="str">
        <f t="shared" si="11"/>
        <v>是否封闭</v>
      </c>
      <c r="R31" s="1554" t="s">
        <v>8</v>
      </c>
      <c r="S31" s="1555">
        <f t="shared" si="12"/>
        <v>100</v>
      </c>
      <c r="T31" s="1554" t="s">
        <v>8</v>
      </c>
      <c r="U31" s="1555">
        <f t="shared" si="13"/>
        <v>100</v>
      </c>
      <c r="V31" s="1554" t="s">
        <v>8</v>
      </c>
      <c r="W31" s="1555">
        <f t="shared" si="14"/>
        <v>100</v>
      </c>
      <c r="X31" s="1556"/>
      <c r="Y31" s="3388"/>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8" t="s">
        <v>550</v>
      </c>
      <c r="Q32" s="1558">
        <f t="shared" si="11"/>
        <v>111</v>
      </c>
      <c r="R32" s="1559" t="s">
        <v>8</v>
      </c>
      <c r="S32" s="1560">
        <f t="shared" si="12"/>
        <v>100</v>
      </c>
      <c r="T32" s="1559" t="s">
        <v>8</v>
      </c>
      <c r="U32" s="1560">
        <f t="shared" si="13"/>
        <v>100</v>
      </c>
      <c r="V32" s="1559" t="s">
        <v>8</v>
      </c>
      <c r="W32" s="1560">
        <f t="shared" si="14"/>
        <v>100</v>
      </c>
      <c r="X32" s="1553"/>
      <c r="Y32" s="3388"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8"/>
      <c r="Q33" s="1558">
        <f t="shared" si="11"/>
        <v>111</v>
      </c>
      <c r="R33" s="1559" t="s">
        <v>8</v>
      </c>
      <c r="S33" s="1560">
        <f t="shared" si="12"/>
        <v>100</v>
      </c>
      <c r="T33" s="1559" t="s">
        <v>8</v>
      </c>
      <c r="U33" s="1560">
        <f t="shared" si="13"/>
        <v>100</v>
      </c>
      <c r="V33" s="1559" t="s">
        <v>8</v>
      </c>
      <c r="W33" s="1560">
        <f t="shared" si="14"/>
        <v>100</v>
      </c>
      <c r="X33" s="1553"/>
      <c r="Y33" s="3388"/>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8"/>
      <c r="Q34" s="1558">
        <f t="shared" si="11"/>
        <v>111</v>
      </c>
      <c r="R34" s="1559" t="s">
        <v>8</v>
      </c>
      <c r="S34" s="1560">
        <f t="shared" si="12"/>
        <v>100</v>
      </c>
      <c r="T34" s="1559" t="s">
        <v>8</v>
      </c>
      <c r="U34" s="1560">
        <f t="shared" si="13"/>
        <v>100</v>
      </c>
      <c r="V34" s="1559" t="s">
        <v>8</v>
      </c>
      <c r="W34" s="1560">
        <f t="shared" si="14"/>
        <v>100</v>
      </c>
      <c r="X34" s="1553"/>
      <c r="Y34" s="3388"/>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51" t="str">
        <f>A35</f>
        <v>成交单价（元/平方米）</v>
      </c>
      <c r="Q35" s="3351"/>
      <c r="R35" s="3468">
        <f>E35</f>
        <v>0</v>
      </c>
      <c r="S35" s="3468"/>
      <c r="T35" s="3468">
        <f>G35</f>
        <v>0</v>
      </c>
      <c r="U35" s="3468"/>
      <c r="V35" s="3468">
        <f>I35</f>
        <v>0</v>
      </c>
      <c r="W35" s="3468"/>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51" t="str">
        <f>A36</f>
        <v>比较价格（元/平方米）</v>
      </c>
      <c r="Q36" s="3351"/>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5"/>
      <c r="Y36" s="1545"/>
      <c r="Z36" s="1545"/>
      <c r="AA36" s="1545"/>
      <c r="AB36" s="1545"/>
      <c r="AC36" s="1545"/>
    </row>
    <row r="37" spans="1:29" ht="15.75" thickBot="1">
      <c r="A37" s="621" t="s">
        <v>2930</v>
      </c>
      <c r="B37" s="622"/>
      <c r="C37" s="2600" t="e">
        <f>R37</f>
        <v>#DIV/0!</v>
      </c>
      <c r="D37" s="2600"/>
      <c r="E37" s="2600"/>
      <c r="F37" s="2600"/>
      <c r="G37" s="2600"/>
      <c r="H37" s="2600"/>
      <c r="I37" s="2600"/>
      <c r="J37" s="2600"/>
      <c r="K37" s="1598"/>
      <c r="L37" s="2129"/>
      <c r="M37" s="2130"/>
      <c r="N37" s="2130"/>
      <c r="O37" s="2130"/>
      <c r="P37" s="3348" t="str">
        <f>A37</f>
        <v>估价对象XX用房的比较价格（楼面单价，元/平方米）</v>
      </c>
      <c r="Q37" s="3349"/>
      <c r="R37" s="3467" t="e">
        <f>IF(F1="售价",ROUND(AVERAGE(R36:V36),0),ROUND(AVERAGE(R36:V36),1))</f>
        <v>#DIV/0!</v>
      </c>
      <c r="S37" s="3467"/>
      <c r="T37" s="3467"/>
      <c r="U37" s="3467"/>
      <c r="V37" s="3467"/>
      <c r="W37" s="346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2019-11</v>
      </c>
      <c r="D46" s="2759">
        <f>EDATE(C46,-1)</f>
        <v>43739</v>
      </c>
      <c r="E46" s="2759">
        <f t="shared" ref="E46:O46" si="16">EDATE(D46,-1)</f>
        <v>43709</v>
      </c>
      <c r="F46" s="2759">
        <f t="shared" si="16"/>
        <v>43678</v>
      </c>
      <c r="G46" s="2759">
        <f t="shared" si="16"/>
        <v>43647</v>
      </c>
      <c r="H46" s="2759">
        <f t="shared" si="16"/>
        <v>43617</v>
      </c>
      <c r="I46" s="2759">
        <f t="shared" si="16"/>
        <v>43586</v>
      </c>
      <c r="J46" s="2759">
        <f t="shared" si="16"/>
        <v>43556</v>
      </c>
      <c r="K46" s="2759">
        <f t="shared" si="16"/>
        <v>43525</v>
      </c>
      <c r="L46" s="2759">
        <f t="shared" si="16"/>
        <v>43497</v>
      </c>
      <c r="M46" s="2759">
        <f t="shared" si="16"/>
        <v>43466</v>
      </c>
      <c r="N46" s="2759">
        <f t="shared" si="16"/>
        <v>43435</v>
      </c>
      <c r="O46" s="2759">
        <f t="shared" si="16"/>
        <v>43405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2300</v>
      </c>
      <c r="C1" s="3477" t="s">
        <v>2301</v>
      </c>
      <c r="D1" s="3478"/>
      <c r="E1" s="3478"/>
      <c r="F1" s="3478"/>
      <c r="G1" s="3478"/>
      <c r="H1" s="3478"/>
      <c r="I1" s="3478"/>
      <c r="J1" s="3478"/>
      <c r="K1" s="3478"/>
      <c r="L1" s="3478"/>
      <c r="M1" s="3478"/>
      <c r="N1" s="3478"/>
      <c r="O1" s="3478"/>
      <c r="P1" s="3478"/>
      <c r="Q1" s="3478"/>
      <c r="R1" s="3478"/>
      <c r="S1" s="3479"/>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2922</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2921</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74" t="s">
        <v>20</v>
      </c>
      <c r="D22" s="3475"/>
      <c r="E22" s="3475"/>
      <c r="F22" s="3475"/>
      <c r="G22" s="3475"/>
      <c r="H22" s="3475"/>
      <c r="I22" s="3475"/>
      <c r="J22" s="3475"/>
      <c r="K22" s="3475"/>
      <c r="L22" s="3475"/>
      <c r="M22" s="3475"/>
      <c r="N22" s="3475"/>
      <c r="O22" s="3475"/>
      <c r="P22" s="3475"/>
      <c r="Q22" s="3476"/>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农村商业银行卢沟桥支行：</v>
      </c>
    </row>
    <row r="4" spans="1:4" ht="56.25">
      <c r="A4" s="1776"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8.75">
      <c r="A5" s="1779" t="s">
        <v>1905</v>
      </c>
    </row>
    <row r="6" spans="1:4" ht="131.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52536.9平方米。根据《国有建设用地使用权出让合同》[电子监管号：1101002019B00120]及附件，估价对象规划建筑面积为162338平方米。</v>
      </c>
    </row>
    <row r="7" spans="1:4" ht="93.75">
      <c r="A7" s="2828" t="s">
        <v>2745</v>
      </c>
    </row>
    <row r="8" spans="1:4" ht="18.75">
      <c r="A8" s="1779" t="s">
        <v>1906</v>
      </c>
    </row>
    <row r="9" spans="1:4" ht="112.5">
      <c r="A9" s="1781"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2019年11月13日（评估专业人员勘察现场之日）</v>
      </c>
    </row>
    <row r="12" spans="1:4" ht="18.75">
      <c r="A12" s="1782" t="s">
        <v>2022</v>
      </c>
    </row>
    <row r="13" spans="1:4" ht="18.75">
      <c r="A13" s="1776" t="s">
        <v>2068</v>
      </c>
    </row>
    <row r="14" spans="1:4" ht="18.75">
      <c r="A14" s="1776" t="str">
        <f>"根据"&amp;项目基本情况!F12&amp;"，本次评估估价对象证载（地类）用途为"&amp;项目基本情况!B12&amp;"。"</f>
        <v>根据《国有土地使用证》[]，本次评估估价对象证载（地类）用途为城镇住宅用地、商务金融用地（商业、办公）。</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52536.9平方米。根据《国有建设用地使用权出让合同》[电子监管号：1101002019B00120]及附件，估价对象规划建筑面积为162338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6" customWidth="1"/>
    <col min="2" max="2" width="13.125" style="2902" customWidth="1"/>
    <col min="3" max="3" width="15.625" style="2902" customWidth="1"/>
    <col min="4" max="4" width="9.375" style="2902" bestFit="1" customWidth="1"/>
    <col min="5" max="5" width="13.5" style="2902" customWidth="1"/>
    <col min="6" max="6" width="8.875" style="2902"/>
    <col min="7" max="7" width="9.375" style="2902" bestFit="1" customWidth="1"/>
    <col min="8" max="9" width="8.875" style="2902"/>
    <col min="10" max="10" width="9.375" style="2902" bestFit="1" customWidth="1"/>
    <col min="11" max="11" width="4" style="2896" customWidth="1"/>
    <col min="12" max="12" width="5.125" style="2902" customWidth="1"/>
    <col min="13" max="13" width="13.875" style="2902" customWidth="1"/>
    <col min="14" max="256" width="8.875" style="2902"/>
    <col min="257" max="257" width="4.875" style="2894" customWidth="1"/>
    <col min="258" max="258" width="13.125" style="2894" customWidth="1"/>
    <col min="259" max="259" width="15.625" style="2894" customWidth="1"/>
    <col min="260" max="260" width="9.375" style="2894" bestFit="1" customWidth="1"/>
    <col min="261" max="261" width="13.5" style="2894" customWidth="1"/>
    <col min="262" max="262" width="8.875" style="2894"/>
    <col min="263" max="263" width="9.375" style="2894" bestFit="1" customWidth="1"/>
    <col min="264" max="265" width="8.875" style="2894"/>
    <col min="266" max="266" width="9.375" style="2894" bestFit="1" customWidth="1"/>
    <col min="267" max="267" width="4" style="2894" customWidth="1"/>
    <col min="268" max="268" width="5.125" style="2894" customWidth="1"/>
    <col min="269" max="269" width="13.875" style="2894" customWidth="1"/>
    <col min="270" max="512" width="8.875" style="2894"/>
    <col min="513" max="513" width="4.875" style="2894" customWidth="1"/>
    <col min="514" max="514" width="13.125" style="2894" customWidth="1"/>
    <col min="515" max="515" width="15.625" style="2894" customWidth="1"/>
    <col min="516" max="516" width="9.375" style="2894" bestFit="1" customWidth="1"/>
    <col min="517" max="517" width="13.5" style="2894" customWidth="1"/>
    <col min="518" max="518" width="8.875" style="2894"/>
    <col min="519" max="519" width="9.375" style="2894" bestFit="1" customWidth="1"/>
    <col min="520" max="521" width="8.875" style="2894"/>
    <col min="522" max="522" width="9.375" style="2894" bestFit="1" customWidth="1"/>
    <col min="523" max="523" width="4" style="2894" customWidth="1"/>
    <col min="524" max="524" width="5.125" style="2894" customWidth="1"/>
    <col min="525" max="525" width="13.875" style="2894" customWidth="1"/>
    <col min="526" max="768" width="8.875" style="2894"/>
    <col min="769" max="769" width="4.875" style="2894" customWidth="1"/>
    <col min="770" max="770" width="13.125" style="2894" customWidth="1"/>
    <col min="771" max="771" width="15.625" style="2894" customWidth="1"/>
    <col min="772" max="772" width="9.375" style="2894" bestFit="1" customWidth="1"/>
    <col min="773" max="773" width="13.5" style="2894" customWidth="1"/>
    <col min="774" max="774" width="8.875" style="2894"/>
    <col min="775" max="775" width="9.375" style="2894" bestFit="1" customWidth="1"/>
    <col min="776" max="777" width="8.875" style="2894"/>
    <col min="778" max="778" width="9.375" style="2894" bestFit="1" customWidth="1"/>
    <col min="779" max="779" width="4" style="2894" customWidth="1"/>
    <col min="780" max="780" width="5.125" style="2894" customWidth="1"/>
    <col min="781" max="781" width="13.875" style="2894" customWidth="1"/>
    <col min="782" max="1024" width="8.875" style="2894"/>
    <col min="1025" max="1025" width="4.875" style="2894" customWidth="1"/>
    <col min="1026" max="1026" width="13.125" style="2894" customWidth="1"/>
    <col min="1027" max="1027" width="15.625" style="2894" customWidth="1"/>
    <col min="1028" max="1028" width="9.375" style="2894" bestFit="1" customWidth="1"/>
    <col min="1029" max="1029" width="13.5" style="2894" customWidth="1"/>
    <col min="1030" max="1030" width="8.875" style="2894"/>
    <col min="1031" max="1031" width="9.375" style="2894" bestFit="1" customWidth="1"/>
    <col min="1032" max="1033" width="8.875" style="2894"/>
    <col min="1034" max="1034" width="9.375" style="2894" bestFit="1" customWidth="1"/>
    <col min="1035" max="1035" width="4" style="2894" customWidth="1"/>
    <col min="1036" max="1036" width="5.125" style="2894" customWidth="1"/>
    <col min="1037" max="1037" width="13.875" style="2894" customWidth="1"/>
    <col min="1038" max="1280" width="8.875" style="2894"/>
    <col min="1281" max="1281" width="4.875" style="2894" customWidth="1"/>
    <col min="1282" max="1282" width="13.125" style="2894" customWidth="1"/>
    <col min="1283" max="1283" width="15.625" style="2894" customWidth="1"/>
    <col min="1284" max="1284" width="9.375" style="2894" bestFit="1" customWidth="1"/>
    <col min="1285" max="1285" width="13.5" style="2894" customWidth="1"/>
    <col min="1286" max="1286" width="8.875" style="2894"/>
    <col min="1287" max="1287" width="9.375" style="2894" bestFit="1" customWidth="1"/>
    <col min="1288" max="1289" width="8.875" style="2894"/>
    <col min="1290" max="1290" width="9.375" style="2894" bestFit="1" customWidth="1"/>
    <col min="1291" max="1291" width="4" style="2894" customWidth="1"/>
    <col min="1292" max="1292" width="5.125" style="2894" customWidth="1"/>
    <col min="1293" max="1293" width="13.875" style="2894" customWidth="1"/>
    <col min="1294" max="1536" width="8.875" style="2894"/>
    <col min="1537" max="1537" width="4.875" style="2894" customWidth="1"/>
    <col min="1538" max="1538" width="13.125" style="2894" customWidth="1"/>
    <col min="1539" max="1539" width="15.625" style="2894" customWidth="1"/>
    <col min="1540" max="1540" width="9.375" style="2894" bestFit="1" customWidth="1"/>
    <col min="1541" max="1541" width="13.5" style="2894" customWidth="1"/>
    <col min="1542" max="1542" width="8.875" style="2894"/>
    <col min="1543" max="1543" width="9.375" style="2894" bestFit="1" customWidth="1"/>
    <col min="1544" max="1545" width="8.875" style="2894"/>
    <col min="1546" max="1546" width="9.375" style="2894" bestFit="1" customWidth="1"/>
    <col min="1547" max="1547" width="4" style="2894" customWidth="1"/>
    <col min="1548" max="1548" width="5.125" style="2894" customWidth="1"/>
    <col min="1549" max="1549" width="13.875" style="2894" customWidth="1"/>
    <col min="1550" max="1792" width="8.875" style="2894"/>
    <col min="1793" max="1793" width="4.875" style="2894" customWidth="1"/>
    <col min="1794" max="1794" width="13.125" style="2894" customWidth="1"/>
    <col min="1795" max="1795" width="15.625" style="2894" customWidth="1"/>
    <col min="1796" max="1796" width="9.375" style="2894" bestFit="1" customWidth="1"/>
    <col min="1797" max="1797" width="13.5" style="2894" customWidth="1"/>
    <col min="1798" max="1798" width="8.875" style="2894"/>
    <col min="1799" max="1799" width="9.375" style="2894" bestFit="1" customWidth="1"/>
    <col min="1800" max="1801" width="8.875" style="2894"/>
    <col min="1802" max="1802" width="9.375" style="2894" bestFit="1" customWidth="1"/>
    <col min="1803" max="1803" width="4" style="2894" customWidth="1"/>
    <col min="1804" max="1804" width="5.125" style="2894" customWidth="1"/>
    <col min="1805" max="1805" width="13.875" style="2894" customWidth="1"/>
    <col min="1806" max="2048" width="8.875" style="2894"/>
    <col min="2049" max="2049" width="4.875" style="2894" customWidth="1"/>
    <col min="2050" max="2050" width="13.125" style="2894" customWidth="1"/>
    <col min="2051" max="2051" width="15.625" style="2894" customWidth="1"/>
    <col min="2052" max="2052" width="9.375" style="2894" bestFit="1" customWidth="1"/>
    <col min="2053" max="2053" width="13.5" style="2894" customWidth="1"/>
    <col min="2054" max="2054" width="8.875" style="2894"/>
    <col min="2055" max="2055" width="9.375" style="2894" bestFit="1" customWidth="1"/>
    <col min="2056" max="2057" width="8.875" style="2894"/>
    <col min="2058" max="2058" width="9.375" style="2894" bestFit="1" customWidth="1"/>
    <col min="2059" max="2059" width="4" style="2894" customWidth="1"/>
    <col min="2060" max="2060" width="5.125" style="2894" customWidth="1"/>
    <col min="2061" max="2061" width="13.875" style="2894" customWidth="1"/>
    <col min="2062" max="2304" width="8.875" style="2894"/>
    <col min="2305" max="2305" width="4.875" style="2894" customWidth="1"/>
    <col min="2306" max="2306" width="13.125" style="2894" customWidth="1"/>
    <col min="2307" max="2307" width="15.625" style="2894" customWidth="1"/>
    <col min="2308" max="2308" width="9.375" style="2894" bestFit="1" customWidth="1"/>
    <col min="2309" max="2309" width="13.5" style="2894" customWidth="1"/>
    <col min="2310" max="2310" width="8.875" style="2894"/>
    <col min="2311" max="2311" width="9.375" style="2894" bestFit="1" customWidth="1"/>
    <col min="2312" max="2313" width="8.875" style="2894"/>
    <col min="2314" max="2314" width="9.375" style="2894" bestFit="1" customWidth="1"/>
    <col min="2315" max="2315" width="4" style="2894" customWidth="1"/>
    <col min="2316" max="2316" width="5.125" style="2894" customWidth="1"/>
    <col min="2317" max="2317" width="13.875" style="2894" customWidth="1"/>
    <col min="2318" max="2560" width="8.875" style="2894"/>
    <col min="2561" max="2561" width="4.875" style="2894" customWidth="1"/>
    <col min="2562" max="2562" width="13.125" style="2894" customWidth="1"/>
    <col min="2563" max="2563" width="15.625" style="2894" customWidth="1"/>
    <col min="2564" max="2564" width="9.375" style="2894" bestFit="1" customWidth="1"/>
    <col min="2565" max="2565" width="13.5" style="2894" customWidth="1"/>
    <col min="2566" max="2566" width="8.875" style="2894"/>
    <col min="2567" max="2567" width="9.375" style="2894" bestFit="1" customWidth="1"/>
    <col min="2568" max="2569" width="8.875" style="2894"/>
    <col min="2570" max="2570" width="9.375" style="2894" bestFit="1" customWidth="1"/>
    <col min="2571" max="2571" width="4" style="2894" customWidth="1"/>
    <col min="2572" max="2572" width="5.125" style="2894" customWidth="1"/>
    <col min="2573" max="2573" width="13.875" style="2894" customWidth="1"/>
    <col min="2574" max="2816" width="8.875" style="2894"/>
    <col min="2817" max="2817" width="4.875" style="2894" customWidth="1"/>
    <col min="2818" max="2818" width="13.125" style="2894" customWidth="1"/>
    <col min="2819" max="2819" width="15.625" style="2894" customWidth="1"/>
    <col min="2820" max="2820" width="9.375" style="2894" bestFit="1" customWidth="1"/>
    <col min="2821" max="2821" width="13.5" style="2894" customWidth="1"/>
    <col min="2822" max="2822" width="8.875" style="2894"/>
    <col min="2823" max="2823" width="9.375" style="2894" bestFit="1" customWidth="1"/>
    <col min="2824" max="2825" width="8.875" style="2894"/>
    <col min="2826" max="2826" width="9.375" style="2894" bestFit="1" customWidth="1"/>
    <col min="2827" max="2827" width="4" style="2894" customWidth="1"/>
    <col min="2828" max="2828" width="5.125" style="2894" customWidth="1"/>
    <col min="2829" max="2829" width="13.875" style="2894" customWidth="1"/>
    <col min="2830" max="3072" width="8.875" style="2894"/>
    <col min="3073" max="3073" width="4.875" style="2894" customWidth="1"/>
    <col min="3074" max="3074" width="13.125" style="2894" customWidth="1"/>
    <col min="3075" max="3075" width="15.625" style="2894" customWidth="1"/>
    <col min="3076" max="3076" width="9.375" style="2894" bestFit="1" customWidth="1"/>
    <col min="3077" max="3077" width="13.5" style="2894" customWidth="1"/>
    <col min="3078" max="3078" width="8.875" style="2894"/>
    <col min="3079" max="3079" width="9.375" style="2894" bestFit="1" customWidth="1"/>
    <col min="3080" max="3081" width="8.875" style="2894"/>
    <col min="3082" max="3082" width="9.375" style="2894" bestFit="1" customWidth="1"/>
    <col min="3083" max="3083" width="4" style="2894" customWidth="1"/>
    <col min="3084" max="3084" width="5.125" style="2894" customWidth="1"/>
    <col min="3085" max="3085" width="13.875" style="2894" customWidth="1"/>
    <col min="3086" max="3328" width="8.875" style="2894"/>
    <col min="3329" max="3329" width="4.875" style="2894" customWidth="1"/>
    <col min="3330" max="3330" width="13.125" style="2894" customWidth="1"/>
    <col min="3331" max="3331" width="15.625" style="2894" customWidth="1"/>
    <col min="3332" max="3332" width="9.375" style="2894" bestFit="1" customWidth="1"/>
    <col min="3333" max="3333" width="13.5" style="2894" customWidth="1"/>
    <col min="3334" max="3334" width="8.875" style="2894"/>
    <col min="3335" max="3335" width="9.375" style="2894" bestFit="1" customWidth="1"/>
    <col min="3336" max="3337" width="8.875" style="2894"/>
    <col min="3338" max="3338" width="9.375" style="2894" bestFit="1" customWidth="1"/>
    <col min="3339" max="3339" width="4" style="2894" customWidth="1"/>
    <col min="3340" max="3340" width="5.125" style="2894" customWidth="1"/>
    <col min="3341" max="3341" width="13.875" style="2894" customWidth="1"/>
    <col min="3342" max="3584" width="8.875" style="2894"/>
    <col min="3585" max="3585" width="4.875" style="2894" customWidth="1"/>
    <col min="3586" max="3586" width="13.125" style="2894" customWidth="1"/>
    <col min="3587" max="3587" width="15.625" style="2894" customWidth="1"/>
    <col min="3588" max="3588" width="9.375" style="2894" bestFit="1" customWidth="1"/>
    <col min="3589" max="3589" width="13.5" style="2894" customWidth="1"/>
    <col min="3590" max="3590" width="8.875" style="2894"/>
    <col min="3591" max="3591" width="9.375" style="2894" bestFit="1" customWidth="1"/>
    <col min="3592" max="3593" width="8.875" style="2894"/>
    <col min="3594" max="3594" width="9.375" style="2894" bestFit="1" customWidth="1"/>
    <col min="3595" max="3595" width="4" style="2894" customWidth="1"/>
    <col min="3596" max="3596" width="5.125" style="2894" customWidth="1"/>
    <col min="3597" max="3597" width="13.875" style="2894" customWidth="1"/>
    <col min="3598" max="3840" width="8.875" style="2894"/>
    <col min="3841" max="3841" width="4.875" style="2894" customWidth="1"/>
    <col min="3842" max="3842" width="13.125" style="2894" customWidth="1"/>
    <col min="3843" max="3843" width="15.625" style="2894" customWidth="1"/>
    <col min="3844" max="3844" width="9.375" style="2894" bestFit="1" customWidth="1"/>
    <col min="3845" max="3845" width="13.5" style="2894" customWidth="1"/>
    <col min="3846" max="3846" width="8.875" style="2894"/>
    <col min="3847" max="3847" width="9.375" style="2894" bestFit="1" customWidth="1"/>
    <col min="3848" max="3849" width="8.875" style="2894"/>
    <col min="3850" max="3850" width="9.375" style="2894" bestFit="1" customWidth="1"/>
    <col min="3851" max="3851" width="4" style="2894" customWidth="1"/>
    <col min="3852" max="3852" width="5.125" style="2894" customWidth="1"/>
    <col min="3853" max="3853" width="13.875" style="2894" customWidth="1"/>
    <col min="3854" max="4096" width="8.875" style="2894"/>
    <col min="4097" max="4097" width="4.875" style="2894" customWidth="1"/>
    <col min="4098" max="4098" width="13.125" style="2894" customWidth="1"/>
    <col min="4099" max="4099" width="15.625" style="2894" customWidth="1"/>
    <col min="4100" max="4100" width="9.375" style="2894" bestFit="1" customWidth="1"/>
    <col min="4101" max="4101" width="13.5" style="2894" customWidth="1"/>
    <col min="4102" max="4102" width="8.875" style="2894"/>
    <col min="4103" max="4103" width="9.375" style="2894" bestFit="1" customWidth="1"/>
    <col min="4104" max="4105" width="8.875" style="2894"/>
    <col min="4106" max="4106" width="9.375" style="2894" bestFit="1" customWidth="1"/>
    <col min="4107" max="4107" width="4" style="2894" customWidth="1"/>
    <col min="4108" max="4108" width="5.125" style="2894" customWidth="1"/>
    <col min="4109" max="4109" width="13.875" style="2894" customWidth="1"/>
    <col min="4110" max="4352" width="8.875" style="2894"/>
    <col min="4353" max="4353" width="4.875" style="2894" customWidth="1"/>
    <col min="4354" max="4354" width="13.125" style="2894" customWidth="1"/>
    <col min="4355" max="4355" width="15.625" style="2894" customWidth="1"/>
    <col min="4356" max="4356" width="9.375" style="2894" bestFit="1" customWidth="1"/>
    <col min="4357" max="4357" width="13.5" style="2894" customWidth="1"/>
    <col min="4358" max="4358" width="8.875" style="2894"/>
    <col min="4359" max="4359" width="9.375" style="2894" bestFit="1" customWidth="1"/>
    <col min="4360" max="4361" width="8.875" style="2894"/>
    <col min="4362" max="4362" width="9.375" style="2894" bestFit="1" customWidth="1"/>
    <col min="4363" max="4363" width="4" style="2894" customWidth="1"/>
    <col min="4364" max="4364" width="5.125" style="2894" customWidth="1"/>
    <col min="4365" max="4365" width="13.875" style="2894" customWidth="1"/>
    <col min="4366" max="4608" width="8.875" style="2894"/>
    <col min="4609" max="4609" width="4.875" style="2894" customWidth="1"/>
    <col min="4610" max="4610" width="13.125" style="2894" customWidth="1"/>
    <col min="4611" max="4611" width="15.625" style="2894" customWidth="1"/>
    <col min="4612" max="4612" width="9.375" style="2894" bestFit="1" customWidth="1"/>
    <col min="4613" max="4613" width="13.5" style="2894" customWidth="1"/>
    <col min="4614" max="4614" width="8.875" style="2894"/>
    <col min="4615" max="4615" width="9.375" style="2894" bestFit="1" customWidth="1"/>
    <col min="4616" max="4617" width="8.875" style="2894"/>
    <col min="4618" max="4618" width="9.375" style="2894" bestFit="1" customWidth="1"/>
    <col min="4619" max="4619" width="4" style="2894" customWidth="1"/>
    <col min="4620" max="4620" width="5.125" style="2894" customWidth="1"/>
    <col min="4621" max="4621" width="13.875" style="2894" customWidth="1"/>
    <col min="4622" max="4864" width="8.875" style="2894"/>
    <col min="4865" max="4865" width="4.875" style="2894" customWidth="1"/>
    <col min="4866" max="4866" width="13.125" style="2894" customWidth="1"/>
    <col min="4867" max="4867" width="15.625" style="2894" customWidth="1"/>
    <col min="4868" max="4868" width="9.375" style="2894" bestFit="1" customWidth="1"/>
    <col min="4869" max="4869" width="13.5" style="2894" customWidth="1"/>
    <col min="4870" max="4870" width="8.875" style="2894"/>
    <col min="4871" max="4871" width="9.375" style="2894" bestFit="1" customWidth="1"/>
    <col min="4872" max="4873" width="8.875" style="2894"/>
    <col min="4874" max="4874" width="9.375" style="2894" bestFit="1" customWidth="1"/>
    <col min="4875" max="4875" width="4" style="2894" customWidth="1"/>
    <col min="4876" max="4876" width="5.125" style="2894" customWidth="1"/>
    <col min="4877" max="4877" width="13.875" style="2894" customWidth="1"/>
    <col min="4878" max="5120" width="8.875" style="2894"/>
    <col min="5121" max="5121" width="4.875" style="2894" customWidth="1"/>
    <col min="5122" max="5122" width="13.125" style="2894" customWidth="1"/>
    <col min="5123" max="5123" width="15.625" style="2894" customWidth="1"/>
    <col min="5124" max="5124" width="9.375" style="2894" bestFit="1" customWidth="1"/>
    <col min="5125" max="5125" width="13.5" style="2894" customWidth="1"/>
    <col min="5126" max="5126" width="8.875" style="2894"/>
    <col min="5127" max="5127" width="9.375" style="2894" bestFit="1" customWidth="1"/>
    <col min="5128" max="5129" width="8.875" style="2894"/>
    <col min="5130" max="5130" width="9.375" style="2894" bestFit="1" customWidth="1"/>
    <col min="5131" max="5131" width="4" style="2894" customWidth="1"/>
    <col min="5132" max="5132" width="5.125" style="2894" customWidth="1"/>
    <col min="5133" max="5133" width="13.875" style="2894" customWidth="1"/>
    <col min="5134" max="5376" width="8.875" style="2894"/>
    <col min="5377" max="5377" width="4.875" style="2894" customWidth="1"/>
    <col min="5378" max="5378" width="13.125" style="2894" customWidth="1"/>
    <col min="5379" max="5379" width="15.625" style="2894" customWidth="1"/>
    <col min="5380" max="5380" width="9.375" style="2894" bestFit="1" customWidth="1"/>
    <col min="5381" max="5381" width="13.5" style="2894" customWidth="1"/>
    <col min="5382" max="5382" width="8.875" style="2894"/>
    <col min="5383" max="5383" width="9.375" style="2894" bestFit="1" customWidth="1"/>
    <col min="5384" max="5385" width="8.875" style="2894"/>
    <col min="5386" max="5386" width="9.375" style="2894" bestFit="1" customWidth="1"/>
    <col min="5387" max="5387" width="4" style="2894" customWidth="1"/>
    <col min="5388" max="5388" width="5.125" style="2894" customWidth="1"/>
    <col min="5389" max="5389" width="13.875" style="2894" customWidth="1"/>
    <col min="5390" max="5632" width="8.875" style="2894"/>
    <col min="5633" max="5633" width="4.875" style="2894" customWidth="1"/>
    <col min="5634" max="5634" width="13.125" style="2894" customWidth="1"/>
    <col min="5635" max="5635" width="15.625" style="2894" customWidth="1"/>
    <col min="5636" max="5636" width="9.375" style="2894" bestFit="1" customWidth="1"/>
    <col min="5637" max="5637" width="13.5" style="2894" customWidth="1"/>
    <col min="5638" max="5638" width="8.875" style="2894"/>
    <col min="5639" max="5639" width="9.375" style="2894" bestFit="1" customWidth="1"/>
    <col min="5640" max="5641" width="8.875" style="2894"/>
    <col min="5642" max="5642" width="9.375" style="2894" bestFit="1" customWidth="1"/>
    <col min="5643" max="5643" width="4" style="2894" customWidth="1"/>
    <col min="5644" max="5644" width="5.125" style="2894" customWidth="1"/>
    <col min="5645" max="5645" width="13.875" style="2894" customWidth="1"/>
    <col min="5646" max="5888" width="8.875" style="2894"/>
    <col min="5889" max="5889" width="4.875" style="2894" customWidth="1"/>
    <col min="5890" max="5890" width="13.125" style="2894" customWidth="1"/>
    <col min="5891" max="5891" width="15.625" style="2894" customWidth="1"/>
    <col min="5892" max="5892" width="9.375" style="2894" bestFit="1" customWidth="1"/>
    <col min="5893" max="5893" width="13.5" style="2894" customWidth="1"/>
    <col min="5894" max="5894" width="8.875" style="2894"/>
    <col min="5895" max="5895" width="9.375" style="2894" bestFit="1" customWidth="1"/>
    <col min="5896" max="5897" width="8.875" style="2894"/>
    <col min="5898" max="5898" width="9.375" style="2894" bestFit="1" customWidth="1"/>
    <col min="5899" max="5899" width="4" style="2894" customWidth="1"/>
    <col min="5900" max="5900" width="5.125" style="2894" customWidth="1"/>
    <col min="5901" max="5901" width="13.875" style="2894" customWidth="1"/>
    <col min="5902" max="6144" width="8.875" style="2894"/>
    <col min="6145" max="6145" width="4.875" style="2894" customWidth="1"/>
    <col min="6146" max="6146" width="13.125" style="2894" customWidth="1"/>
    <col min="6147" max="6147" width="15.625" style="2894" customWidth="1"/>
    <col min="6148" max="6148" width="9.375" style="2894" bestFit="1" customWidth="1"/>
    <col min="6149" max="6149" width="13.5" style="2894" customWidth="1"/>
    <col min="6150" max="6150" width="8.875" style="2894"/>
    <col min="6151" max="6151" width="9.375" style="2894" bestFit="1" customWidth="1"/>
    <col min="6152" max="6153" width="8.875" style="2894"/>
    <col min="6154" max="6154" width="9.375" style="2894" bestFit="1" customWidth="1"/>
    <col min="6155" max="6155" width="4" style="2894" customWidth="1"/>
    <col min="6156" max="6156" width="5.125" style="2894" customWidth="1"/>
    <col min="6157" max="6157" width="13.875" style="2894" customWidth="1"/>
    <col min="6158" max="6400" width="8.875" style="2894"/>
    <col min="6401" max="6401" width="4.875" style="2894" customWidth="1"/>
    <col min="6402" max="6402" width="13.125" style="2894" customWidth="1"/>
    <col min="6403" max="6403" width="15.625" style="2894" customWidth="1"/>
    <col min="6404" max="6404" width="9.375" style="2894" bestFit="1" customWidth="1"/>
    <col min="6405" max="6405" width="13.5" style="2894" customWidth="1"/>
    <col min="6406" max="6406" width="8.875" style="2894"/>
    <col min="6407" max="6407" width="9.375" style="2894" bestFit="1" customWidth="1"/>
    <col min="6408" max="6409" width="8.875" style="2894"/>
    <col min="6410" max="6410" width="9.375" style="2894" bestFit="1" customWidth="1"/>
    <col min="6411" max="6411" width="4" style="2894" customWidth="1"/>
    <col min="6412" max="6412" width="5.125" style="2894" customWidth="1"/>
    <col min="6413" max="6413" width="13.875" style="2894" customWidth="1"/>
    <col min="6414" max="6656" width="8.875" style="2894"/>
    <col min="6657" max="6657" width="4.875" style="2894" customWidth="1"/>
    <col min="6658" max="6658" width="13.125" style="2894" customWidth="1"/>
    <col min="6659" max="6659" width="15.625" style="2894" customWidth="1"/>
    <col min="6660" max="6660" width="9.375" style="2894" bestFit="1" customWidth="1"/>
    <col min="6661" max="6661" width="13.5" style="2894" customWidth="1"/>
    <col min="6662" max="6662" width="8.875" style="2894"/>
    <col min="6663" max="6663" width="9.375" style="2894" bestFit="1" customWidth="1"/>
    <col min="6664" max="6665" width="8.875" style="2894"/>
    <col min="6666" max="6666" width="9.375" style="2894" bestFit="1" customWidth="1"/>
    <col min="6667" max="6667" width="4" style="2894" customWidth="1"/>
    <col min="6668" max="6668" width="5.125" style="2894" customWidth="1"/>
    <col min="6669" max="6669" width="13.875" style="2894" customWidth="1"/>
    <col min="6670" max="6912" width="8.875" style="2894"/>
    <col min="6913" max="6913" width="4.875" style="2894" customWidth="1"/>
    <col min="6914" max="6914" width="13.125" style="2894" customWidth="1"/>
    <col min="6915" max="6915" width="15.625" style="2894" customWidth="1"/>
    <col min="6916" max="6916" width="9.375" style="2894" bestFit="1" customWidth="1"/>
    <col min="6917" max="6917" width="13.5" style="2894" customWidth="1"/>
    <col min="6918" max="6918" width="8.875" style="2894"/>
    <col min="6919" max="6919" width="9.375" style="2894" bestFit="1" customWidth="1"/>
    <col min="6920" max="6921" width="8.875" style="2894"/>
    <col min="6922" max="6922" width="9.375" style="2894" bestFit="1" customWidth="1"/>
    <col min="6923" max="6923" width="4" style="2894" customWidth="1"/>
    <col min="6924" max="6924" width="5.125" style="2894" customWidth="1"/>
    <col min="6925" max="6925" width="13.875" style="2894" customWidth="1"/>
    <col min="6926" max="7168" width="8.875" style="2894"/>
    <col min="7169" max="7169" width="4.875" style="2894" customWidth="1"/>
    <col min="7170" max="7170" width="13.125" style="2894" customWidth="1"/>
    <col min="7171" max="7171" width="15.625" style="2894" customWidth="1"/>
    <col min="7172" max="7172" width="9.375" style="2894" bestFit="1" customWidth="1"/>
    <col min="7173" max="7173" width="13.5" style="2894" customWidth="1"/>
    <col min="7174" max="7174" width="8.875" style="2894"/>
    <col min="7175" max="7175" width="9.375" style="2894" bestFit="1" customWidth="1"/>
    <col min="7176" max="7177" width="8.875" style="2894"/>
    <col min="7178" max="7178" width="9.375" style="2894" bestFit="1" customWidth="1"/>
    <col min="7179" max="7179" width="4" style="2894" customWidth="1"/>
    <col min="7180" max="7180" width="5.125" style="2894" customWidth="1"/>
    <col min="7181" max="7181" width="13.875" style="2894" customWidth="1"/>
    <col min="7182" max="7424" width="8.875" style="2894"/>
    <col min="7425" max="7425" width="4.875" style="2894" customWidth="1"/>
    <col min="7426" max="7426" width="13.125" style="2894" customWidth="1"/>
    <col min="7427" max="7427" width="15.625" style="2894" customWidth="1"/>
    <col min="7428" max="7428" width="9.375" style="2894" bestFit="1" customWidth="1"/>
    <col min="7429" max="7429" width="13.5" style="2894" customWidth="1"/>
    <col min="7430" max="7430" width="8.875" style="2894"/>
    <col min="7431" max="7431" width="9.375" style="2894" bestFit="1" customWidth="1"/>
    <col min="7432" max="7433" width="8.875" style="2894"/>
    <col min="7434" max="7434" width="9.375" style="2894" bestFit="1" customWidth="1"/>
    <col min="7435" max="7435" width="4" style="2894" customWidth="1"/>
    <col min="7436" max="7436" width="5.125" style="2894" customWidth="1"/>
    <col min="7437" max="7437" width="13.875" style="2894" customWidth="1"/>
    <col min="7438" max="7680" width="8.875" style="2894"/>
    <col min="7681" max="7681" width="4.875" style="2894" customWidth="1"/>
    <col min="7682" max="7682" width="13.125" style="2894" customWidth="1"/>
    <col min="7683" max="7683" width="15.625" style="2894" customWidth="1"/>
    <col min="7684" max="7684" width="9.375" style="2894" bestFit="1" customWidth="1"/>
    <col min="7685" max="7685" width="13.5" style="2894" customWidth="1"/>
    <col min="7686" max="7686" width="8.875" style="2894"/>
    <col min="7687" max="7687" width="9.375" style="2894" bestFit="1" customWidth="1"/>
    <col min="7688" max="7689" width="8.875" style="2894"/>
    <col min="7690" max="7690" width="9.375" style="2894" bestFit="1" customWidth="1"/>
    <col min="7691" max="7691" width="4" style="2894" customWidth="1"/>
    <col min="7692" max="7692" width="5.125" style="2894" customWidth="1"/>
    <col min="7693" max="7693" width="13.875" style="2894" customWidth="1"/>
    <col min="7694" max="7936" width="8.875" style="2894"/>
    <col min="7937" max="7937" width="4.875" style="2894" customWidth="1"/>
    <col min="7938" max="7938" width="13.125" style="2894" customWidth="1"/>
    <col min="7939" max="7939" width="15.625" style="2894" customWidth="1"/>
    <col min="7940" max="7940" width="9.375" style="2894" bestFit="1" customWidth="1"/>
    <col min="7941" max="7941" width="13.5" style="2894" customWidth="1"/>
    <col min="7942" max="7942" width="8.875" style="2894"/>
    <col min="7943" max="7943" width="9.375" style="2894" bestFit="1" customWidth="1"/>
    <col min="7944" max="7945" width="8.875" style="2894"/>
    <col min="7946" max="7946" width="9.375" style="2894" bestFit="1" customWidth="1"/>
    <col min="7947" max="7947" width="4" style="2894" customWidth="1"/>
    <col min="7948" max="7948" width="5.125" style="2894" customWidth="1"/>
    <col min="7949" max="7949" width="13.875" style="2894" customWidth="1"/>
    <col min="7950" max="8192" width="8.875" style="2894"/>
    <col min="8193" max="8193" width="4.875" style="2894" customWidth="1"/>
    <col min="8194" max="8194" width="13.125" style="2894" customWidth="1"/>
    <col min="8195" max="8195" width="15.625" style="2894" customWidth="1"/>
    <col min="8196" max="8196" width="9.375" style="2894" bestFit="1" customWidth="1"/>
    <col min="8197" max="8197" width="13.5" style="2894" customWidth="1"/>
    <col min="8198" max="8198" width="8.875" style="2894"/>
    <col min="8199" max="8199" width="9.375" style="2894" bestFit="1" customWidth="1"/>
    <col min="8200" max="8201" width="8.875" style="2894"/>
    <col min="8202" max="8202" width="9.375" style="2894" bestFit="1" customWidth="1"/>
    <col min="8203" max="8203" width="4" style="2894" customWidth="1"/>
    <col min="8204" max="8204" width="5.125" style="2894" customWidth="1"/>
    <col min="8205" max="8205" width="13.875" style="2894" customWidth="1"/>
    <col min="8206" max="8448" width="8.875" style="2894"/>
    <col min="8449" max="8449" width="4.875" style="2894" customWidth="1"/>
    <col min="8450" max="8450" width="13.125" style="2894" customWidth="1"/>
    <col min="8451" max="8451" width="15.625" style="2894" customWidth="1"/>
    <col min="8452" max="8452" width="9.375" style="2894" bestFit="1" customWidth="1"/>
    <col min="8453" max="8453" width="13.5" style="2894" customWidth="1"/>
    <col min="8454" max="8454" width="8.875" style="2894"/>
    <col min="8455" max="8455" width="9.375" style="2894" bestFit="1" customWidth="1"/>
    <col min="8456" max="8457" width="8.875" style="2894"/>
    <col min="8458" max="8458" width="9.375" style="2894" bestFit="1" customWidth="1"/>
    <col min="8459" max="8459" width="4" style="2894" customWidth="1"/>
    <col min="8460" max="8460" width="5.125" style="2894" customWidth="1"/>
    <col min="8461" max="8461" width="13.875" style="2894" customWidth="1"/>
    <col min="8462" max="8704" width="8.875" style="2894"/>
    <col min="8705" max="8705" width="4.875" style="2894" customWidth="1"/>
    <col min="8706" max="8706" width="13.125" style="2894" customWidth="1"/>
    <col min="8707" max="8707" width="15.625" style="2894" customWidth="1"/>
    <col min="8708" max="8708" width="9.375" style="2894" bestFit="1" customWidth="1"/>
    <col min="8709" max="8709" width="13.5" style="2894" customWidth="1"/>
    <col min="8710" max="8710" width="8.875" style="2894"/>
    <col min="8711" max="8711" width="9.375" style="2894" bestFit="1" customWidth="1"/>
    <col min="8712" max="8713" width="8.875" style="2894"/>
    <col min="8714" max="8714" width="9.375" style="2894" bestFit="1" customWidth="1"/>
    <col min="8715" max="8715" width="4" style="2894" customWidth="1"/>
    <col min="8716" max="8716" width="5.125" style="2894" customWidth="1"/>
    <col min="8717" max="8717" width="13.875" style="2894" customWidth="1"/>
    <col min="8718" max="8960" width="8.875" style="2894"/>
    <col min="8961" max="8961" width="4.875" style="2894" customWidth="1"/>
    <col min="8962" max="8962" width="13.125" style="2894" customWidth="1"/>
    <col min="8963" max="8963" width="15.625" style="2894" customWidth="1"/>
    <col min="8964" max="8964" width="9.375" style="2894" bestFit="1" customWidth="1"/>
    <col min="8965" max="8965" width="13.5" style="2894" customWidth="1"/>
    <col min="8966" max="8966" width="8.875" style="2894"/>
    <col min="8967" max="8967" width="9.375" style="2894" bestFit="1" customWidth="1"/>
    <col min="8968" max="8969" width="8.875" style="2894"/>
    <col min="8970" max="8970" width="9.375" style="2894" bestFit="1" customWidth="1"/>
    <col min="8971" max="8971" width="4" style="2894" customWidth="1"/>
    <col min="8972" max="8972" width="5.125" style="2894" customWidth="1"/>
    <col min="8973" max="8973" width="13.875" style="2894" customWidth="1"/>
    <col min="8974" max="9216" width="8.875" style="2894"/>
    <col min="9217" max="9217" width="4.875" style="2894" customWidth="1"/>
    <col min="9218" max="9218" width="13.125" style="2894" customWidth="1"/>
    <col min="9219" max="9219" width="15.625" style="2894" customWidth="1"/>
    <col min="9220" max="9220" width="9.375" style="2894" bestFit="1" customWidth="1"/>
    <col min="9221" max="9221" width="13.5" style="2894" customWidth="1"/>
    <col min="9222" max="9222" width="8.875" style="2894"/>
    <col min="9223" max="9223" width="9.375" style="2894" bestFit="1" customWidth="1"/>
    <col min="9224" max="9225" width="8.875" style="2894"/>
    <col min="9226" max="9226" width="9.375" style="2894" bestFit="1" customWidth="1"/>
    <col min="9227" max="9227" width="4" style="2894" customWidth="1"/>
    <col min="9228" max="9228" width="5.125" style="2894" customWidth="1"/>
    <col min="9229" max="9229" width="13.875" style="2894" customWidth="1"/>
    <col min="9230" max="9472" width="8.875" style="2894"/>
    <col min="9473" max="9473" width="4.875" style="2894" customWidth="1"/>
    <col min="9474" max="9474" width="13.125" style="2894" customWidth="1"/>
    <col min="9475" max="9475" width="15.625" style="2894" customWidth="1"/>
    <col min="9476" max="9476" width="9.375" style="2894" bestFit="1" customWidth="1"/>
    <col min="9477" max="9477" width="13.5" style="2894" customWidth="1"/>
    <col min="9478" max="9478" width="8.875" style="2894"/>
    <col min="9479" max="9479" width="9.375" style="2894" bestFit="1" customWidth="1"/>
    <col min="9480" max="9481" width="8.875" style="2894"/>
    <col min="9482" max="9482" width="9.375" style="2894" bestFit="1" customWidth="1"/>
    <col min="9483" max="9483" width="4" style="2894" customWidth="1"/>
    <col min="9484" max="9484" width="5.125" style="2894" customWidth="1"/>
    <col min="9485" max="9485" width="13.875" style="2894" customWidth="1"/>
    <col min="9486" max="9728" width="8.875" style="2894"/>
    <col min="9729" max="9729" width="4.875" style="2894" customWidth="1"/>
    <col min="9730" max="9730" width="13.125" style="2894" customWidth="1"/>
    <col min="9731" max="9731" width="15.625" style="2894" customWidth="1"/>
    <col min="9732" max="9732" width="9.375" style="2894" bestFit="1" customWidth="1"/>
    <col min="9733" max="9733" width="13.5" style="2894" customWidth="1"/>
    <col min="9734" max="9734" width="8.875" style="2894"/>
    <col min="9735" max="9735" width="9.375" style="2894" bestFit="1" customWidth="1"/>
    <col min="9736" max="9737" width="8.875" style="2894"/>
    <col min="9738" max="9738" width="9.375" style="2894" bestFit="1" customWidth="1"/>
    <col min="9739" max="9739" width="4" style="2894" customWidth="1"/>
    <col min="9740" max="9740" width="5.125" style="2894" customWidth="1"/>
    <col min="9741" max="9741" width="13.875" style="2894" customWidth="1"/>
    <col min="9742" max="9984" width="8.875" style="2894"/>
    <col min="9985" max="9985" width="4.875" style="2894" customWidth="1"/>
    <col min="9986" max="9986" width="13.125" style="2894" customWidth="1"/>
    <col min="9987" max="9987" width="15.625" style="2894" customWidth="1"/>
    <col min="9988" max="9988" width="9.375" style="2894" bestFit="1" customWidth="1"/>
    <col min="9989" max="9989" width="13.5" style="2894" customWidth="1"/>
    <col min="9990" max="9990" width="8.875" style="2894"/>
    <col min="9991" max="9991" width="9.375" style="2894" bestFit="1" customWidth="1"/>
    <col min="9992" max="9993" width="8.875" style="2894"/>
    <col min="9994" max="9994" width="9.375" style="2894" bestFit="1" customWidth="1"/>
    <col min="9995" max="9995" width="4" style="2894" customWidth="1"/>
    <col min="9996" max="9996" width="5.125" style="2894" customWidth="1"/>
    <col min="9997" max="9997" width="13.875" style="2894" customWidth="1"/>
    <col min="9998" max="10240" width="8.875" style="2894"/>
    <col min="10241" max="10241" width="4.8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8.875" style="2894"/>
    <col min="10247" max="10247" width="9.375" style="2894" bestFit="1" customWidth="1"/>
    <col min="10248" max="10249" width="8.875" style="2894"/>
    <col min="10250" max="10250" width="9.375" style="2894" bestFit="1" customWidth="1"/>
    <col min="10251" max="10251" width="4" style="2894" customWidth="1"/>
    <col min="10252" max="10252" width="5.125" style="2894" customWidth="1"/>
    <col min="10253" max="10253" width="13.875" style="2894" customWidth="1"/>
    <col min="10254" max="10496" width="8.875" style="2894"/>
    <col min="10497" max="10497" width="4.8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8.875" style="2894"/>
    <col min="10503" max="10503" width="9.375" style="2894" bestFit="1" customWidth="1"/>
    <col min="10504" max="10505" width="8.875" style="2894"/>
    <col min="10506" max="10506" width="9.375" style="2894" bestFit="1" customWidth="1"/>
    <col min="10507" max="10507" width="4" style="2894" customWidth="1"/>
    <col min="10508" max="10508" width="5.125" style="2894" customWidth="1"/>
    <col min="10509" max="10509" width="13.875" style="2894" customWidth="1"/>
    <col min="10510" max="10752" width="8.875" style="2894"/>
    <col min="10753" max="10753" width="4.8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8.875" style="2894"/>
    <col min="10759" max="10759" width="9.375" style="2894" bestFit="1" customWidth="1"/>
    <col min="10760" max="10761" width="8.875" style="2894"/>
    <col min="10762" max="10762" width="9.375" style="2894" bestFit="1" customWidth="1"/>
    <col min="10763" max="10763" width="4" style="2894" customWidth="1"/>
    <col min="10764" max="10764" width="5.125" style="2894" customWidth="1"/>
    <col min="10765" max="10765" width="13.875" style="2894" customWidth="1"/>
    <col min="10766" max="11008" width="8.875" style="2894"/>
    <col min="11009" max="11009" width="4.8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8.875" style="2894"/>
    <col min="11015" max="11015" width="9.375" style="2894" bestFit="1" customWidth="1"/>
    <col min="11016" max="11017" width="8.875" style="2894"/>
    <col min="11018" max="11018" width="9.375" style="2894" bestFit="1" customWidth="1"/>
    <col min="11019" max="11019" width="4" style="2894" customWidth="1"/>
    <col min="11020" max="11020" width="5.125" style="2894" customWidth="1"/>
    <col min="11021" max="11021" width="13.875" style="2894" customWidth="1"/>
    <col min="11022" max="11264" width="8.875" style="2894"/>
    <col min="11265" max="11265" width="4.8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8.875" style="2894"/>
    <col min="11271" max="11271" width="9.375" style="2894" bestFit="1" customWidth="1"/>
    <col min="11272" max="11273" width="8.875" style="2894"/>
    <col min="11274" max="11274" width="9.375" style="2894" bestFit="1" customWidth="1"/>
    <col min="11275" max="11275" width="4" style="2894" customWidth="1"/>
    <col min="11276" max="11276" width="5.125" style="2894" customWidth="1"/>
    <col min="11277" max="11277" width="13.875" style="2894" customWidth="1"/>
    <col min="11278" max="11520" width="8.875" style="2894"/>
    <col min="11521" max="11521" width="4.8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8.875" style="2894"/>
    <col min="11527" max="11527" width="9.375" style="2894" bestFit="1" customWidth="1"/>
    <col min="11528" max="11529" width="8.875" style="2894"/>
    <col min="11530" max="11530" width="9.375" style="2894" bestFit="1" customWidth="1"/>
    <col min="11531" max="11531" width="4" style="2894" customWidth="1"/>
    <col min="11532" max="11532" width="5.125" style="2894" customWidth="1"/>
    <col min="11533" max="11533" width="13.875" style="2894" customWidth="1"/>
    <col min="11534" max="11776" width="8.875" style="2894"/>
    <col min="11777" max="11777" width="4.8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8.875" style="2894"/>
    <col min="11783" max="11783" width="9.375" style="2894" bestFit="1" customWidth="1"/>
    <col min="11784" max="11785" width="8.875" style="2894"/>
    <col min="11786" max="11786" width="9.375" style="2894" bestFit="1" customWidth="1"/>
    <col min="11787" max="11787" width="4" style="2894" customWidth="1"/>
    <col min="11788" max="11788" width="5.125" style="2894" customWidth="1"/>
    <col min="11789" max="11789" width="13.875" style="2894" customWidth="1"/>
    <col min="11790" max="12032" width="8.875" style="2894"/>
    <col min="12033" max="12033" width="4.8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8.875" style="2894"/>
    <col min="12039" max="12039" width="9.375" style="2894" bestFit="1" customWidth="1"/>
    <col min="12040" max="12041" width="8.875" style="2894"/>
    <col min="12042" max="12042" width="9.375" style="2894" bestFit="1" customWidth="1"/>
    <col min="12043" max="12043" width="4" style="2894" customWidth="1"/>
    <col min="12044" max="12044" width="5.125" style="2894" customWidth="1"/>
    <col min="12045" max="12045" width="13.875" style="2894" customWidth="1"/>
    <col min="12046" max="12288" width="8.875" style="2894"/>
    <col min="12289" max="12289" width="4.8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8.875" style="2894"/>
    <col min="12295" max="12295" width="9.375" style="2894" bestFit="1" customWidth="1"/>
    <col min="12296" max="12297" width="8.875" style="2894"/>
    <col min="12298" max="12298" width="9.375" style="2894" bestFit="1" customWidth="1"/>
    <col min="12299" max="12299" width="4" style="2894" customWidth="1"/>
    <col min="12300" max="12300" width="5.125" style="2894" customWidth="1"/>
    <col min="12301" max="12301" width="13.875" style="2894" customWidth="1"/>
    <col min="12302" max="12544" width="8.875" style="2894"/>
    <col min="12545" max="12545" width="4.8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8.875" style="2894"/>
    <col min="12551" max="12551" width="9.375" style="2894" bestFit="1" customWidth="1"/>
    <col min="12552" max="12553" width="8.875" style="2894"/>
    <col min="12554" max="12554" width="9.375" style="2894" bestFit="1" customWidth="1"/>
    <col min="12555" max="12555" width="4" style="2894" customWidth="1"/>
    <col min="12556" max="12556" width="5.125" style="2894" customWidth="1"/>
    <col min="12557" max="12557" width="13.875" style="2894" customWidth="1"/>
    <col min="12558" max="12800" width="8.875" style="2894"/>
    <col min="12801" max="12801" width="4.8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8.875" style="2894"/>
    <col min="12807" max="12807" width="9.375" style="2894" bestFit="1" customWidth="1"/>
    <col min="12808" max="12809" width="8.875" style="2894"/>
    <col min="12810" max="12810" width="9.375" style="2894" bestFit="1" customWidth="1"/>
    <col min="12811" max="12811" width="4" style="2894" customWidth="1"/>
    <col min="12812" max="12812" width="5.125" style="2894" customWidth="1"/>
    <col min="12813" max="12813" width="13.875" style="2894" customWidth="1"/>
    <col min="12814" max="13056" width="8.875" style="2894"/>
    <col min="13057" max="13057" width="4.8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8.875" style="2894"/>
    <col min="13063" max="13063" width="9.375" style="2894" bestFit="1" customWidth="1"/>
    <col min="13064" max="13065" width="8.875" style="2894"/>
    <col min="13066" max="13066" width="9.375" style="2894" bestFit="1" customWidth="1"/>
    <col min="13067" max="13067" width="4" style="2894" customWidth="1"/>
    <col min="13068" max="13068" width="5.125" style="2894" customWidth="1"/>
    <col min="13069" max="13069" width="13.875" style="2894" customWidth="1"/>
    <col min="13070" max="13312" width="8.875" style="2894"/>
    <col min="13313" max="13313" width="4.8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8.875" style="2894"/>
    <col min="13319" max="13319" width="9.375" style="2894" bestFit="1" customWidth="1"/>
    <col min="13320" max="13321" width="8.875" style="2894"/>
    <col min="13322" max="13322" width="9.375" style="2894" bestFit="1" customWidth="1"/>
    <col min="13323" max="13323" width="4" style="2894" customWidth="1"/>
    <col min="13324" max="13324" width="5.125" style="2894" customWidth="1"/>
    <col min="13325" max="13325" width="13.875" style="2894" customWidth="1"/>
    <col min="13326" max="13568" width="8.875" style="2894"/>
    <col min="13569" max="13569" width="4.8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8.875" style="2894"/>
    <col min="13575" max="13575" width="9.375" style="2894" bestFit="1" customWidth="1"/>
    <col min="13576" max="13577" width="8.875" style="2894"/>
    <col min="13578" max="13578" width="9.375" style="2894" bestFit="1" customWidth="1"/>
    <col min="13579" max="13579" width="4" style="2894" customWidth="1"/>
    <col min="13580" max="13580" width="5.125" style="2894" customWidth="1"/>
    <col min="13581" max="13581" width="13.875" style="2894" customWidth="1"/>
    <col min="13582" max="13824" width="8.875" style="2894"/>
    <col min="13825" max="13825" width="4.8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8.875" style="2894"/>
    <col min="13831" max="13831" width="9.375" style="2894" bestFit="1" customWidth="1"/>
    <col min="13832" max="13833" width="8.875" style="2894"/>
    <col min="13834" max="13834" width="9.375" style="2894" bestFit="1" customWidth="1"/>
    <col min="13835" max="13835" width="4" style="2894" customWidth="1"/>
    <col min="13836" max="13836" width="5.125" style="2894" customWidth="1"/>
    <col min="13837" max="13837" width="13.875" style="2894" customWidth="1"/>
    <col min="13838" max="14080" width="8.875" style="2894"/>
    <col min="14081" max="14081" width="4.8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8.875" style="2894"/>
    <col min="14087" max="14087" width="9.375" style="2894" bestFit="1" customWidth="1"/>
    <col min="14088" max="14089" width="8.875" style="2894"/>
    <col min="14090" max="14090" width="9.375" style="2894" bestFit="1" customWidth="1"/>
    <col min="14091" max="14091" width="4" style="2894" customWidth="1"/>
    <col min="14092" max="14092" width="5.125" style="2894" customWidth="1"/>
    <col min="14093" max="14093" width="13.875" style="2894" customWidth="1"/>
    <col min="14094" max="14336" width="8.875" style="2894"/>
    <col min="14337" max="14337" width="4.8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8.875" style="2894"/>
    <col min="14343" max="14343" width="9.375" style="2894" bestFit="1" customWidth="1"/>
    <col min="14344" max="14345" width="8.875" style="2894"/>
    <col min="14346" max="14346" width="9.375" style="2894" bestFit="1" customWidth="1"/>
    <col min="14347" max="14347" width="4" style="2894" customWidth="1"/>
    <col min="14348" max="14348" width="5.125" style="2894" customWidth="1"/>
    <col min="14349" max="14349" width="13.875" style="2894" customWidth="1"/>
    <col min="14350" max="14592" width="8.875" style="2894"/>
    <col min="14593" max="14593" width="4.8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8.875" style="2894"/>
    <col min="14599" max="14599" width="9.375" style="2894" bestFit="1" customWidth="1"/>
    <col min="14600" max="14601" width="8.875" style="2894"/>
    <col min="14602" max="14602" width="9.375" style="2894" bestFit="1" customWidth="1"/>
    <col min="14603" max="14603" width="4" style="2894" customWidth="1"/>
    <col min="14604" max="14604" width="5.125" style="2894" customWidth="1"/>
    <col min="14605" max="14605" width="13.875" style="2894" customWidth="1"/>
    <col min="14606" max="14848" width="8.875" style="2894"/>
    <col min="14849" max="14849" width="4.8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8.875" style="2894"/>
    <col min="14855" max="14855" width="9.375" style="2894" bestFit="1" customWidth="1"/>
    <col min="14856" max="14857" width="8.875" style="2894"/>
    <col min="14858" max="14858" width="9.375" style="2894" bestFit="1" customWidth="1"/>
    <col min="14859" max="14859" width="4" style="2894" customWidth="1"/>
    <col min="14860" max="14860" width="5.125" style="2894" customWidth="1"/>
    <col min="14861" max="14861" width="13.875" style="2894" customWidth="1"/>
    <col min="14862" max="15104" width="8.875" style="2894"/>
    <col min="15105" max="15105" width="4.8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8.875" style="2894"/>
    <col min="15111" max="15111" width="9.375" style="2894" bestFit="1" customWidth="1"/>
    <col min="15112" max="15113" width="8.875" style="2894"/>
    <col min="15114" max="15114" width="9.375" style="2894" bestFit="1" customWidth="1"/>
    <col min="15115" max="15115" width="4" style="2894" customWidth="1"/>
    <col min="15116" max="15116" width="5.125" style="2894" customWidth="1"/>
    <col min="15117" max="15117" width="13.875" style="2894" customWidth="1"/>
    <col min="15118" max="15360" width="8.875" style="2894"/>
    <col min="15361" max="15361" width="4.8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8.875" style="2894"/>
    <col min="15367" max="15367" width="9.375" style="2894" bestFit="1" customWidth="1"/>
    <col min="15368" max="15369" width="8.875" style="2894"/>
    <col min="15370" max="15370" width="9.375" style="2894" bestFit="1" customWidth="1"/>
    <col min="15371" max="15371" width="4" style="2894" customWidth="1"/>
    <col min="15372" max="15372" width="5.125" style="2894" customWidth="1"/>
    <col min="15373" max="15373" width="13.875" style="2894" customWidth="1"/>
    <col min="15374" max="15616" width="8.875" style="2894"/>
    <col min="15617" max="15617" width="4.8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8.875" style="2894"/>
    <col min="15623" max="15623" width="9.375" style="2894" bestFit="1" customWidth="1"/>
    <col min="15624" max="15625" width="8.875" style="2894"/>
    <col min="15626" max="15626" width="9.375" style="2894" bestFit="1" customWidth="1"/>
    <col min="15627" max="15627" width="4" style="2894" customWidth="1"/>
    <col min="15628" max="15628" width="5.125" style="2894" customWidth="1"/>
    <col min="15629" max="15629" width="13.875" style="2894" customWidth="1"/>
    <col min="15630" max="15872" width="8.875" style="2894"/>
    <col min="15873" max="15873" width="4.8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8.875" style="2894"/>
    <col min="15879" max="15879" width="9.375" style="2894" bestFit="1" customWidth="1"/>
    <col min="15880" max="15881" width="8.875" style="2894"/>
    <col min="15882" max="15882" width="9.375" style="2894" bestFit="1" customWidth="1"/>
    <col min="15883" max="15883" width="4" style="2894" customWidth="1"/>
    <col min="15884" max="15884" width="5.125" style="2894" customWidth="1"/>
    <col min="15885" max="15885" width="13.875" style="2894" customWidth="1"/>
    <col min="15886" max="16128" width="8.875" style="2894"/>
    <col min="16129" max="16129" width="4.8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8.875" style="2894"/>
    <col min="16135" max="16135" width="9.375" style="2894" bestFit="1" customWidth="1"/>
    <col min="16136" max="16137" width="8.875" style="2894"/>
    <col min="16138" max="16138" width="9.375" style="2894" bestFit="1" customWidth="1"/>
    <col min="16139" max="16139" width="4" style="2894" customWidth="1"/>
    <col min="16140" max="16140" width="5.125" style="2894" customWidth="1"/>
    <col min="16141" max="16141" width="13.875" style="2894" customWidth="1"/>
    <col min="16142" max="16384" width="8.875" style="2894"/>
  </cols>
  <sheetData>
    <row r="1" spans="1:257" s="2954" customFormat="1" ht="14.25" thickBot="1">
      <c r="A1" s="2953"/>
      <c r="B1" s="2955" t="s">
        <v>2785</v>
      </c>
      <c r="C1" s="2959">
        <f>项目基本情况!D3</f>
        <v>43782</v>
      </c>
      <c r="H1" s="2893">
        <f>IF(C1&gt;C13,0,MATCH(C1,C$13:C$100,-1))+IF(SUMIF(C13:C100,C1,D13:D100)=0,13,12)</f>
        <v>13</v>
      </c>
      <c r="I1" s="2893">
        <f>MATCH(C2,H3:H7,1)+IF(SUMIF(H3:H7,C2,I3:I7)=0,2,1)</f>
        <v>6</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4</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G41" sqref="A41:G42"/>
    </sheetView>
  </sheetViews>
  <sheetFormatPr defaultRowHeight="13.5"/>
  <cols>
    <col min="1" max="1" width="47.875" customWidth="1"/>
    <col min="3" max="3" width="15.875" customWidth="1"/>
    <col min="4" max="4" width="13.5" customWidth="1"/>
    <col min="8" max="8" width="13.25" customWidth="1"/>
  </cols>
  <sheetData>
    <row r="1" spans="1:14" s="2894" customFormat="1">
      <c r="A1" s="2894" t="s">
        <v>3032</v>
      </c>
      <c r="B1" s="2894" t="s">
        <v>3033</v>
      </c>
      <c r="C1" s="2894" t="s">
        <v>3034</v>
      </c>
      <c r="D1" s="2894" t="s">
        <v>3035</v>
      </c>
      <c r="E1" s="2894" t="s">
        <v>3036</v>
      </c>
      <c r="F1" s="2894" t="s">
        <v>2029</v>
      </c>
      <c r="G1" s="2894" t="s">
        <v>3037</v>
      </c>
      <c r="H1" s="2894" t="s">
        <v>3038</v>
      </c>
      <c r="I1" s="2894" t="s">
        <v>3039</v>
      </c>
      <c r="J1" s="2894" t="s">
        <v>3040</v>
      </c>
      <c r="K1" s="2894" t="s">
        <v>3041</v>
      </c>
      <c r="L1" s="2894" t="s">
        <v>3042</v>
      </c>
      <c r="M1" s="2894" t="s">
        <v>3043</v>
      </c>
      <c r="N1" s="2894" t="s">
        <v>3044</v>
      </c>
    </row>
    <row r="2" spans="1:14" s="2894" customFormat="1">
      <c r="A2" s="2894" t="s">
        <v>3045</v>
      </c>
      <c r="B2" s="2894" t="s">
        <v>1945</v>
      </c>
      <c r="C2" s="2894" t="s">
        <v>3046</v>
      </c>
      <c r="D2" s="2894">
        <v>21023.4</v>
      </c>
      <c r="E2" s="2894">
        <v>63070</v>
      </c>
      <c r="F2" s="2894" t="s">
        <v>3047</v>
      </c>
      <c r="G2" s="2894" t="s">
        <v>3048</v>
      </c>
      <c r="H2" s="2894" t="s">
        <v>3049</v>
      </c>
      <c r="I2" s="2894">
        <v>266900</v>
      </c>
      <c r="J2" s="2894">
        <v>282000</v>
      </c>
      <c r="K2" s="2894">
        <v>44712.22</v>
      </c>
      <c r="L2" s="2894">
        <v>5.66</v>
      </c>
      <c r="M2" s="2894" t="s">
        <v>3050</v>
      </c>
      <c r="N2" s="2894" t="s">
        <v>3051</v>
      </c>
    </row>
    <row r="3" spans="1:14" s="2894" customFormat="1">
      <c r="A3" s="2894" t="s">
        <v>3052</v>
      </c>
      <c r="B3" s="2894" t="s">
        <v>1945</v>
      </c>
      <c r="C3" s="2894" t="s">
        <v>3046</v>
      </c>
      <c r="D3" s="2894">
        <v>59111.519999999997</v>
      </c>
      <c r="E3" s="2894">
        <v>216452</v>
      </c>
      <c r="F3" s="2894" t="s">
        <v>3053</v>
      </c>
      <c r="G3" s="2894" t="s">
        <v>3048</v>
      </c>
      <c r="H3" s="2894" t="s">
        <v>3054</v>
      </c>
      <c r="I3" s="2894">
        <v>668400</v>
      </c>
      <c r="J3" s="2894">
        <v>794000</v>
      </c>
      <c r="K3" s="2894">
        <v>36682.5</v>
      </c>
      <c r="L3" s="2894">
        <v>18.79</v>
      </c>
      <c r="M3" s="2894" t="s">
        <v>3055</v>
      </c>
      <c r="N3" s="2894" t="s">
        <v>3051</v>
      </c>
    </row>
    <row r="4" spans="1:14" s="2894" customFormat="1">
      <c r="A4" s="2894" t="s">
        <v>3056</v>
      </c>
      <c r="B4" s="2894" t="s">
        <v>1945</v>
      </c>
      <c r="C4" s="2894" t="s">
        <v>3046</v>
      </c>
      <c r="D4" s="2894">
        <v>168662.9</v>
      </c>
      <c r="E4" s="2894">
        <v>184119</v>
      </c>
      <c r="F4" s="2894" t="s">
        <v>3057</v>
      </c>
      <c r="G4" s="2894" t="s">
        <v>3048</v>
      </c>
      <c r="H4" s="2894" t="s">
        <v>3058</v>
      </c>
      <c r="I4" s="2894">
        <v>405000</v>
      </c>
      <c r="J4" s="2894">
        <v>430000</v>
      </c>
      <c r="K4" s="2894">
        <v>23354.45</v>
      </c>
      <c r="L4" s="2894">
        <v>6.17</v>
      </c>
      <c r="M4" s="2894" t="s">
        <v>3059</v>
      </c>
      <c r="N4" s="2894" t="s">
        <v>3060</v>
      </c>
    </row>
    <row r="5" spans="1:14" s="3480" customFormat="1">
      <c r="A5" s="3480" t="s">
        <v>3061</v>
      </c>
      <c r="B5" s="3480" t="s">
        <v>1945</v>
      </c>
      <c r="C5" s="3480" t="s">
        <v>3046</v>
      </c>
      <c r="D5" s="3480">
        <v>56736.89</v>
      </c>
      <c r="E5" s="3480">
        <v>162338</v>
      </c>
      <c r="F5" s="3480">
        <v>2.86</v>
      </c>
      <c r="G5" s="3480" t="s">
        <v>3048</v>
      </c>
      <c r="H5" s="3480" t="s">
        <v>3062</v>
      </c>
      <c r="I5" s="3480">
        <v>327700</v>
      </c>
      <c r="J5" s="3480">
        <v>372000</v>
      </c>
      <c r="K5" s="3480">
        <v>22915.15</v>
      </c>
      <c r="L5" s="3480">
        <v>13.52</v>
      </c>
      <c r="M5" s="3480" t="s">
        <v>3063</v>
      </c>
      <c r="N5" s="3480" t="s">
        <v>3051</v>
      </c>
    </row>
    <row r="6" spans="1:14" s="3481" customFormat="1" ht="12.75">
      <c r="A6" s="3481" t="s">
        <v>3064</v>
      </c>
      <c r="B6" s="3481" t="s">
        <v>1945</v>
      </c>
      <c r="C6" s="3481" t="s">
        <v>3065</v>
      </c>
      <c r="D6" s="3481">
        <v>43166.27</v>
      </c>
      <c r="E6" s="3481">
        <v>131841</v>
      </c>
      <c r="F6" s="3481">
        <v>3.05</v>
      </c>
      <c r="G6" s="3481" t="s">
        <v>3048</v>
      </c>
      <c r="H6" s="3481" t="s">
        <v>3066</v>
      </c>
      <c r="I6" s="3481">
        <v>462400</v>
      </c>
      <c r="J6" s="3481">
        <v>584000</v>
      </c>
      <c r="K6" s="3481">
        <v>44295.77</v>
      </c>
      <c r="L6" s="3481">
        <v>26.3</v>
      </c>
      <c r="M6" s="3481" t="s">
        <v>3067</v>
      </c>
      <c r="N6" s="3481" t="s">
        <v>3051</v>
      </c>
    </row>
    <row r="7" spans="1:14" s="3481" customFormat="1" ht="12.75">
      <c r="A7" s="3481" t="s">
        <v>3068</v>
      </c>
      <c r="B7" s="3481" t="s">
        <v>1945</v>
      </c>
      <c r="C7" s="3481" t="s">
        <v>3046</v>
      </c>
      <c r="D7" s="3481">
        <v>58664.08</v>
      </c>
      <c r="E7" s="3481">
        <v>163477</v>
      </c>
      <c r="F7" s="3481">
        <v>2.79</v>
      </c>
      <c r="G7" s="3481" t="s">
        <v>3048</v>
      </c>
      <c r="H7" s="3481" t="s">
        <v>3066</v>
      </c>
      <c r="I7" s="3481">
        <v>560000</v>
      </c>
      <c r="J7" s="3481">
        <v>702000</v>
      </c>
      <c r="K7" s="3481">
        <v>42941.81</v>
      </c>
      <c r="L7" s="3481">
        <v>25.36</v>
      </c>
      <c r="M7" s="3481" t="s">
        <v>3069</v>
      </c>
      <c r="N7" s="3481" t="s">
        <v>3051</v>
      </c>
    </row>
    <row r="8" spans="1:14" s="2894" customFormat="1">
      <c r="A8" s="2894" t="s">
        <v>3070</v>
      </c>
      <c r="B8" s="2894" t="s">
        <v>1945</v>
      </c>
      <c r="C8" s="2894" t="s">
        <v>3046</v>
      </c>
      <c r="D8" s="2894">
        <v>90247.13</v>
      </c>
      <c r="E8" s="2894">
        <v>290836</v>
      </c>
      <c r="F8" s="2894">
        <v>3.2229999999999999</v>
      </c>
      <c r="G8" s="2894" t="s">
        <v>3048</v>
      </c>
      <c r="H8" s="2894" t="s">
        <v>3071</v>
      </c>
      <c r="I8" s="2894">
        <v>498000</v>
      </c>
      <c r="J8" s="2894">
        <v>498000</v>
      </c>
      <c r="K8" s="2894">
        <v>17123.04</v>
      </c>
      <c r="L8" s="2894">
        <v>0</v>
      </c>
      <c r="M8" s="2894" t="s">
        <v>3072</v>
      </c>
      <c r="N8" s="2894" t="s">
        <v>3051</v>
      </c>
    </row>
    <row r="9" spans="1:14" s="3481" customFormat="1" ht="12.75">
      <c r="A9" s="3481" t="s">
        <v>3073</v>
      </c>
      <c r="B9" s="3481" t="s">
        <v>1945</v>
      </c>
      <c r="C9" s="3481" t="s">
        <v>3065</v>
      </c>
      <c r="D9" s="3481">
        <v>27200</v>
      </c>
      <c r="E9" s="3481">
        <v>76160</v>
      </c>
      <c r="F9" s="3481">
        <v>2.8</v>
      </c>
      <c r="G9" s="3481" t="s">
        <v>3048</v>
      </c>
      <c r="H9" s="3481" t="s">
        <v>3074</v>
      </c>
      <c r="I9" s="3481">
        <v>298100</v>
      </c>
      <c r="J9" s="3481">
        <v>312500</v>
      </c>
      <c r="K9" s="3481">
        <v>41032.04</v>
      </c>
      <c r="L9" s="3481">
        <v>4.83</v>
      </c>
      <c r="M9" s="3481" t="s">
        <v>3075</v>
      </c>
      <c r="N9" s="3481" t="s">
        <v>3051</v>
      </c>
    </row>
    <row r="10" spans="1:14" s="2894" customFormat="1">
      <c r="A10" s="2894" t="s">
        <v>3076</v>
      </c>
      <c r="B10" s="2894" t="s">
        <v>1945</v>
      </c>
      <c r="C10" s="2894" t="s">
        <v>3046</v>
      </c>
      <c r="D10" s="2894">
        <v>21975.01</v>
      </c>
      <c r="E10" s="2894">
        <v>41704</v>
      </c>
      <c r="F10" s="2894">
        <v>1.9</v>
      </c>
      <c r="G10" s="2894" t="s">
        <v>3048</v>
      </c>
      <c r="H10" s="2894" t="s">
        <v>3077</v>
      </c>
      <c r="I10" s="2894">
        <v>135000</v>
      </c>
      <c r="J10" s="2894">
        <v>167500</v>
      </c>
      <c r="K10" s="2894">
        <v>40164.01</v>
      </c>
      <c r="L10" s="2894">
        <v>24.07</v>
      </c>
      <c r="M10" s="2894" t="s">
        <v>3078</v>
      </c>
      <c r="N10" s="2894" t="s">
        <v>3051</v>
      </c>
    </row>
    <row r="11" spans="1:14" s="2894" customFormat="1">
      <c r="A11" s="2894" t="s">
        <v>3079</v>
      </c>
      <c r="B11" s="2894" t="s">
        <v>1945</v>
      </c>
      <c r="C11" s="2894" t="s">
        <v>3065</v>
      </c>
      <c r="D11" s="2894">
        <v>36708.14</v>
      </c>
      <c r="E11" s="2894">
        <v>102783</v>
      </c>
      <c r="F11" s="2894">
        <v>2.8</v>
      </c>
      <c r="G11" s="2894" t="s">
        <v>3048</v>
      </c>
      <c r="H11" s="2894" t="s">
        <v>3080</v>
      </c>
      <c r="I11" s="2894">
        <v>420000</v>
      </c>
      <c r="J11" s="2894">
        <v>626000</v>
      </c>
      <c r="K11" s="2894">
        <v>60905.01</v>
      </c>
      <c r="L11" s="2894">
        <v>49.05</v>
      </c>
      <c r="M11" s="2894" t="s">
        <v>3081</v>
      </c>
      <c r="N11" s="2894" t="s">
        <v>3051</v>
      </c>
    </row>
    <row r="12" spans="1:14" s="2894" customFormat="1">
      <c r="A12" s="2894" t="s">
        <v>3082</v>
      </c>
      <c r="B12" s="2894" t="s">
        <v>1945</v>
      </c>
      <c r="C12" s="2894" t="s">
        <v>3046</v>
      </c>
      <c r="D12" s="2894">
        <v>65649.87</v>
      </c>
      <c r="E12" s="2894">
        <v>193846</v>
      </c>
      <c r="F12" s="2894" t="s">
        <v>3083</v>
      </c>
      <c r="G12" s="2894" t="s">
        <v>3048</v>
      </c>
      <c r="H12" s="2894" t="s">
        <v>3084</v>
      </c>
      <c r="I12" s="2894">
        <v>525000</v>
      </c>
      <c r="J12" s="2894">
        <v>787000</v>
      </c>
      <c r="K12" s="2894">
        <v>40599.230000000003</v>
      </c>
      <c r="L12" s="2894">
        <v>49.9</v>
      </c>
      <c r="M12" s="2894" t="s">
        <v>3085</v>
      </c>
      <c r="N12" s="2894" t="s">
        <v>3051</v>
      </c>
    </row>
    <row r="13" spans="1:14" s="2894" customFormat="1">
      <c r="A13" s="2894" t="s">
        <v>3086</v>
      </c>
      <c r="B13" s="2894" t="s">
        <v>1945</v>
      </c>
      <c r="C13" s="2894" t="s">
        <v>3046</v>
      </c>
      <c r="D13" s="2894">
        <v>35982.400000000001</v>
      </c>
      <c r="E13" s="2894">
        <v>86965</v>
      </c>
      <c r="F13" s="2894">
        <v>2.4</v>
      </c>
      <c r="G13" s="2894" t="s">
        <v>3048</v>
      </c>
      <c r="H13" s="2894" t="s">
        <v>3087</v>
      </c>
      <c r="I13" s="2894">
        <v>230000</v>
      </c>
      <c r="J13" s="2894">
        <v>286000</v>
      </c>
      <c r="K13" s="2894">
        <v>32886.79</v>
      </c>
      <c r="L13" s="2894">
        <v>24.35</v>
      </c>
      <c r="M13" s="2894" t="s">
        <v>3088</v>
      </c>
      <c r="N13" s="2894" t="s">
        <v>3051</v>
      </c>
    </row>
    <row r="14" spans="1:14" s="2894" customFormat="1">
      <c r="A14" s="2894" t="s">
        <v>3089</v>
      </c>
      <c r="B14" s="2894" t="s">
        <v>1945</v>
      </c>
      <c r="C14" s="2894" t="s">
        <v>3046</v>
      </c>
      <c r="D14" s="2894">
        <v>75405.59</v>
      </c>
      <c r="E14" s="2894">
        <v>163968</v>
      </c>
      <c r="F14" s="2894">
        <v>2.2000000000000002</v>
      </c>
      <c r="G14" s="2894" t="s">
        <v>3048</v>
      </c>
      <c r="H14" s="2894" t="s">
        <v>3090</v>
      </c>
      <c r="I14" s="2894">
        <v>415000</v>
      </c>
      <c r="J14" s="2894">
        <v>415000</v>
      </c>
      <c r="K14" s="2894">
        <v>25309.81</v>
      </c>
      <c r="L14" s="2894">
        <v>0</v>
      </c>
      <c r="M14" s="2894" t="s">
        <v>3091</v>
      </c>
      <c r="N14" s="2894" t="s">
        <v>3092</v>
      </c>
    </row>
    <row r="15" spans="1:14" s="2894" customFormat="1">
      <c r="A15" s="2894" t="s">
        <v>3093</v>
      </c>
      <c r="B15" s="2894" t="s">
        <v>1945</v>
      </c>
      <c r="C15" s="2894" t="s">
        <v>3065</v>
      </c>
      <c r="D15" s="2894">
        <v>53213.75</v>
      </c>
      <c r="E15" s="2894">
        <v>100410</v>
      </c>
      <c r="F15" s="2894">
        <v>1.9</v>
      </c>
      <c r="G15" s="2894" t="s">
        <v>3048</v>
      </c>
      <c r="H15" s="2894" t="s">
        <v>3094</v>
      </c>
      <c r="I15" s="2894">
        <v>235000</v>
      </c>
      <c r="J15" s="2894">
        <v>289000</v>
      </c>
      <c r="K15" s="2894">
        <v>28781.99</v>
      </c>
      <c r="L15" s="2894">
        <v>22.98</v>
      </c>
      <c r="M15" s="2894" t="s">
        <v>3095</v>
      </c>
      <c r="N15" s="2894" t="s">
        <v>3051</v>
      </c>
    </row>
    <row r="16" spans="1:14" s="2894" customFormat="1">
      <c r="A16" s="2894" t="s">
        <v>3096</v>
      </c>
      <c r="B16" s="2894" t="s">
        <v>1945</v>
      </c>
      <c r="C16" s="2894" t="s">
        <v>3046</v>
      </c>
      <c r="D16" s="2894">
        <v>230355.9</v>
      </c>
      <c r="E16" s="2894">
        <v>249999</v>
      </c>
      <c r="F16" s="2894">
        <v>1.0900000000000001</v>
      </c>
      <c r="G16" s="2894" t="s">
        <v>3048</v>
      </c>
      <c r="H16" s="2894" t="s">
        <v>3097</v>
      </c>
      <c r="I16" s="2894">
        <v>500000</v>
      </c>
      <c r="J16" s="2894">
        <v>585000</v>
      </c>
      <c r="K16" s="2894">
        <v>23400.09</v>
      </c>
      <c r="L16" s="2894">
        <v>17</v>
      </c>
      <c r="M16" s="2894" t="s">
        <v>3098</v>
      </c>
      <c r="N16" s="2894" t="s">
        <v>3099</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87" t="s">
        <v>2035</v>
      </c>
      <c r="B1" s="3187"/>
      <c r="C1" s="3187"/>
      <c r="D1" s="3187"/>
      <c r="E1" s="3187"/>
      <c r="F1" s="3187"/>
      <c r="G1" s="3187"/>
      <c r="H1" s="3187"/>
      <c r="I1" s="3187"/>
      <c r="J1" s="3187"/>
      <c r="K1" s="3187"/>
      <c r="L1" s="3187"/>
      <c r="M1" s="3187"/>
      <c r="N1" s="3187"/>
      <c r="O1" s="3187"/>
      <c r="P1" s="3187"/>
      <c r="Q1" s="3187"/>
      <c r="R1" s="3187"/>
    </row>
    <row r="2" spans="1:18">
      <c r="A2" s="1792" t="s">
        <v>2037</v>
      </c>
      <c r="B2" s="1792"/>
      <c r="C2" s="1792"/>
      <c r="D2" s="1792"/>
      <c r="E2" s="1792"/>
      <c r="F2" s="1792"/>
      <c r="G2" s="1792"/>
      <c r="H2" s="1792"/>
      <c r="I2" s="1793"/>
      <c r="J2" s="1793"/>
      <c r="K2" s="1794" t="str">
        <f>"估价期日："&amp;TEXT(项目基本情况!D3,"yyyy年m月d日;;")</f>
        <v>估价期日：2019年11月13日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88" t="s">
        <v>2026</v>
      </c>
      <c r="B3" s="3188" t="s">
        <v>2728</v>
      </c>
      <c r="C3" s="3189" t="s">
        <v>2027</v>
      </c>
      <c r="D3" s="3188" t="s">
        <v>2732</v>
      </c>
      <c r="E3" s="3191" t="s">
        <v>2028</v>
      </c>
      <c r="F3" s="3191"/>
      <c r="G3" s="3191"/>
      <c r="H3" s="3191" t="s">
        <v>2029</v>
      </c>
      <c r="I3" s="3191"/>
      <c r="J3" s="3191"/>
      <c r="K3" s="3189" t="s">
        <v>2030</v>
      </c>
      <c r="L3" s="3189" t="s">
        <v>2031</v>
      </c>
      <c r="M3" s="3188" t="s">
        <v>2729</v>
      </c>
      <c r="N3" s="3190" t="str">
        <f>"（分摊）"&amp;项目基本情况!B16&amp;"国有建设用地使用权面积/㎡"</f>
        <v>（分摊）出让国有建设用地使用权面积/㎡</v>
      </c>
      <c r="O3" s="3188" t="s">
        <v>2060</v>
      </c>
      <c r="P3" s="3189" t="s">
        <v>2040</v>
      </c>
      <c r="Q3" s="3189" t="s">
        <v>2061</v>
      </c>
      <c r="R3" s="3189" t="s">
        <v>2032</v>
      </c>
    </row>
    <row r="4" spans="1:18" ht="36.75" customHeight="1">
      <c r="A4" s="3188"/>
      <c r="B4" s="3188"/>
      <c r="C4" s="3189"/>
      <c r="D4" s="3188"/>
      <c r="E4" s="2613" t="s">
        <v>2039</v>
      </c>
      <c r="F4" s="2613" t="s">
        <v>2741</v>
      </c>
      <c r="G4" s="2613" t="s">
        <v>2033</v>
      </c>
      <c r="H4" s="2613" t="s">
        <v>2034</v>
      </c>
      <c r="I4" s="2613" t="s">
        <v>2742</v>
      </c>
      <c r="J4" s="2613" t="s">
        <v>2033</v>
      </c>
      <c r="K4" s="3189"/>
      <c r="L4" s="3189"/>
      <c r="M4" s="3188"/>
      <c r="N4" s="3190"/>
      <c r="O4" s="3188"/>
      <c r="P4" s="3189"/>
      <c r="Q4" s="3189"/>
      <c r="R4" s="3189"/>
    </row>
    <row r="5" spans="1:18" ht="135" customHeight="1">
      <c r="A5" s="1928" t="s">
        <v>2652</v>
      </c>
      <c r="B5" s="2822" t="s">
        <v>2650</v>
      </c>
      <c r="C5" s="2612">
        <v>22</v>
      </c>
      <c r="D5" s="2611" t="s">
        <v>2651</v>
      </c>
      <c r="E5" s="1795" t="str">
        <f>项目基本情况!B12</f>
        <v>城镇住宅用地、商务金融用地（商业、办公）</v>
      </c>
      <c r="F5" s="2611">
        <v>258</v>
      </c>
      <c r="G5" s="1795" t="str">
        <f>项目基本情况!B13</f>
        <v>城镇住宅用地、商务金融用地（商业、办公）</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52536.9</v>
      </c>
      <c r="O5" s="1795">
        <f>项目基本情况!C21</f>
        <v>162338</v>
      </c>
      <c r="P5" s="1795">
        <f ca="1">结果表!E42</f>
        <v>73755</v>
      </c>
      <c r="Q5" s="1795">
        <f ca="1">结果表!D42</f>
        <v>23869</v>
      </c>
      <c r="R5" s="1796">
        <f ca="1">结果表!C42</f>
        <v>387488</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797">
        <f ca="1">结果表!O39</f>
        <v>387488</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797"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7" customWidth="1"/>
    <col min="2" max="3" width="21.375" style="1787" customWidth="1"/>
    <col min="4" max="4" width="19.875" style="1787" customWidth="1"/>
    <col min="5" max="16384" width="9" style="1787"/>
  </cols>
  <sheetData>
    <row r="1" spans="1:4">
      <c r="A1" s="3193" t="s">
        <v>2062</v>
      </c>
      <c r="B1" s="3193"/>
      <c r="C1" s="3193"/>
      <c r="D1" s="3193"/>
    </row>
    <row r="2" spans="1:4" ht="47.25" customHeight="1">
      <c r="A2" s="3194" t="str">
        <f>"1.权利限制："&amp;项目基本情况!L24&amp;"未设定租赁等其他他项权利。"</f>
        <v>1.权利限制：根据估价对象《不动产权证书》复印件，截至估价期日，估价对象抵押权未见登记。未设定租赁等其他他项权利。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3"/>
      <c r="C3" s="3193"/>
      <c r="D3" s="3193"/>
    </row>
    <row r="4" spans="1:4" ht="36.75" customHeight="1">
      <c r="A4" s="3193" t="str">
        <f>"3.估价规划限制条件：详见"&amp;项目基本情况!E21&amp;"。"</f>
        <v>3.估价规划限制条件：详见《国有建设用地使用权出让合同》[电子监管号：1101002019B00120]及附件。</v>
      </c>
      <c r="B4" s="3193"/>
      <c r="C4" s="3193"/>
      <c r="D4" s="3193"/>
    </row>
    <row r="5" spans="1:4">
      <c r="A5" s="3192" t="s">
        <v>2063</v>
      </c>
      <c r="B5" s="3192"/>
      <c r="C5" s="3192"/>
      <c r="D5" s="3192"/>
    </row>
    <row r="6" spans="1:4">
      <c r="A6" s="3193" t="s">
        <v>2041</v>
      </c>
      <c r="B6" s="3193"/>
      <c r="C6" s="3193"/>
      <c r="D6" s="3193"/>
    </row>
    <row r="7" spans="1:4" ht="33" customHeight="1">
      <c r="A7" s="3193" t="s">
        <v>2572</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（1）根据估价对象《不动产权证书》复印件，截至估价期日，估价对象抵押权未见登记。</v>
      </c>
      <c r="B11" s="3195"/>
      <c r="C11" s="3195"/>
      <c r="D11" s="3195"/>
    </row>
    <row r="12" spans="1:4" ht="168" customHeight="1">
      <c r="A12" s="3192" t="s">
        <v>2065</v>
      </c>
      <c r="B12" s="3192"/>
      <c r="C12" s="3192"/>
      <c r="D12" s="3192"/>
    </row>
    <row r="13" spans="1:4">
      <c r="A13" s="3196" t="s">
        <v>2743</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2699</v>
      </c>
      <c r="B17" s="3193"/>
      <c r="C17" s="3193"/>
      <c r="D17" s="3193"/>
    </row>
    <row r="18" spans="1:4">
      <c r="A18" s="3193" t="s">
        <v>2691</v>
      </c>
      <c r="B18" s="3193"/>
      <c r="C18" s="3193"/>
      <c r="D18" s="3193"/>
    </row>
    <row r="19" spans="1:4">
      <c r="A19" s="2823" t="s">
        <v>2692</v>
      </c>
      <c r="B19" s="2823" t="s">
        <v>2693</v>
      </c>
      <c r="C19" s="2823" t="s">
        <v>2694</v>
      </c>
      <c r="D19" s="2823" t="s">
        <v>2695</v>
      </c>
    </row>
    <row r="20" spans="1:4">
      <c r="A20" s="2823" t="str">
        <f>项目基本情况!B4</f>
        <v>崔锴</v>
      </c>
      <c r="B20" s="2823">
        <f ca="1">项目基本情况!C4</f>
        <v>2010110070</v>
      </c>
      <c r="C20" s="2825"/>
      <c r="D20" s="1785" t="s">
        <v>2700</v>
      </c>
    </row>
    <row r="21" spans="1:4">
      <c r="A21" s="2823" t="str">
        <f>项目基本情况!D4</f>
        <v>赵雯</v>
      </c>
      <c r="B21" s="2823">
        <f ca="1">项目基本情况!E4</f>
        <v>2011110090</v>
      </c>
      <c r="C21" s="2825"/>
      <c r="D21" s="1785" t="s">
        <v>2701</v>
      </c>
    </row>
    <row r="23" spans="1:4">
      <c r="A23" s="3193" t="s">
        <v>2696</v>
      </c>
      <c r="B23" s="3193"/>
      <c r="C23" s="3193"/>
      <c r="D23" s="3193"/>
    </row>
    <row r="24" spans="1:4">
      <c r="A24" s="2823" t="s">
        <v>2692</v>
      </c>
      <c r="B24" s="2823" t="s">
        <v>2697</v>
      </c>
      <c r="C24" s="2823" t="s">
        <v>2694</v>
      </c>
      <c r="D24" s="2823" t="s">
        <v>2695</v>
      </c>
    </row>
    <row r="25" spans="1:4">
      <c r="A25" s="2826" t="s">
        <v>2698</v>
      </c>
      <c r="B25" s="2823" t="s">
        <v>952</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4" t="s">
        <v>53</v>
      </c>
      <c r="B15" s="3205" t="s">
        <v>846</v>
      </c>
      <c r="C15" s="3201"/>
    </row>
    <row r="16" spans="1:7" ht="14.25">
      <c r="A16" s="3204"/>
      <c r="B16" s="3202" t="s">
        <v>54</v>
      </c>
      <c r="C16" s="1168" t="s">
        <v>53</v>
      </c>
    </row>
    <row r="17" spans="1:3" ht="14.25">
      <c r="A17" s="3204"/>
      <c r="B17" s="3202"/>
      <c r="C17" s="1168" t="s">
        <v>55</v>
      </c>
    </row>
    <row r="18" spans="1:3" ht="14.25">
      <c r="A18" s="3204"/>
      <c r="B18" s="3202"/>
      <c r="C18" s="1168" t="s">
        <v>56</v>
      </c>
    </row>
    <row r="19" spans="1:3" ht="14.25">
      <c r="A19" s="3204"/>
      <c r="B19" s="3200" t="s">
        <v>57</v>
      </c>
      <c r="C19" s="3201"/>
    </row>
    <row r="20" spans="1:3" ht="14.25">
      <c r="A20" s="1169" t="s">
        <v>58</v>
      </c>
      <c r="B20" s="1170"/>
      <c r="C20" s="1171"/>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2" t="s">
        <v>837</v>
      </c>
    </row>
    <row r="25" spans="1:3" ht="14.25">
      <c r="A25" s="3203"/>
      <c r="B25" s="3207"/>
      <c r="C25" s="1172" t="s">
        <v>838</v>
      </c>
    </row>
    <row r="26" spans="1:3" ht="14.25">
      <c r="A26" s="3203"/>
      <c r="B26" s="3207"/>
      <c r="C26" s="1172" t="s">
        <v>839</v>
      </c>
    </row>
    <row r="27" spans="1:3" ht="14.25">
      <c r="A27" s="3203"/>
      <c r="B27" s="3207"/>
      <c r="C27" s="1172" t="s">
        <v>840</v>
      </c>
    </row>
    <row r="28" spans="1:3" ht="14.25">
      <c r="A28" s="3203"/>
      <c r="B28" s="3207"/>
      <c r="C28" s="1172" t="s">
        <v>841</v>
      </c>
    </row>
    <row r="29" spans="1:3" ht="14.25">
      <c r="A29" s="3203"/>
      <c r="B29" s="3207"/>
      <c r="C29" s="1172" t="s">
        <v>842</v>
      </c>
    </row>
    <row r="30" spans="1:3" ht="14.25">
      <c r="A30" s="3203"/>
      <c r="B30" s="3207"/>
      <c r="C30" s="1172" t="s">
        <v>843</v>
      </c>
    </row>
    <row r="31" spans="1:3" ht="14.25">
      <c r="A31" s="3203"/>
      <c r="B31" s="3207"/>
      <c r="C31" s="1172" t="s">
        <v>844</v>
      </c>
    </row>
    <row r="32" spans="1:3" ht="14.25">
      <c r="A32" s="3203"/>
      <c r="B32" s="3207"/>
      <c r="C32" s="1172" t="s">
        <v>1646</v>
      </c>
    </row>
    <row r="33" spans="1:3" ht="14.25">
      <c r="A33" s="3203"/>
      <c r="B33" s="3197" t="s">
        <v>1652</v>
      </c>
      <c r="C33" s="1172" t="s">
        <v>1647</v>
      </c>
    </row>
    <row r="34" spans="1:3" ht="14.25">
      <c r="A34" s="3203"/>
      <c r="B34" s="3198"/>
      <c r="C34" s="1177" t="s">
        <v>1648</v>
      </c>
    </row>
    <row r="35" spans="1:3" ht="14.25">
      <c r="A35" s="3203"/>
      <c r="B35" s="3198"/>
      <c r="C35" s="1178" t="s">
        <v>1649</v>
      </c>
    </row>
    <row r="36" spans="1:3" ht="14.25">
      <c r="A36" s="3203"/>
      <c r="B36" s="3198"/>
      <c r="C36" s="1178" t="s">
        <v>1650</v>
      </c>
    </row>
    <row r="37" spans="1:3" ht="14.25">
      <c r="A37" s="3203"/>
      <c r="B37" s="319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93" zoomScaleSheetLayoutView="93" workbookViewId="0">
      <selection activeCell="B37" sqref="B37:I37"/>
    </sheetView>
  </sheetViews>
  <sheetFormatPr defaultColWidth="22.625" defaultRowHeight="20.25" customHeight="1"/>
  <cols>
    <col min="1" max="1" width="24.875" style="3128" customWidth="1"/>
    <col min="2" max="5" width="22.625" style="3128"/>
    <col min="6" max="6" width="25.625" style="3128" customWidth="1"/>
    <col min="7" max="16384" width="22.625" style="3128"/>
  </cols>
  <sheetData>
    <row r="2" spans="1:6" ht="20.25" customHeight="1">
      <c r="A2" s="3125" t="s">
        <v>1907</v>
      </c>
      <c r="B2" s="3126">
        <f ca="1">TODAY()</f>
        <v>43790</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2975</v>
      </c>
      <c r="B14" s="3130">
        <f ca="1">IF(C14&lt;B2,"已过期",1120040230)</f>
        <v>1120040230</v>
      </c>
      <c r="C14" s="3134">
        <v>43835</v>
      </c>
      <c r="D14" s="3135" t="s">
        <v>2976</v>
      </c>
      <c r="E14" s="3130">
        <f ca="1">IF(F14&lt;B2,"已过期",98030020)</f>
        <v>98030020</v>
      </c>
      <c r="F14" s="3133">
        <v>47118</v>
      </c>
    </row>
    <row r="15" spans="1:6" ht="20.25" customHeight="1">
      <c r="A15" s="3130" t="s">
        <v>2571</v>
      </c>
      <c r="B15" s="3130">
        <f ca="1">IF(C15&lt;B2,"已过期",1120070085)</f>
        <v>1120070085</v>
      </c>
      <c r="C15" s="3134">
        <v>43814</v>
      </c>
      <c r="D15" s="3130" t="s">
        <v>2977</v>
      </c>
      <c r="E15" s="3130">
        <f ca="1">IF(F15&lt;B2,"已过期",2004110128)</f>
        <v>2004110128</v>
      </c>
      <c r="F15" s="3136">
        <v>47118</v>
      </c>
    </row>
    <row r="16" spans="1:6" ht="20.25" customHeight="1">
      <c r="A16" s="3130" t="s">
        <v>1923</v>
      </c>
      <c r="B16" s="3130">
        <f ca="1">IF(C16&lt;B2,"已过期",1120140022)</f>
        <v>1120140022</v>
      </c>
      <c r="C16" s="3132">
        <v>44029</v>
      </c>
      <c r="D16" s="3130" t="s">
        <v>2978</v>
      </c>
      <c r="E16" s="3130">
        <f ca="1">IF(F16&lt;B2,"已过期",2008110059)</f>
        <v>2008110059</v>
      </c>
      <c r="F16" s="3133">
        <v>47177</v>
      </c>
    </row>
    <row r="17" spans="1:7" ht="20.25" customHeight="1">
      <c r="A17" s="3130"/>
      <c r="B17" s="3130"/>
      <c r="C17" s="3132"/>
      <c r="D17" s="3135" t="s">
        <v>2979</v>
      </c>
      <c r="E17" s="3130">
        <f ca="1">IF(F17&lt;B2,"已过期",2014110076)</f>
        <v>2014110076</v>
      </c>
      <c r="F17" s="3133">
        <v>49302</v>
      </c>
    </row>
    <row r="18" spans="1:7" ht="20.25" customHeight="1">
      <c r="A18" s="3130" t="s">
        <v>2992</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08" t="s">
        <v>1926</v>
      </c>
      <c r="B25" s="3208"/>
      <c r="C25" s="3208"/>
      <c r="D25" s="3208"/>
      <c r="E25" s="3208"/>
      <c r="F25" s="3208"/>
      <c r="G25" s="3208"/>
    </row>
    <row r="26" spans="1:7" ht="20.25" customHeight="1">
      <c r="A26" s="3209" t="s">
        <v>1927</v>
      </c>
      <c r="B26" s="3209"/>
      <c r="C26" s="3209"/>
      <c r="D26" s="3209" t="s">
        <v>1928</v>
      </c>
      <c r="E26" s="3209"/>
      <c r="F26" s="3209"/>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44820</v>
      </c>
      <c r="D28" s="3141" t="s">
        <v>1934</v>
      </c>
      <c r="E28" s="3141" t="s">
        <v>1935</v>
      </c>
      <c r="F28" s="3142">
        <v>44377</v>
      </c>
    </row>
    <row r="29" spans="1:7" s="3125" customFormat="1" ht="20.25" customHeight="1">
      <c r="A29" s="3141"/>
      <c r="B29" s="3141"/>
      <c r="C29" s="3143"/>
      <c r="D29" s="3141" t="s">
        <v>1936</v>
      </c>
      <c r="E29" s="3141" t="s">
        <v>2993</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A36" sqref="AA3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2949</v>
      </c>
      <c r="C18" s="1540"/>
    </row>
    <row r="19" spans="1:3">
      <c r="A19" s="8" t="s">
        <v>120</v>
      </c>
      <c r="B19" s="3063" t="s">
        <v>2957</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村商业银行卢沟桥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10"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c r="D53" s="1752"/>
      <c r="E53" s="1752"/>
    </row>
    <row r="54" spans="1:5">
      <c r="A54" s="3210"/>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0"/>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0"/>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0"/>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2019-11-21T03:04:06Z</dcterms:modified>
</cp:coreProperties>
</file>