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710" windowHeight="998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基准地价修正" sheetId="43" r:id="rId22"/>
    <sheet name="假设开发法" sheetId="12" state="hidden"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<sst xmlns="http://schemas.openxmlformats.org/spreadsheetml/2006/main" count="8340" uniqueCount="2768">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</sst>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name val="宋体"/>
      <charset val="134"/>
    </font>
    <font>
      <sz val="11"/>
      <color theme="9" tint="-0.249977111117893"/>
      <name val="宋体"/>
      <charset val="134"/>
    </font>
    <font>
      <b/>
      <sz val="10"/>
      <color indexed="53"/>
      <name val="宋体"/>
      <charset val="134"/>
    </font>
    <font>
      <sz val="11"/>
      <color theme="1"/>
      <name val="宋体"/>
      <charset val="134"/>
    </font>
    <font>
      <sz val="10"/>
      <color theme="9" tint="-0.249977111117893"/>
      <name val="宋体"/>
      <charset val="134"/>
    </font>
    <font>
      <sz val="14"/>
      <color rgb="FF000000"/>
      <name val="宋体"/>
      <charset val="134"/>
    </font>
    <font>
      <b/>
      <sz val="11"/>
      <color rgb="FFFF0000"/>
      <name val="宋体"/>
      <charset val="134"/>
    </font>
    <font>
      <b/>
      <sz val="16"/>
      <color indexed="10"/>
      <name val="宋体"/>
      <charset val="134"/>
    </font>
    <font>
      <b/>
      <sz val="12"/>
      <color rgb="FF000000"/>
      <name val="宋体"/>
      <charset val="134"/>
    </font>
    <font>
      <sz val="12"/>
      <color indexed="8"/>
      <name val="宋体"/>
      <charset val="134"/>
    </font>
    <font>
      <sz val="12"/>
      <color theme="1"/>
      <name val="宋体"/>
      <charset val="134"/>
    </font>
    <font>
      <b/>
      <sz val="14"/>
      <color theme="1"/>
      <name val="宋体"/>
      <charset val="134"/>
    </font>
    <font>
      <sz val="14"/>
      <color theme="9" tint="-0.249977111117893"/>
      <name val="宋体"/>
      <charset val="134"/>
    </font>
    <font>
      <b/>
      <sz val="18"/>
      <color indexed="10"/>
      <name val="΢ȭхڬˎ̥"/>
      <charset val="134"/>
    </font>
    <font>
      <b/>
      <sz val="12"/>
      <color indexed="8"/>
      <name val="宋体"/>
      <charset val="134"/>
    </font>
    <font>
      <b/>
      <sz val="14"/>
      <color rgb="FFFF0000"/>
      <name val="宋体"/>
      <charset val="134"/>
    </font>
    <font>
      <i/>
      <sz val="14"/>
      <color theme="3" tint="0.399975585192419"/>
      <name val="宋体"/>
      <charset val="134"/>
    </font>
    <font>
      <sz val="10"/>
      <color rgb="FFFF0000"/>
      <name val="楷体_GB2312"/>
      <charset val="134"/>
    </font>
    <font>
      <b/>
      <vertAlign val="subscript"/>
      <sz val="10"/>
      <name val="宋体"/>
      <charset val="134"/>
    </font>
    <font>
      <b/>
      <vertAlign val="subscript"/>
      <sz val="10"/>
      <name val="Arial"/>
      <charset val="134"/>
    </font>
    <font>
      <sz val="8"/>
      <color indexed="8"/>
      <name val="仿宋_GB2312"/>
      <charset val="134"/>
    </font>
    <font>
      <b/>
      <sz val="16"/>
      <color indexed="10"/>
      <name val="楷体_GB2312"/>
      <charset val="134"/>
    </font>
    <font>
      <sz val="10"/>
      <color rgb="FF70707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4"/>
      <color theme="1"/>
      <name val="宋体"/>
      <charset val="134"/>
    </font>
    <font>
      <b/>
      <sz val="10"/>
      <color indexed="10"/>
      <name val="宋体"/>
      <charset val="134"/>
    </font>
    <font>
      <sz val="8"/>
      <color indexed="8"/>
      <name val="宋体"/>
      <charset val="134"/>
    </font>
    <font>
      <vertAlign val="superscript"/>
      <sz val="10"/>
      <color indexed="8"/>
      <name val="Arial"/>
      <charset val="134"/>
    </font>
    <font>
      <i/>
      <sz val="10"/>
      <color indexed="8"/>
      <name val="宋体"/>
      <charset val="134"/>
    </font>
    <font>
      <b/>
      <sz val="10"/>
      <color indexed="10"/>
      <name val="楷体_GB2312"/>
      <charset val="134"/>
    </font>
    <font>
      <sz val="10"/>
      <color indexed="10"/>
      <name val="宋体"/>
      <charset val="134"/>
    </font>
    <font>
      <sz val="9"/>
      <color indexed="8"/>
      <name val="仿宋_GB2312"/>
      <charset val="134"/>
    </font>
    <font>
      <b/>
      <sz val="11"/>
      <color theme="1"/>
      <name val="宋体"/>
      <charset val="134"/>
    </font>
    <font>
      <i/>
      <sz val="10"/>
      <name val="宋体"/>
      <charset val="134"/>
    </font>
    <font>
      <i/>
      <sz val="10"/>
      <name val="楷体_GB2312"/>
      <charset val="134"/>
    </font>
    <font>
      <sz val="11"/>
      <color rgb="FF000000"/>
      <name val="宋体"/>
      <charset val="134"/>
    </font>
    <font>
      <sz val="11"/>
      <color indexed="53"/>
      <name val="宋体"/>
      <charset val="134"/>
    </font>
    <font>
      <i/>
      <sz val="11"/>
      <color theme="3" tint="0.399975585192419"/>
      <name val="宋体"/>
      <charset val="134"/>
    </font>
    <font>
      <vertAlign val="subscript"/>
      <sz val="10"/>
      <color theme="1"/>
      <name val="Arial"/>
      <charset val="134"/>
    </font>
    <font>
      <vertAlign val="subscript"/>
      <sz val="10"/>
      <color indexed="8"/>
      <name val="宋体"/>
      <charset val="134"/>
    </font>
    <font>
      <b/>
      <i/>
      <sz val="14"/>
      <color theme="3" tint="0.399975585192419"/>
      <name val="宋体"/>
      <charset val="134"/>
    </font>
    <font>
      <vertAlign val="superscript"/>
      <sz val="10"/>
      <color theme="1"/>
      <name val="宋体"/>
      <charset val="134"/>
    </font>
    <font>
      <b/>
      <vertAlign val="subscript"/>
      <sz val="10"/>
      <name val="楷体_GB2312"/>
      <charset val="134"/>
    </font>
    <font>
      <sz val="9"/>
      <color indexed="8"/>
      <name val="宋体"/>
      <charset val="134"/>
    </font>
    <font>
      <b/>
      <sz val="18"/>
      <color theme="1"/>
      <name val="宋体"/>
      <charset val="134"/>
    </font>
    <font>
      <b/>
      <i/>
      <sz val="11"/>
      <color theme="3" tint="0.399975585192419"/>
      <name val="宋体"/>
      <charset val="134"/>
    </font>
    <font>
      <sz val="12"/>
      <color theme="9" tint="-0.249977111117893"/>
      <name val="宋体"/>
      <charset val="134"/>
    </font>
    <font>
      <b/>
      <sz val="14"/>
      <color indexed="10"/>
      <name val="宋体"/>
      <charset val="134"/>
      <scheme val="minor"/>
    </font>
    <font>
      <b/>
      <sz val="14"/>
      <color rgb="FF000000"/>
      <name val="宋体"/>
      <charset val="134"/>
    </font>
    <font>
      <sz val="10"/>
      <color indexed="53"/>
      <name val="宋体"/>
      <charset val="134"/>
    </font>
    <font>
      <sz val="12"/>
      <color rgb="FF000000"/>
      <name val="宋体"/>
      <charset val="134"/>
    </font>
    <font>
      <vertAlign val="superscript"/>
      <sz val="10"/>
      <color theme="1"/>
      <name val="Arial"/>
      <charset val="134"/>
    </font>
    <font>
      <sz val="11"/>
      <color indexed="10"/>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1"/>
      <name val="宋体"/>
      <charset val="134"/>
    </font>
    <font>
      <sz val="10"/>
      <name val="宋体"/>
      <charset val="134"/>
    </font>
    <font>
      <sz val="12"/>
      <name val="宋体"/>
      <charset val="0"/>
      <scheme val="minor"/>
    </font>
    <font>
      <sz val="9"/>
      <name val="宋体"/>
      <charset val="134"/>
    </font>
    <font>
      <sz val="12"/>
      <name val="楷体_GB2312"/>
      <charset val="134"/>
    </font>
    <font>
      <sz val="12"/>
      <name val="仿宋_GB2312"/>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估价对象为北京市房地产，为所有。根据《国有土地使用证》[]，估价对象（分摊）出让国有建设用地使用权面积为868平方米，建筑面积为10038.66平方米。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估价对象为北京市房地产,属开发建设的，该项目尚在开发建设中。根据《国有土地使用证》[]，估价对象（分摊）出让国有建设用地使用权面积为868平方米，规划建筑面积为10038.66平方米。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2025年11月18日</v>
      </c>
    </row>
    <row r="13" s="3713" customFormat="1" spans="1:2">
      <c r="A13" s="3721" t="s">
        <v>13</v>
      </c>
      <c r="B13" s="3722" t="str">
        <f>'预评函-1'!A18</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10038.66</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45979</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1.08</v>
      </c>
      <c r="D5" s="3508">
        <f>IF(ISERROR(ROUND(POWER(1+E5,A5-C5)*(POWER(1+E5,C5)-1)/(POWER(1+E5,A5)-1),3)),0,ROUND(POWER(1+E5,A5-C5)*(POWER(1+E5,C5)-1)/(POWER(1+E5,A5)-1),4))</f>
        <v>0.0524</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11.09</v>
      </c>
      <c r="D6" s="3508">
        <f>IF(ISERROR(ROUND(POWER(1+E6,A6-C6)*(POWER(1+E6,C6)-1)/(POWER(1+E6,A6)-1),3)),0,ROUND(POWER(1+E6,A6-C6)*(POWER(1+E6,C6)-1)/(POWER(1+E6,A6)-1),4))</f>
        <v>0.4105</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31.1</v>
      </c>
      <c r="D7" s="3508">
        <f>IF(ISERROR(ROUND(POWER(1+E7,A7-C7)*(POWER(1+E7,C7)-1)/(POWER(1+E7,A7)-1),3)),0,ROUND(POWER(1+E7,A7-C7)*(POWER(1+E7,C7)-1)/(POWER(1+E7,A7)-1),4))</f>
        <v>0.7531</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45979</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v>51734</v>
      </c>
      <c r="E13" s="3404"/>
      <c r="F13" s="3404"/>
      <c r="G13" s="3404"/>
      <c r="H13" s="3404"/>
      <c r="I13" s="3404"/>
      <c r="J13" s="3401"/>
      <c r="K13" s="3367"/>
      <c r="L13" s="3367"/>
      <c r="M13" s="2937"/>
      <c r="N13" s="3368"/>
      <c r="O13" s="2937"/>
      <c r="P13" s="2937"/>
      <c r="Q13" s="2937"/>
      <c r="AD13" s="2943"/>
    </row>
    <row r="14" ht="13" spans="1:30">
      <c r="A14" s="1753"/>
      <c r="B14" s="3403" t="s">
        <v>501</v>
      </c>
      <c r="C14" s="3405"/>
      <c r="D14" s="3405">
        <v>40</v>
      </c>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f>IF(A13="出让",IF(D13="","",ROUNDDOWN(MIN((D13-$D$3)/365,D14),2)),D14)</f>
        <v>15.76</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10038.66</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10038.66</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11480.69</v>
      </c>
      <c r="H5" s="3262">
        <f t="shared" ref="H5:AT5" si="0">SUM(H13:H656)</f>
        <v>4819.9</v>
      </c>
      <c r="I5" s="3262">
        <f t="shared" si="0"/>
        <v>0</v>
      </c>
      <c r="J5" s="3262">
        <f t="shared" si="0"/>
        <v>0</v>
      </c>
      <c r="K5" s="3262">
        <f t="shared" si="0"/>
        <v>4819.9</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10038.66</v>
      </c>
      <c r="BA5" s="3264">
        <f t="shared" si="1"/>
        <v>4819.9</v>
      </c>
      <c r="BB5" s="3264">
        <f t="shared" si="1"/>
        <v>0</v>
      </c>
      <c r="BC5" s="3264">
        <f t="shared" si="1"/>
        <v>4819.9</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416.76</v>
      </c>
      <c r="I6" s="3262">
        <f t="shared" ref="I6:AB6" si="2">ROUND($A$3*I5/$B$3,2)</f>
        <v>0</v>
      </c>
      <c r="J6" s="3262">
        <f t="shared" si="2"/>
        <v>0</v>
      </c>
      <c r="K6" s="3262">
        <f t="shared" si="2"/>
        <v>416.76</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451.24</v>
      </c>
      <c r="AD6" s="3262">
        <f t="shared" ref="AD6:AS6" si="3">ROUND($A$3*AD5/$B$3,2)</f>
        <v>0</v>
      </c>
      <c r="AE6" s="3262">
        <f t="shared" si="3"/>
        <v>0</v>
      </c>
      <c r="AF6" s="3262">
        <f t="shared" si="3"/>
        <v>451.24</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416.76</v>
      </c>
      <c r="BB6" s="3262">
        <f>ROUND($AY$6*BB5/$AZ$5,2)</f>
        <v>0</v>
      </c>
      <c r="BC6" s="3262">
        <f t="shared" ref="BC6:BH6" si="4">ROUND($AY$6*BC5/$AZ$5,2)</f>
        <v>416.76</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451.24</v>
      </c>
      <c r="BM6" s="3262">
        <f t="shared" si="5"/>
        <v>0</v>
      </c>
      <c r="BN6" s="3262">
        <f t="shared" si="5"/>
        <v>451.24</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t="s">
        <v>469</v>
      </c>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229</v>
      </c>
      <c r="J10" s="2028"/>
      <c r="K10" s="3292" t="s">
        <v>229</v>
      </c>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t="str">
        <f>K9</f>
        <v>地下</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商业</v>
      </c>
      <c r="BC11" s="3282" t="str">
        <f>K10</f>
        <v>商业</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11480.69</v>
      </c>
      <c r="H13" s="3268">
        <f>SUMIF(I$12:AB$12,"总值",I13:AB13)</f>
        <v>4819.9</v>
      </c>
      <c r="I13" s="3312"/>
      <c r="J13" s="3312"/>
      <c r="K13" s="3312">
        <v>4819.9</v>
      </c>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10038.66</v>
      </c>
      <c r="BA13" s="3262">
        <f>SUM(BB13:BK13)</f>
        <v>4819.9</v>
      </c>
      <c r="BB13" s="3262">
        <f>IF($D13="是",I13-J13,0)</f>
        <v>0</v>
      </c>
      <c r="BC13" s="3262">
        <f>IF($D13="是",K13-L13,0)</f>
        <v>4819.9</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10038.66</v>
      </c>
      <c r="F3" s="3148"/>
      <c r="G3" s="3153"/>
      <c r="H3" s="2538" t="s">
        <v>611</v>
      </c>
      <c r="I3" s="3154">
        <f>ROUND('数据-基础表'!B3/'数据-基础表'!A3,2)</f>
        <v>11.57</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11.57</v>
      </c>
      <c r="J5" s="3148"/>
      <c r="K5" s="3148"/>
      <c r="L5" s="3148"/>
      <c r="M5" s="3148"/>
      <c r="N5" s="3148"/>
      <c r="O5" s="3148"/>
      <c r="P5" s="3148"/>
    </row>
    <row r="6" ht="14.75" spans="1:16">
      <c r="A6" s="3162"/>
      <c r="B6" s="820" t="s">
        <v>616</v>
      </c>
      <c r="C6" s="820"/>
      <c r="D6" s="3160">
        <f>ROUND($D$3*E6/$E$3,2)</f>
        <v>868</v>
      </c>
      <c r="E6" s="3161">
        <f>E3-E5</f>
        <v>10038.66</v>
      </c>
      <c r="F6" s="3148"/>
      <c r="G6" s="3163" t="s">
        <v>617</v>
      </c>
      <c r="H6" s="3164" t="s">
        <v>613</v>
      </c>
      <c r="I6" s="3165">
        <f>ROUND(F31/D31,2)</f>
        <v>0</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0</v>
      </c>
      <c r="E8" s="3174">
        <f>SUMIF('数据-基础表'!BB10:BK10,"地上",'数据-基础表'!BB5:BK5)</f>
        <v>0</v>
      </c>
      <c r="F8" s="3148"/>
      <c r="G8" s="3175"/>
      <c r="H8" s="3175"/>
      <c r="I8" s="3148"/>
      <c r="J8" s="3148"/>
      <c r="K8" s="3148"/>
      <c r="L8" s="3148"/>
      <c r="M8" s="3148"/>
      <c r="N8" s="3148"/>
      <c r="O8" s="3148"/>
      <c r="P8" s="3148"/>
    </row>
    <row r="9" spans="1:16">
      <c r="A9" s="3176"/>
      <c r="B9" s="3177"/>
      <c r="C9" s="3160" t="s">
        <v>623</v>
      </c>
      <c r="D9" s="3160">
        <f t="shared" si="0"/>
        <v>6.77</v>
      </c>
      <c r="E9" s="3178">
        <v>78.24</v>
      </c>
      <c r="F9" s="3148"/>
      <c r="G9" s="3175"/>
      <c r="H9" s="3175"/>
      <c r="I9" s="3148"/>
      <c r="J9" s="3148"/>
      <c r="K9" s="3148"/>
      <c r="L9" s="3148"/>
      <c r="M9" s="3148"/>
      <c r="N9" s="3148"/>
      <c r="O9" s="3148"/>
      <c r="P9" s="3148"/>
    </row>
    <row r="10" spans="1:16">
      <c r="A10" s="3176"/>
      <c r="B10" s="3177"/>
      <c r="C10" s="3160" t="s">
        <v>624</v>
      </c>
      <c r="D10" s="3160">
        <f t="shared" si="0"/>
        <v>416.76</v>
      </c>
      <c r="E10" s="3174">
        <f>SUMPRODUCT(('数据-基础表'!BB10:BK10="地下")*('数据-基础表'!BB11:BK11="商业")*('数据-基础表'!BB5:BK5))</f>
        <v>4819.9</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423.53</v>
      </c>
      <c r="E16" s="3179">
        <f>SUM(E8:E15)</f>
        <v>4898.14</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416.76</v>
      </c>
      <c r="E19" s="3204">
        <f t="shared" ref="E19:E26" si="1">SUM(F19:G19)</f>
        <v>4819.9</v>
      </c>
      <c r="F19" s="3205">
        <f>'数据-基础表'!I13</f>
        <v>0</v>
      </c>
      <c r="G19" s="3206">
        <f>'数据-基础表'!K13</f>
        <v>4819.9</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416.76</v>
      </c>
      <c r="S19" s="3211">
        <f t="shared" si="5"/>
        <v>4819.9</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416.76</v>
      </c>
      <c r="E27" s="3221">
        <f>IF(SUM(E19:E26)='数据-基础表'!BA5,SUM(E19:E26),IF(F27="地上面积有误","面积有误","地下面积有误"))</f>
        <v>4819.9</v>
      </c>
      <c r="F27" s="3220">
        <f>IF(SUM(F19:F26)=E8,SUM(F19:F26),"地上面积有误")</f>
        <v>0</v>
      </c>
      <c r="G27" s="3222">
        <f>SUM(G19:G26)</f>
        <v>4819.9</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416.76误差-451.24</v>
      </c>
      <c r="S27" s="2538" t="str">
        <f>IF(SUM(S19:S26)=$E$3,SUM(S19:S26),SUM(S19:S26)&amp;"误差"&amp;ROUND(SUM(S19:S26)-E3,2))</f>
        <v>4819.9误差-5218.76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451.24</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451.24</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10038.66</v>
      </c>
      <c r="F31" s="3235">
        <f>F27+F30</f>
        <v>0</v>
      </c>
      <c r="G31" s="3236">
        <f>G27+G30</f>
        <v>10038.66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45979</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40</v>
      </c>
      <c r="E6" s="2992">
        <f>IF(B6="","",SUMIF(项目基本情况!C$12:I$12,C6,项目基本情况!C$13:I$13))</f>
        <v>51734</v>
      </c>
      <c r="F6" s="2993">
        <f>SUMIF(项目基本情况!C$12:I$12,C6,项目基本情况!C$15:I$15)</f>
        <v>15.76</v>
      </c>
      <c r="G6" s="2994">
        <f>IF(ISERROR(ROUND(POWER(1+H6,D6-F6)*(POWER(1+H6,F6)-1)/(POWER(1+H6,D6)-1),3)),0,ROUND(POWER(1+H6,D6-F6)*(POWER(1+H6,F6)-1)/(POWER(1+H6,D6)-1),3))</f>
        <v>0.625</v>
      </c>
      <c r="H6" s="2995">
        <v>0.05</v>
      </c>
      <c r="I6" s="2995">
        <v>0.055</v>
      </c>
      <c r="J6" s="2996">
        <v>0.07</v>
      </c>
      <c r="K6" s="2997">
        <f>SUMIF('数据-汇总表'!C$19:C$33,A6,'数据-汇总表'!E$19:E$33)</f>
        <v>4819.9</v>
      </c>
      <c r="L6" s="2998">
        <v>4500</v>
      </c>
      <c r="M6" s="2999">
        <f t="shared" ref="M6:M14" si="0">ROUND(K6*L6/10000,0)</f>
        <v>2169</v>
      </c>
      <c r="N6" s="3000">
        <v>0.7</v>
      </c>
      <c r="O6" s="2999" t="str">
        <f>IF($N$5="成新度","——",ROUND(M6*N6,0))</f>
        <v>——</v>
      </c>
      <c r="P6" s="3001" t="str">
        <f>IF($N$5="成新度","——",M6-O6)</f>
        <v>——</v>
      </c>
      <c r="Q6" s="3002">
        <v>0.2</v>
      </c>
      <c r="R6" s="3003">
        <f ca="1">SUMIF('数据-汇总表'!C$19:C$33,A6,'数据-汇总表'!R$19:R$27)</f>
        <v>416.76</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15.76</v>
      </c>
      <c r="AF6" s="2520"/>
      <c r="AG6" s="1432">
        <f ca="1">IF(AF6="",0,AE6-AF6)</f>
        <v>0</v>
      </c>
      <c r="AH6" s="3013"/>
      <c r="AI6" s="3014">
        <v>365</v>
      </c>
      <c r="AJ6" s="3015"/>
      <c r="AK6" s="3016">
        <v>0.005</v>
      </c>
      <c r="AL6" s="3017">
        <v>0.001</v>
      </c>
      <c r="AM6" s="3018">
        <v>0.005</v>
      </c>
      <c r="AN6" s="3019" t="s">
        <v>697</v>
      </c>
      <c r="AO6" s="820">
        <f ca="1">SUMIF(INDIRECT("'"&amp;AN6&amp;"'"&amp;"!A:A"),"总价",INDIRECT("'"&amp;AN6&amp;"'"&amp;"!B:B"))</f>
        <v>2660</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f>ROUND(SUMPRODUCT(G6:G13,K6:K13)/SUMPRODUCT((G6:G13&gt;0)*(K6:K13)),3)</f>
        <v>0.625</v>
      </c>
      <c r="H16" s="3054">
        <f>ROUND(SUMPRODUCT(H6:H13,K6:K13)/SUMPRODUCT((H6:H13&gt;0)*(K6:K13)),3)</f>
        <v>0.05</v>
      </c>
      <c r="I16" s="3055"/>
      <c r="J16" s="3055"/>
      <c r="K16" s="3056">
        <f>SUM(K6:K15)</f>
        <v>10038.66</v>
      </c>
      <c r="L16" s="3057">
        <f>ROUND(M16*10000/SUM(K6:K14),0)</f>
        <v>4500</v>
      </c>
      <c r="M16" s="3057">
        <f>SUM(M6:M14)</f>
        <v>2169</v>
      </c>
      <c r="N16" s="3058">
        <f>ROUND(SUMPRODUCT(M6:M14,N6:N14)/M16,3)</f>
        <v>0.7</v>
      </c>
      <c r="O16" s="3057">
        <f>SUM(O6:O14)</f>
        <v>0</v>
      </c>
      <c r="P16" s="3057">
        <f>SUM(P6:P14)</f>
        <v>0</v>
      </c>
      <c r="Q16" s="3059">
        <f>ROUND(SUMPRODUCT(Q6:Q13,K6:K13)/SUMPRODUCT((Q6:Q13&gt;0)*(K6:K13)),2)</f>
        <v>0.2</v>
      </c>
      <c r="R16" s="3060">
        <f ca="1">SUM(R6:R13)</f>
        <v>416.76</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96</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tabSelected="1" view="pageBreakPreview" zoomScale="80" zoomScaleNormal="80" workbookViewId="0">
      <selection activeCell="E15" sqref="E15"/>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3">
      <c r="A1" s="2851" t="s">
        <v>781</v>
      </c>
      <c r="B1" s="2851">
        <f>SUM(B14:B23)</f>
        <v>158.7</v>
      </c>
      <c r="C1" s="2852"/>
      <c r="D1" s="2852"/>
      <c r="E1" s="2852"/>
      <c r="F1" s="2852"/>
      <c r="G1" s="2853"/>
      <c r="H1" s="2854"/>
      <c r="I1" s="2854"/>
      <c r="J1" s="2854"/>
      <c r="K1" s="2854"/>
    </row>
    <row r="2" ht="16.5" spans="1:13">
      <c r="A2" s="2851" t="s">
        <v>782</v>
      </c>
      <c r="B2" s="2851">
        <f>SUM(C14:C23)</f>
        <v>0</v>
      </c>
      <c r="C2" s="2852"/>
      <c r="D2" s="2852"/>
      <c r="E2" s="2852"/>
      <c r="F2" s="2852"/>
      <c r="G2" s="2853"/>
      <c r="H2" s="2854"/>
      <c r="I2" s="2854"/>
      <c r="J2" s="2854"/>
      <c r="K2" s="2854"/>
    </row>
    <row r="3" ht="16.5" spans="1:13">
      <c r="A3" s="2851" t="s">
        <v>783</v>
      </c>
      <c r="B3" s="2855">
        <f>项目基本情况!D3</f>
        <v>45979</v>
      </c>
      <c r="C3" s="2852"/>
      <c r="D3" s="2852"/>
      <c r="E3" s="2852"/>
      <c r="F3" s="2852"/>
      <c r="G3" s="2853"/>
      <c r="H3" s="2854"/>
      <c r="I3" s="2854"/>
      <c r="J3" s="2854"/>
      <c r="K3" s="2854"/>
    </row>
    <row r="4" ht="33" spans="1:13">
      <c r="A4" s="2851" t="s">
        <v>784</v>
      </c>
      <c r="B4" s="2851" t="s">
        <v>785</v>
      </c>
      <c r="C4" s="2851" t="s">
        <v>786</v>
      </c>
      <c r="D4" s="2851" t="s">
        <v>787</v>
      </c>
      <c r="E4" s="2852"/>
      <c r="F4" s="2853"/>
      <c r="G4" s="2853"/>
      <c r="H4" s="2854"/>
      <c r="I4" s="2854"/>
      <c r="J4" s="2854"/>
      <c r="K4" s="2854"/>
    </row>
    <row r="5" ht="16.5" spans="1:13">
      <c r="A5" s="2851" t="s">
        <v>788</v>
      </c>
      <c r="B5" s="2851">
        <f>SUM(D14:D23)</f>
        <v>365.01</v>
      </c>
      <c r="C5" s="2851">
        <f ca="1">IF(B5=D14,结果表!H102,ROUND(B5*10000/$B$1,0))</f>
        <v>0</v>
      </c>
      <c r="D5" s="2851" t="e">
        <f>ROUND(B5*10000/$B$2,0)</f>
        <v>#DIV/0!</v>
      </c>
      <c r="E5" s="2852"/>
      <c r="F5" s="2853"/>
      <c r="G5" s="2853"/>
      <c r="H5" s="2854"/>
      <c r="I5" s="2854"/>
      <c r="J5" s="2854"/>
      <c r="K5" s="2854"/>
    </row>
    <row r="6" ht="16.5" spans="1:13">
      <c r="A6" s="2851" t="s">
        <v>789</v>
      </c>
      <c r="B6" s="2851">
        <f>SUM(G14:G23)</f>
        <v>0</v>
      </c>
      <c r="C6" s="2851">
        <f ca="1">IF(B6=G14,结果表!H108,ROUND(B6*10000/$B$1,0))</f>
        <v>0</v>
      </c>
      <c r="D6" s="2851" t="e">
        <f>ROUND(B6*10000/$B$2,0)</f>
        <v>#DIV/0!</v>
      </c>
      <c r="E6" s="2852"/>
      <c r="F6" s="2853"/>
      <c r="G6" s="2853"/>
      <c r="H6" s="2854"/>
      <c r="I6" s="2854"/>
      <c r="J6" s="2854"/>
      <c r="K6" s="2854"/>
    </row>
    <row r="7" ht="16.5" spans="1:13">
      <c r="A7" s="2851" t="s">
        <v>790</v>
      </c>
      <c r="B7" s="2851">
        <f>SUM(H14:H23)</f>
        <v>0</v>
      </c>
      <c r="C7" s="2851" t="str">
        <f ca="1">IF(B7=H14,结果表!H110,ROUND(B7*10000/$B$1,0))</f>
        <v>——</v>
      </c>
      <c r="D7" s="2851" t="e">
        <f>ROUND(B7*10000/$B$2,0)</f>
        <v>#DIV/0!</v>
      </c>
      <c r="E7" s="2852"/>
      <c r="F7" s="2853"/>
      <c r="G7" s="2853"/>
      <c r="H7" s="2854"/>
      <c r="I7" s="2854"/>
      <c r="J7" s="2854"/>
      <c r="K7" s="2854"/>
    </row>
    <row r="8" ht="16.5" spans="1:13">
      <c r="A8" s="2851" t="s">
        <v>375</v>
      </c>
      <c r="B8" s="2851">
        <f>SUM(I14:I23)</f>
        <v>0</v>
      </c>
      <c r="C8" s="2851" t="str">
        <f ca="1">IF(B8=I14,结果表!H112,ROUND(B8*10000/$B$1,0))</f>
        <v>——</v>
      </c>
      <c r="D8" s="2851" t="e">
        <f>ROUND(B8*10000/$B$2,0)</f>
        <v>#DIV/0!</v>
      </c>
      <c r="E8" s="2852"/>
      <c r="F8" s="2853"/>
      <c r="G8" s="2853"/>
      <c r="H8" s="2854"/>
      <c r="I8" s="2854"/>
      <c r="J8" s="2854"/>
      <c r="K8" s="2854"/>
    </row>
    <row r="9" ht="16.5" spans="1:13">
      <c r="A9" s="2851" t="s">
        <v>791</v>
      </c>
      <c r="B9" s="2856"/>
      <c r="C9" s="2852"/>
      <c r="D9" s="2852"/>
      <c r="E9" s="2852"/>
      <c r="F9" s="2853"/>
      <c r="G9" s="2853"/>
      <c r="H9" s="2854"/>
      <c r="I9" s="2854"/>
      <c r="J9" s="2854"/>
      <c r="K9" s="2854"/>
    </row>
    <row r="10" ht="16.5" spans="1:13">
      <c r="A10" s="2851" t="s">
        <v>792</v>
      </c>
      <c r="B10" s="2851">
        <f>IF(E10="",0,ROUND(B1*(E10*365/G10)/10000,0))</f>
        <v>0</v>
      </c>
      <c r="C10" s="2851" t="s">
        <v>793</v>
      </c>
      <c r="D10" s="2851" t="s">
        <v>792</v>
      </c>
      <c r="E10" s="2857"/>
      <c r="F10" s="2858" t="s">
        <v>794</v>
      </c>
      <c r="G10" s="2859"/>
      <c r="H10" s="2854"/>
      <c r="I10" s="2854"/>
      <c r="J10" s="2854"/>
      <c r="K10" s="2854"/>
    </row>
    <row r="11" ht="16.5" spans="1:13">
      <c r="A11" s="2851" t="s">
        <v>795</v>
      </c>
      <c r="B11" s="2856"/>
      <c r="C11" s="2852"/>
      <c r="D11" s="2852"/>
      <c r="E11" s="2852"/>
      <c r="F11" s="2853"/>
      <c r="G11" s="2853"/>
      <c r="H11" s="2854"/>
      <c r="I11" s="2854"/>
      <c r="J11" s="2854"/>
      <c r="K11" s="2854"/>
    </row>
    <row r="12" ht="16.5" spans="1:13">
      <c r="A12" s="2852"/>
      <c r="B12" s="2852"/>
      <c r="C12" s="2852"/>
      <c r="D12" s="2852"/>
      <c r="E12" s="2852"/>
      <c r="F12" s="2853"/>
      <c r="G12" s="2853"/>
      <c r="H12" s="2854"/>
      <c r="I12" s="2854"/>
      <c r="J12" s="2854"/>
      <c r="K12" s="2854"/>
    </row>
    <row r="13" ht="33" spans="1:13">
      <c r="A13" s="2860" t="s">
        <v>796</v>
      </c>
      <c r="B13" s="2861" t="s">
        <v>781</v>
      </c>
      <c r="C13" s="2861" t="s">
        <v>782</v>
      </c>
      <c r="D13" s="2861" t="s">
        <v>797</v>
      </c>
      <c r="E13" s="2851" t="s">
        <v>786</v>
      </c>
      <c r="F13" s="2851" t="s">
        <v>787</v>
      </c>
      <c r="G13" s="2861" t="s">
        <v>798</v>
      </c>
      <c r="H13" s="2861" t="s">
        <v>799</v>
      </c>
      <c r="I13" s="2861" t="s">
        <v>800</v>
      </c>
      <c r="J13" s="2853"/>
      <c r="K13" s="2854"/>
    </row>
    <row r="14" ht="16.5" spans="1:13">
      <c r="A14" s="2862" t="s">
        <v>801</v>
      </c>
      <c r="B14" s="2863">
        <v>158.7</v>
      </c>
      <c r="C14" s="2863"/>
      <c r="D14" s="2863">
        <f>ROUND(E14*B14/10000,2)</f>
        <v>365.01</v>
      </c>
      <c r="E14" s="2863">
        <v>23000</v>
      </c>
      <c r="F14" s="2863" t="e">
        <f>ROUND(D14*10000/C14,0)</f>
        <v>#DIV/0!</v>
      </c>
      <c r="G14" s="2863"/>
      <c r="H14" s="2863"/>
      <c r="I14" s="2863"/>
      <c r="J14" s="2853"/>
      <c r="K14" s="2854">
        <f>481/B14</f>
        <v>3.03087586641462</v>
      </c>
      <c r="M14" s="2850">
        <f>481*0.9</f>
        <v>432.9</v>
      </c>
    </row>
    <row r="15" ht="16.5" spans="1:13">
      <c r="A15" s="2862" t="s">
        <v>802</v>
      </c>
      <c r="B15" s="2864"/>
      <c r="C15" s="2864"/>
      <c r="D15" s="2864"/>
      <c r="E15" s="2863" t="e">
        <f t="shared" ref="E15:E23" si="0">ROUND(D15*10000/B15,0)</f>
        <v>#DIV/0!</v>
      </c>
      <c r="F15" s="2863" t="e">
        <f t="shared" ref="F15:F23" si="1">ROUND(D15*10000/C15,0)</f>
        <v>#DIV/0!</v>
      </c>
      <c r="G15" s="2865"/>
      <c r="H15" s="2865"/>
      <c r="I15" s="2864"/>
      <c r="J15" s="2853"/>
      <c r="K15" s="2854"/>
      <c r="M15" s="2850">
        <f>M14/B14</f>
        <v>2.72778827977316</v>
      </c>
    </row>
    <row r="16" ht="16.5" spans="1:13">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10038.66</v>
      </c>
      <c r="M18" s="1717">
        <f>IF(C1="",'数据-汇总表'!E3,SUMIF(项目类型,C1,'数据-汇总表'!E17:E26))</f>
        <v>10038.66</v>
      </c>
    </row>
    <row r="19" ht="14" spans="1:36">
      <c r="A19" s="2532" t="s">
        <v>840</v>
      </c>
      <c r="B19" s="2533" t="s">
        <v>841</v>
      </c>
      <c r="C19" s="2534">
        <f ca="1">SUMIF(INDIRECT("'"&amp;C4&amp;"'"&amp;"!A:A"),结果表!B19,INDIRECT("'"&amp;C4&amp;"'"&amp;"!B:B"))</f>
        <v>7765.3409</v>
      </c>
      <c r="D19" s="1140">
        <f ca="1">SUMIF(INDIRECT("'"&amp;D4&amp;"'"&amp;"!A:A"),结果表!B19,INDIRECT("'"&amp;D4&amp;"'"&amp;"!B:B"))</f>
        <v>2660</v>
      </c>
      <c r="E19" s="2532" t="s">
        <v>842</v>
      </c>
      <c r="F19" s="2533" t="s">
        <v>841</v>
      </c>
      <c r="G19" s="2535">
        <f ca="1">ROUND(C19*$C$18+D19*$D$18,0)</f>
        <v>6234</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5519</v>
      </c>
      <c r="E20" s="2537"/>
      <c r="F20" s="2538" t="s">
        <v>844</v>
      </c>
      <c r="G20" s="2539">
        <f ca="1">ROUND(C20*$C$18+D20*$D$18,0)</f>
        <v>12933</v>
      </c>
      <c r="H20" s="1766" t="s">
        <v>845</v>
      </c>
      <c r="I20" s="699"/>
    </row>
    <row r="21" ht="15" customHeight="1" spans="1:36">
      <c r="A21" s="2063"/>
      <c r="B21" s="2540" t="s">
        <v>846</v>
      </c>
      <c r="C21" s="2541">
        <f ca="1">ROUND(C19*10000/L19,0)</f>
        <v>89462</v>
      </c>
      <c r="D21" s="2542">
        <f ca="1">ROUND(D19*10000/L19,0)</f>
        <v>30645</v>
      </c>
      <c r="E21" s="2063"/>
      <c r="F21" s="2540" t="s">
        <v>846</v>
      </c>
      <c r="G21" s="2543">
        <f ca="1">ROUND(G19*10000/L19,0)</f>
        <v>71820</v>
      </c>
      <c r="H21" s="2544" t="s">
        <v>845</v>
      </c>
      <c r="I21" s="699"/>
    </row>
    <row r="22" ht="14.75" spans="1:36">
      <c r="A22" s="2545" t="s">
        <v>847</v>
      </c>
      <c r="B22" s="2546"/>
      <c r="C22" s="2547"/>
      <c r="D22" s="2548">
        <f ca="1">IF(C19&lt;D19,D19/C19-1,C19/D19-1)</f>
        <v>1.91930109022556</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12933</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45979</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7765.3409</v>
      </c>
      <c r="D102" s="2780">
        <f ca="1">IF(D32="楼面单价",ROUND(D19,0),D19)</f>
        <v>2660</v>
      </c>
      <c r="E102" s="2781"/>
      <c r="F102" s="2782"/>
      <c r="G102" s="2783" t="s">
        <v>99</v>
      </c>
      <c r="H102" s="2656" t="e">
        <f ca="1">I118</f>
        <v>#REF!</v>
      </c>
      <c r="I102" s="699"/>
    </row>
    <row r="103" ht="42.75" customHeight="1" spans="1:35">
      <c r="A103" s="2785"/>
      <c r="B103" s="2786" t="s">
        <v>99</v>
      </c>
      <c r="C103" s="2787">
        <f ca="1">C20</f>
        <v>16111</v>
      </c>
      <c r="D103" s="2788">
        <f ca="1">D20</f>
        <v>5519</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10038.66</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7765.3409</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4819.9</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45979</v>
      </c>
      <c r="D7" s="798">
        <v>100</v>
      </c>
      <c r="E7" s="799">
        <f>C7</f>
        <v>45979</v>
      </c>
      <c r="F7" s="800">
        <f>SUMIF(58:58,YEAR(E7)&amp;"-"&amp;MONTH(E7),59:59)</f>
        <v>100</v>
      </c>
      <c r="G7" s="799">
        <f>E7</f>
        <v>45979</v>
      </c>
      <c r="H7" s="798">
        <f>SUMIF(58:58,YEAR(G7)&amp;"-"&amp;MONTH(G7),59:59)</f>
        <v>100</v>
      </c>
      <c r="I7" s="799">
        <f>G7</f>
        <v>45979</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7608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15785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3797</v>
      </c>
      <c r="D5" s="412" t="s">
        <v>1112</v>
      </c>
      <c r="E5" s="413" t="s">
        <v>1113</v>
      </c>
      <c r="F5" s="413" t="s">
        <v>930</v>
      </c>
      <c r="G5" s="414"/>
    </row>
    <row r="6" s="392" customFormat="1" ht="13.5" customHeight="1" spans="1:9">
      <c r="A6" s="415" t="s">
        <v>1114</v>
      </c>
      <c r="B6" s="416" t="s">
        <v>1115</v>
      </c>
      <c r="C6" s="417">
        <f>基准地价修正!C30</f>
        <v>3685</v>
      </c>
      <c r="D6" s="418"/>
      <c r="E6" s="419"/>
      <c r="F6" s="419"/>
      <c r="G6" s="420"/>
    </row>
    <row r="7" s="392" customFormat="1" ht="13.5" customHeight="1" spans="1:9">
      <c r="A7" s="415" t="s">
        <v>1116</v>
      </c>
      <c r="B7" s="416" t="s">
        <v>1117</v>
      </c>
      <c r="C7" s="421">
        <f>ROUND(C6*F7,0)</f>
        <v>112</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96</v>
      </c>
      <c r="D10" s="428">
        <f ca="1">IF(B1="",'数据-汇总表'!E6,IF(INDIRECT("'数据-取费表'!c"&amp;$G$1)="住宅",INDIRECT("'数据-取费表'!s"&amp;$G$1),INDIRECT("'数据-取费表'!k"&amp;$G$1)+INDIRECT("'数据-取费表'!s"&amp;$G$1)))</f>
        <v>4819.9</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4819.9</v>
      </c>
      <c r="E19" s="412">
        <f>'数据-取费表'!B31</f>
        <v>200</v>
      </c>
      <c r="F19" s="437"/>
      <c r="G19" s="2469" t="s">
        <v>1144</v>
      </c>
    </row>
    <row r="20" s="392" customFormat="1" ht="13.5" customHeight="1" spans="1:7">
      <c r="A20" s="410" t="s">
        <v>1145</v>
      </c>
      <c r="B20" s="411" t="s">
        <v>1146</v>
      </c>
      <c r="C20" s="438">
        <f ca="1">ROUND((C5+C19)*F20,0)</f>
        <v>76</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243</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241</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2</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775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775</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5304</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2416</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2169</v>
      </c>
      <c r="D34" s="418"/>
      <c r="E34" s="421"/>
      <c r="F34" s="467">
        <f ca="1">IF('数据-取费表'!B24=0,1,IF(B1="",'数据-取费表'!N16,INDIRECT("'数据-取费表'!n"&amp;$G$1)))</f>
        <v>1</v>
      </c>
      <c r="G34" s="420" t="s">
        <v>1175</v>
      </c>
    </row>
    <row r="35" ht="13.5" customHeight="1" spans="1:7">
      <c r="A35" s="446" t="s">
        <v>1116</v>
      </c>
      <c r="B35" s="416" t="s">
        <v>1176</v>
      </c>
      <c r="C35" s="421">
        <f ca="1">ROUND(C34*F35,0)</f>
        <v>108</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96</v>
      </c>
      <c r="D37" s="418">
        <f ca="1">D19</f>
        <v>4819.9</v>
      </c>
      <c r="E37" s="459">
        <f>'数据-取费表'!B35</f>
        <v>200</v>
      </c>
      <c r="F37" s="468"/>
      <c r="G37" s="470" t="s">
        <v>1181</v>
      </c>
    </row>
    <row r="38" ht="13.5" customHeight="1" spans="1:7">
      <c r="A38" s="446" t="s">
        <v>1182</v>
      </c>
      <c r="B38" s="416" t="s">
        <v>966</v>
      </c>
      <c r="C38" s="421">
        <f ca="1">ROUND(C34*F38,0)</f>
        <v>43</v>
      </c>
      <c r="D38" s="421"/>
      <c r="E38" s="421"/>
      <c r="F38" s="468">
        <f>'数据-取费表'!B36</f>
        <v>0.02</v>
      </c>
      <c r="G38" s="420" t="s">
        <v>1177</v>
      </c>
    </row>
    <row r="39" s="392" customFormat="1" ht="13.5" customHeight="1" spans="1:7">
      <c r="A39" s="410" t="s">
        <v>1142</v>
      </c>
      <c r="B39" s="411" t="s">
        <v>1146</v>
      </c>
      <c r="C39" s="438">
        <f ca="1">ROUND(C33*F20,0)</f>
        <v>48</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78</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76</v>
      </c>
      <c r="D42" s="448"/>
      <c r="E42" s="448"/>
      <c r="F42" s="449"/>
      <c r="G42" s="472" t="s">
        <v>1186</v>
      </c>
    </row>
    <row r="43" ht="13.5" customHeight="1" spans="1:7">
      <c r="A43" s="446" t="s">
        <v>1116</v>
      </c>
      <c r="B43" s="416" t="s">
        <v>1156</v>
      </c>
      <c r="C43" s="448">
        <f ca="1">ROUND(IF('数据-取费表'!B22&lt;=1,C39*F22*'数据-取费表'!B21/2,C39*(POWER((1+F22),'数据-取费表'!B21/2)-1)),0)</f>
        <v>2</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493</v>
      </c>
      <c r="D45" s="441">
        <f ca="1">C47</f>
        <v>0.004</v>
      </c>
      <c r="E45" s="442" t="s">
        <v>1184</v>
      </c>
      <c r="F45" s="456">
        <f ca="1">F27</f>
        <v>0.2</v>
      </c>
      <c r="G45" s="457" t="s">
        <v>1187</v>
      </c>
    </row>
    <row r="46" s="392" customFormat="1" ht="13.5" customHeight="1" spans="1:7">
      <c r="A46" s="446" t="s">
        <v>1114</v>
      </c>
      <c r="B46" s="458" t="s">
        <v>1188</v>
      </c>
      <c r="C46" s="459">
        <f ca="1">ROUND((C33+C39)*F27,0)</f>
        <v>493</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3291</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2304</v>
      </c>
      <c r="D51" s="438"/>
      <c r="E51" s="438"/>
      <c r="F51" s="476"/>
      <c r="G51" s="443" t="s">
        <v>1198</v>
      </c>
    </row>
    <row r="52" s="391" customFormat="1" ht="16.25" spans="1:7">
      <c r="A52" s="477" t="s">
        <v>1199</v>
      </c>
      <c r="B52" s="478"/>
      <c r="C52" s="479">
        <f ca="1">C31+C51</f>
        <v>7608</v>
      </c>
      <c r="D52" s="478"/>
      <c r="E52" s="478"/>
      <c r="F52" s="478"/>
      <c r="G52" s="480"/>
    </row>
    <row r="55" ht="15.5" spans="1:7">
      <c r="B55" s="481" t="s">
        <v>1200</v>
      </c>
      <c r="C55" s="482"/>
    </row>
    <row r="56" ht="13" spans="1:7">
      <c r="B56" s="483" t="s">
        <v>1201</v>
      </c>
      <c r="C56" s="485">
        <f ca="1">1-C57</f>
        <v>0.697</v>
      </c>
    </row>
    <row r="57" ht="13" spans="1:7">
      <c r="B57" s="483" t="s">
        <v>1202</v>
      </c>
      <c r="C57" s="484">
        <f ca="1">ROUND(C51/C52,3)</f>
        <v>0.303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2965.0743</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2954</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2007732</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2007732</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2007732</v>
      </c>
      <c r="D10" s="428">
        <f ca="1">IF(B1="",'数据-汇总表'!E6,IF(INDIRECT("'数据-取费表'!c"&amp;$G$1)="住宅",INDIRECT("'数据-取费表'!s"&amp;$G$1),INDIRECT("'数据-取费表'!k"&amp;$G$1)+INDIRECT("'数据-取费表'!s"&amp;$G$1)))</f>
        <v>10038.66</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2007732</v>
      </c>
      <c r="D19" s="436">
        <f ca="1">D9+D10</f>
        <v>10038.66</v>
      </c>
      <c r="E19" s="412">
        <f>'数据-取费表'!B31</f>
        <v>200</v>
      </c>
      <c r="F19" s="437"/>
      <c r="G19" s="2469"/>
    </row>
    <row r="20" s="392" customFormat="1" ht="13.5" customHeight="1" spans="1:7">
      <c r="A20" s="410" t="s">
        <v>1145</v>
      </c>
      <c r="B20" s="411" t="s">
        <v>1146</v>
      </c>
      <c r="C20" s="438">
        <f ca="1">ROUND((C5+C19)*F20,0)</f>
        <v>80309</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257816</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127651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127651</v>
      </c>
      <c r="D24" s="448"/>
      <c r="E24" s="448"/>
      <c r="F24" s="449"/>
      <c r="G24" s="450" t="s">
        <v>1157</v>
      </c>
    </row>
    <row r="25" s="392" customFormat="1" ht="26" spans="1:7">
      <c r="A25" s="446" t="s">
        <v>1118</v>
      </c>
      <c r="B25" s="416" t="s">
        <v>1158</v>
      </c>
      <c r="C25" s="2471">
        <f ca="1">ROUND(IF('数据-取费表'!B22&lt;=1,C20*F22*'数据-取费表'!B22/2,C20*(POWER((1+F22),'数据-取费表'!B22/2)-1)),0)</f>
        <v>2514</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819155</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819155</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5609743</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25215551</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21689550</v>
      </c>
      <c r="D34" s="418"/>
      <c r="E34" s="421"/>
      <c r="F34" s="467"/>
      <c r="G34" s="420"/>
    </row>
    <row r="35" ht="13.5" customHeight="1" spans="1:7">
      <c r="A35" s="446" t="s">
        <v>1116</v>
      </c>
      <c r="B35" s="416" t="s">
        <v>1176</v>
      </c>
      <c r="C35" s="421">
        <f ca="1">ROUND(C34*F35,0)</f>
        <v>1084478</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2007732</v>
      </c>
      <c r="D37" s="418">
        <f ca="1">D19</f>
        <v>10038.66</v>
      </c>
      <c r="E37" s="459">
        <f>'数据-取费表'!B35</f>
        <v>200</v>
      </c>
      <c r="F37" s="468"/>
      <c r="G37" s="470"/>
    </row>
    <row r="38" ht="13.5" customHeight="1" spans="1:7">
      <c r="A38" s="446" t="s">
        <v>1182</v>
      </c>
      <c r="B38" s="416" t="s">
        <v>966</v>
      </c>
      <c r="C38" s="421">
        <f ca="1">ROUND(C34*F38,0)</f>
        <v>433791</v>
      </c>
      <c r="D38" s="421"/>
      <c r="E38" s="421"/>
      <c r="F38" s="468">
        <f>'数据-取费表'!B36</f>
        <v>0.02</v>
      </c>
      <c r="G38" s="420" t="s">
        <v>1177</v>
      </c>
    </row>
    <row r="39" s="392" customFormat="1" ht="13.5" customHeight="1" spans="1:7">
      <c r="A39" s="410" t="s">
        <v>1142</v>
      </c>
      <c r="B39" s="411" t="s">
        <v>1146</v>
      </c>
      <c r="C39" s="438">
        <f ca="1">ROUND(C33*F20,0)</f>
        <v>504311</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805032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789247</v>
      </c>
      <c r="D42" s="448"/>
      <c r="E42" s="448"/>
      <c r="F42" s="449"/>
      <c r="G42" s="472" t="s">
        <v>1206</v>
      </c>
    </row>
    <row r="43" ht="13.5" customHeight="1" spans="1:7">
      <c r="A43" s="446" t="s">
        <v>1116</v>
      </c>
      <c r="B43" s="416" t="s">
        <v>1156</v>
      </c>
      <c r="C43" s="448">
        <f ca="1">ROUND(IF('数据-取费表'!B22&lt;=1,C39*F22*'数据-取费表'!B20/2,C39*(POWER((1+F22),'数据-取费表'!B20/2)-1)),0)</f>
        <v>15785</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5143972</v>
      </c>
      <c r="D45" s="441">
        <f ca="1">C47</f>
        <v>0.004</v>
      </c>
      <c r="E45" s="442" t="s">
        <v>1184</v>
      </c>
      <c r="F45" s="456">
        <f ca="1">F27</f>
        <v>0.2</v>
      </c>
      <c r="G45" s="457" t="s">
        <v>1187</v>
      </c>
    </row>
    <row r="46" s="392" customFormat="1" ht="13.5" customHeight="1" spans="1:7">
      <c r="A46" s="446" t="s">
        <v>1114</v>
      </c>
      <c r="B46" s="458" t="s">
        <v>1188</v>
      </c>
      <c r="C46" s="459">
        <f ca="1">ROUND((C33+C39)*F27,0)</f>
        <v>5143972</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34344286</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24041000</v>
      </c>
      <c r="D51" s="438"/>
      <c r="E51" s="438"/>
      <c r="F51" s="476"/>
      <c r="G51" s="443" t="s">
        <v>1198</v>
      </c>
    </row>
    <row r="52" s="391" customFormat="1" ht="16.25" spans="1:7">
      <c r="A52" s="477" t="s">
        <v>1199</v>
      </c>
      <c r="B52" s="478"/>
      <c r="C52" s="479">
        <f ca="1">C31+C51</f>
        <v>29650743</v>
      </c>
      <c r="D52" s="478"/>
      <c r="E52" s="478"/>
      <c r="F52" s="478"/>
      <c r="G52" s="480"/>
    </row>
    <row r="55" ht="15.5" spans="1:7">
      <c r="B55" s="481" t="s">
        <v>1200</v>
      </c>
      <c r="C55" s="482"/>
    </row>
    <row r="56" ht="13" spans="1:7">
      <c r="B56" s="483" t="s">
        <v>1201</v>
      </c>
      <c r="C56" s="485">
        <f ca="1">1-C57</f>
        <v>0.189</v>
      </c>
    </row>
    <row r="57" ht="13" spans="1:7">
      <c r="B57" s="483" t="s">
        <v>1202</v>
      </c>
      <c r="C57" s="484">
        <f ca="1">ROUND(C51/C52,3)</f>
        <v>0.811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44" sqref="G44"/>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4819.9</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3685</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19138</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f>ROUND(B2*10000/D1,0)</f>
        <v>7645</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15084</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12749</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11244</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10806</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45979</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0.6458</v>
      </c>
      <c r="D24" s="2261" t="s">
        <v>1307</v>
      </c>
      <c r="E24" s="2262">
        <f>存贷款利率!E28/100</f>
        <v>0.0435</v>
      </c>
      <c r="F24" s="2261" t="s">
        <v>1308</v>
      </c>
      <c r="G24" s="2263">
        <f>SUMIF(M30:Q30,E2,M33:Q33)</f>
        <v>0.055</v>
      </c>
      <c r="H24" s="2261" t="s">
        <v>1309</v>
      </c>
      <c r="I24" s="2264">
        <f>SUMIF('数据-取费表'!C6:C15,E2,'数据-取费表'!F6:F15)/COUNTIF('数据-取费表'!C6:C15,E2)</f>
        <v>15.76</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3685</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921</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19138</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7645</v>
      </c>
      <c r="D37" s="2328">
        <f>'数据-汇总表'!G19</f>
        <v>4819.9</v>
      </c>
      <c r="E37" s="971">
        <f>ROUND(C37*D37/10000,0)</f>
        <v>3685</v>
      </c>
      <c r="F37" s="971">
        <f>SUMIF(修正!A59:A70,G2,修正!B59:B70)</f>
        <v>0.6</v>
      </c>
      <c r="G37" s="971">
        <f>ROUND(IF(E2="工业",C37*$M$42,C37*$M$41),0)</f>
        <v>1911</v>
      </c>
      <c r="H37" s="971">
        <f>D37</f>
        <v>4819.9</v>
      </c>
      <c r="I37" s="971">
        <f>ROUND(G37*H37/10000,0)</f>
        <v>921</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3823</v>
      </c>
      <c r="D38" s="2328"/>
      <c r="E38" s="971">
        <f t="shared" ref="E38:E42" si="4">ROUND(C38*D38/10000,0)</f>
        <v>0</v>
      </c>
      <c r="F38" s="971">
        <f>SUMIF(修正!A59:A70,G2,修正!C59:C70)</f>
        <v>0.3</v>
      </c>
      <c r="G38" s="971">
        <f>ROUND(IF(E2="工业",C38*$M$42,C38*$M$41),0)</f>
        <v>956</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3186</v>
      </c>
      <c r="D39" s="2328"/>
      <c r="E39" s="971">
        <f t="shared" si="4"/>
        <v>0</v>
      </c>
      <c r="F39" s="971">
        <f>SUMIF(修正!A59:A70,G2,修正!D59:D70)</f>
        <v>0.25</v>
      </c>
      <c r="G39" s="971">
        <f>ROUND(IF(E2="工业",C39*$M$42,C39*$M$41),0)</f>
        <v>797</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3186</v>
      </c>
      <c r="D40" s="2328"/>
      <c r="E40" s="971">
        <f t="shared" si="4"/>
        <v>0</v>
      </c>
      <c r="F40" s="2327">
        <f>SUMIF(修正!A59:A70,G2,修正!E59:E70)</f>
        <v>0.25</v>
      </c>
      <c r="G40" s="971">
        <f>ROUND(IF(E2="工业",C40*$M$42,C40*$M$41),0)</f>
        <v>797</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3019</v>
      </c>
      <c r="D41" s="2328"/>
      <c r="E41" s="971">
        <f t="shared" si="4"/>
        <v>0</v>
      </c>
      <c r="F41" s="2327">
        <f>SUMIF(修正!A59:A70,G2,修正!F59:F70)</f>
        <v>0.25</v>
      </c>
      <c r="G41" s="971">
        <f>ROUND(IF(E2="工业",C41*$M$42,C41*$M$41),0)</f>
        <v>755</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1811</v>
      </c>
      <c r="D42" s="2336"/>
      <c r="E42" s="2231">
        <f t="shared" si="4"/>
        <v>0</v>
      </c>
      <c r="F42" s="2362">
        <f>SUMIF(修正!A59:A70,G2,修正!G59:G70)</f>
        <v>0.15</v>
      </c>
      <c r="G42" s="2231">
        <f>ROUND(IF(E2="工业",C42*$M$42,C42*$M$41),0)</f>
        <v>453</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0.612</v>
      </c>
      <c r="D44" s="971" t="s">
        <v>1308</v>
      </c>
      <c r="E44" s="2367">
        <f>G24</f>
        <v>0.055</v>
      </c>
      <c r="F44" s="971" t="s">
        <v>1309</v>
      </c>
      <c r="G44" s="2368">
        <f>I24</f>
        <v>15.76</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4645</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2239</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10038.66</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10038.66</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105</v>
      </c>
      <c r="D18" s="2019"/>
      <c r="E18" s="711"/>
      <c r="F18" s="2020"/>
      <c r="G18" s="2024" t="s">
        <v>1447</v>
      </c>
      <c r="H18" s="2025">
        <f ca="1">成本法!C10</f>
        <v>96</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201</v>
      </c>
      <c r="D20" s="2019">
        <f ca="1">IF(C1="",'数据-汇总表'!E6,IF(INDIRECT("'数据-取费表'!c"&amp;$K$1)="住宅",INDIRECT("'数据-取费表'!s"&amp;$K$1),INDIRECT("'数据-取费表'!k"&amp;$K$1)+INDIRECT("'数据-取费表'!s"&amp;$K$1)))</f>
        <v>10038.66</v>
      </c>
      <c r="E20" s="711">
        <f>'数据-取费表'!B28</f>
        <v>200</v>
      </c>
      <c r="F20" s="2020"/>
      <c r="G20" s="1764"/>
      <c r="H20" s="2028"/>
      <c r="I20" s="2028"/>
      <c r="J20" s="2028"/>
      <c r="K20" s="2029"/>
    </row>
    <row r="21" s="1977" customFormat="1" ht="13.5" customHeight="1" spans="1:33">
      <c r="A21" s="1998" t="s">
        <v>935</v>
      </c>
      <c r="B21" s="2030" t="s">
        <v>1450</v>
      </c>
      <c r="C21" s="2031">
        <f ca="1">C16+C17+C18</f>
        <v>105</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L50" sqref="L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15.76</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2660</v>
      </c>
      <c r="C2" s="1691" t="s">
        <v>1474</v>
      </c>
      <c r="D2" s="1691"/>
      <c r="E2" s="1693"/>
      <c r="F2" s="1694"/>
      <c r="G2" s="1695"/>
      <c r="H2" s="1696"/>
      <c r="I2" s="1696"/>
      <c r="J2" s="1696"/>
      <c r="K2" s="1697"/>
      <c r="L2" s="1696"/>
      <c r="M2" s="1696"/>
    </row>
    <row r="3" ht="18" customHeight="1" spans="1:37">
      <c r="A3" s="1698" t="s">
        <v>1475</v>
      </c>
      <c r="B3" s="1699">
        <f ca="1">IF(ISERROR(B2*10000/F43),0,ROUND(B2*10000/F43,0))</f>
        <v>5519</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238</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238</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4819.9</v>
      </c>
      <c r="G7" s="1678"/>
      <c r="H7" s="1726"/>
      <c r="I7" s="1722"/>
      <c r="J7" s="1727"/>
      <c r="K7" s="1724"/>
      <c r="L7" s="1717" t="s">
        <v>1489</v>
      </c>
      <c r="M7" s="1718">
        <f ca="1">F7</f>
        <v>4819.9</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3291</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2169</v>
      </c>
      <c r="D14" s="1761" t="s">
        <v>1503</v>
      </c>
      <c r="E14" s="1762"/>
      <c r="F14" s="1763"/>
      <c r="G14" s="1678"/>
      <c r="H14" s="1759" t="s">
        <v>935</v>
      </c>
      <c r="I14" s="1717" t="s">
        <v>1504</v>
      </c>
      <c r="J14" s="711">
        <f ca="1">C29</f>
        <v>3291</v>
      </c>
      <c r="K14" s="1764"/>
      <c r="L14" s="1765"/>
      <c r="M14" s="1766"/>
    </row>
    <row r="15" s="1677" customFormat="1" ht="18" customHeight="1" spans="1:37">
      <c r="A15" s="1759" t="s">
        <v>962</v>
      </c>
      <c r="B15" s="1717" t="s">
        <v>1431</v>
      </c>
      <c r="C15" s="711">
        <f ca="1">ROUND(C14*F15,0)</f>
        <v>108</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16</v>
      </c>
      <c r="K16" s="1756" t="s">
        <v>1509</v>
      </c>
      <c r="L16" s="1775"/>
      <c r="M16" s="1712"/>
    </row>
    <row r="17" s="1677" customFormat="1" ht="18" customHeight="1" spans="1:37">
      <c r="A17" s="1759" t="s">
        <v>1510</v>
      </c>
      <c r="B17" s="1717" t="s">
        <v>1511</v>
      </c>
      <c r="C17" s="711">
        <f ca="1">ROUND(F17*(F43+INDIRECT("'数据-取费表'!S"&amp;$G$1))/10000,0)</f>
        <v>96</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f ca="1">IF(项目基本情况!B11="企业","",IF('数据-取费表'!B10="住宅",IF(M6*M7*M8/12/(1+'数据-取费表'!F30)&gt;100000,4%,2.5%),IF(M6*M7*M8/12/(1+'数据-取费表'!F30)&gt;100000,12%,7%)))</f>
        <v>0.07</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43</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2416</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48</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416.76</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16.46</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78</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-16</v>
      </c>
      <c r="K25" s="1797" t="s">
        <v>1547</v>
      </c>
      <c r="L25" s="1798"/>
      <c r="M25" s="1799"/>
    </row>
    <row r="26" ht="13" spans="1:37">
      <c r="A26" s="1759" t="s">
        <v>958</v>
      </c>
      <c r="B26" s="1717" t="s">
        <v>1548</v>
      </c>
      <c r="C26" s="711">
        <f ca="1">ROUND((C19+C20)*F26,0)</f>
        <v>493</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3291</v>
      </c>
      <c r="D29" s="1795"/>
      <c r="E29" s="1746"/>
      <c r="F29" s="1804"/>
      <c r="G29" s="1769"/>
      <c r="H29" s="1805" t="s">
        <v>1563</v>
      </c>
      <c r="I29" s="1806" t="s">
        <v>1564</v>
      </c>
      <c r="J29" s="1807">
        <f ca="1">ROUND(J26/(1+F40)^F41,0)</f>
        <v>0</v>
      </c>
      <c r="K29" s="1808" t="s">
        <v>1565</v>
      </c>
      <c r="L29" s="1809"/>
      <c r="M29" s="1810">
        <f ca="1">INDIRECT("'数据-取费表'!k"&amp;$G$1)</f>
        <v>4819.9</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48</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27.2</v>
      </c>
      <c r="D31" s="1761" t="s">
        <v>1515</v>
      </c>
      <c r="E31" s="1778" t="s">
        <v>1516</v>
      </c>
      <c r="F31" s="1779">
        <f ca="1">IF(项目基本情况!B11="企业","——",IF(M47="住宅",IF(F6*F7*F8/12/(1+'数据-取费表'!F30)&gt;100000,4%,2.5%),IF(F6*F7*F8/12/(1+'数据-取费表'!F30)&gt;100000,12%,7%)))</f>
        <v>0.12</v>
      </c>
      <c r="G31" s="1678"/>
      <c r="H31" s="1817" t="s">
        <v>1566</v>
      </c>
      <c r="I31" s="1812"/>
      <c r="J31" s="1813"/>
      <c r="K31" s="1814"/>
      <c r="L31" s="1815"/>
      <c r="M31" s="1816"/>
    </row>
    <row r="32" ht="18" customHeight="1" spans="1:37">
      <c r="A32" s="1759" t="s">
        <v>958</v>
      </c>
      <c r="B32" s="1717" t="s">
        <v>1518</v>
      </c>
      <c r="C32" s="711" t="str">
        <f ca="1">IF(项目基本情况!B11="自然人","——",ROUND(C6*F32/(1+'数据-取费表'!C42),2))</f>
        <v>——</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str">
        <f ca="1">IF(项目基本情况!B11="自然人","——",IF(D33="按租金收入计税",ROUND(C6*F33/(1+'数据-取费表'!C42),2),IF(D33="按房产原值计税",ROUND(C29*F33*0.7,2),INDIRECT("'数据-取费表'!Aj"&amp;$G$1))))</f>
        <v>——</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str">
        <f ca="1">IF(项目基本情况!B11="自然人","——",ROUND(F34*F35/10000,2))</f>
        <v>——</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416.76</v>
      </c>
      <c r="G35" s="1678"/>
      <c r="H35" s="1811"/>
      <c r="I35" s="1812"/>
      <c r="J35" s="1813"/>
      <c r="K35" s="1819"/>
      <c r="L35" s="1818"/>
      <c r="M35" s="1818"/>
    </row>
    <row r="36" ht="18" customHeight="1" spans="1:18">
      <c r="A36" s="1824" t="s">
        <v>939</v>
      </c>
      <c r="B36" s="1717" t="s">
        <v>1534</v>
      </c>
      <c r="C36" s="711">
        <f ca="1">ROUND(C29*F36,2)</f>
        <v>16.46</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3.29</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1.19</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190</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2239</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15.76</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4645</v>
      </c>
      <c r="D43" s="1808" t="s">
        <v>1570</v>
      </c>
      <c r="E43" s="1809" t="s">
        <v>1571</v>
      </c>
      <c r="F43" s="1810">
        <f ca="1">INDIRECT("'数据-取费表'!k"&amp;$G$1)</f>
        <v>4819.9</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-2446</v>
      </c>
      <c r="D46" s="1838" t="str">
        <f>C2</f>
        <v>万元</v>
      </c>
      <c r="E46" s="1829"/>
      <c r="F46" s="1829"/>
      <c r="I46" s="1839" t="s">
        <v>1574</v>
      </c>
      <c r="J46" s="1840"/>
      <c r="K46" s="1841"/>
      <c r="L46" s="1842">
        <f ca="1">IF(M47="住宅",0,IF(L48&gt;J51,L60,J60))</f>
        <v>421</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40</v>
      </c>
      <c r="M47" s="1854" t="str">
        <f>IF(ISNUMBER(FIND("住宅",C1)),"住宅","非住宅")</f>
        <v>非住宅</v>
      </c>
      <c r="O47" s="1855" t="s">
        <v>1121</v>
      </c>
      <c r="P47" s="1856" t="s">
        <v>1582</v>
      </c>
      <c r="Q47" s="1857">
        <f ca="1">C40+J29</f>
        <v>2239</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15.76</v>
      </c>
      <c r="O48" s="1855" t="s">
        <v>1124</v>
      </c>
      <c r="P48" s="1856" t="s">
        <v>1588</v>
      </c>
      <c r="Q48" s="1857">
        <f ca="1">J60</f>
        <v>421</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3291</v>
      </c>
      <c r="R49" s="1857" t="s">
        <v>1583</v>
      </c>
    </row>
    <row r="50" s="1678" customFormat="1" ht="13.75" spans="1:18">
      <c r="A50" s="1877"/>
      <c r="B50" s="1878"/>
      <c r="C50" s="1969"/>
      <c r="D50" s="1880"/>
      <c r="E50" s="1881" t="s">
        <v>1489</v>
      </c>
      <c r="F50" s="1882">
        <f ca="1">F7</f>
        <v>4819.9</v>
      </c>
      <c r="H50" s="1862"/>
      <c r="I50" s="1863" t="s">
        <v>1597</v>
      </c>
      <c r="J50" s="1883">
        <f>SUMPRODUCT((I63:I65=J47)*(J62:L62=J48)*(J63:L65))</f>
        <v>60</v>
      </c>
      <c r="K50" s="1865" t="s">
        <v>1598</v>
      </c>
      <c r="L50" s="1875"/>
      <c r="M50" s="1884"/>
      <c r="O50" s="1876" t="s">
        <v>1599</v>
      </c>
      <c r="P50" s="1856" t="s">
        <v>1600</v>
      </c>
      <c r="Q50" s="1885">
        <f ca="1">J58</f>
        <v>0.4</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-681</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15.76</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15.76</v>
      </c>
      <c r="K53" s="1899" t="s">
        <v>1612</v>
      </c>
      <c r="L53" s="1900"/>
      <c r="O53" s="1855" t="s">
        <v>1433</v>
      </c>
      <c r="P53" s="1856" t="s">
        <v>1613</v>
      </c>
      <c r="Q53" s="1857">
        <f ca="1">Q47+Q48</f>
        <v>2660</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0.371</v>
      </c>
      <c r="K55" s="1909" t="s">
        <v>1617</v>
      </c>
      <c r="L55" s="1910"/>
      <c r="O55" s="1843" t="s">
        <v>1575</v>
      </c>
      <c r="P55" s="1844" t="s">
        <v>1576</v>
      </c>
      <c r="Q55" s="1845" t="s">
        <v>1577</v>
      </c>
      <c r="R55" s="1845" t="s">
        <v>1578</v>
      </c>
    </row>
    <row r="56" s="1678" customFormat="1" ht="40.5" spans="1:18">
      <c r="A56" s="1911">
        <v>2</v>
      </c>
      <c r="B56" s="1912" t="s">
        <v>1499</v>
      </c>
      <c r="C56" s="438">
        <f ca="1">C13</f>
        <v>3291</v>
      </c>
      <c r="D56" s="1913"/>
      <c r="E56" s="1914"/>
      <c r="F56" s="1903"/>
      <c r="I56" s="1915" t="s">
        <v>1618</v>
      </c>
      <c r="J56" s="1916" t="s">
        <v>1619</v>
      </c>
      <c r="K56" s="1863" t="s">
        <v>1620</v>
      </c>
      <c r="L56" s="1866" t="str">
        <f ca="1">IF(L48&lt;J51,"——",L48-J53)</f>
        <v>——</v>
      </c>
      <c r="O56" s="1855" t="s">
        <v>1121</v>
      </c>
      <c r="P56" s="1856" t="s">
        <v>1582</v>
      </c>
      <c r="Q56" s="1857">
        <f ca="1">C40+J29</f>
        <v>2239</v>
      </c>
      <c r="R56" s="1857" t="s">
        <v>1583</v>
      </c>
    </row>
    <row r="57" s="1678" customFormat="1" ht="26.75" spans="1:18">
      <c r="A57" s="1917"/>
      <c r="B57" s="1918" t="s">
        <v>1562</v>
      </c>
      <c r="C57" s="448">
        <f ca="1">C29</f>
        <v>3291</v>
      </c>
      <c r="D57" s="1919"/>
      <c r="E57" s="1920"/>
      <c r="F57" s="1921"/>
      <c r="I57" s="1922" t="s">
        <v>1621</v>
      </c>
      <c r="J57" s="1923">
        <f ca="1">IF(OR(M47="住宅",J51&lt;L48,J56="是"),"——",J51-L48)</f>
        <v>22.24</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20</v>
      </c>
      <c r="D58" s="1925" t="s">
        <v>1509</v>
      </c>
      <c r="E58" s="1926"/>
      <c r="F58" s="1861"/>
      <c r="I58" s="1922" t="s">
        <v>1625</v>
      </c>
      <c r="J58" s="1927">
        <f ca="1">IF(J55&lt;0.4,0.4,J55)</f>
        <v>0.4</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f ca="1">IF(项目基本情况!B11="企业","——",IF('数据-取费表'!B10="住宅",IF(F49*F50*F51/12/(1+'数据-取费表'!F30)&gt;100000,4%,2.5%),IF(F49*F50*F51/12/(1+'数据-取费表'!F30)&gt;100000,12%,7%)))</f>
        <v>0.07</v>
      </c>
      <c r="I59" s="1922" t="s">
        <v>1628</v>
      </c>
      <c r="J59" s="1923">
        <f ca="1">IF(OR(M47="住宅",J51&lt;L48,J56="是"),"——",ROUND(C29*J58,0))</f>
        <v>1316</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t="str">
        <f ca="1">IF(项目基本情况!B11="自然人","——",ROUND(C48*F60/(1+'数据-取费表'!C42),2))</f>
        <v>——</v>
      </c>
      <c r="D60" s="1929" t="s">
        <v>1519</v>
      </c>
      <c r="E60" s="1918" t="s">
        <v>1506</v>
      </c>
      <c r="F60" s="1793">
        <f t="shared" ref="F60:F66" si="0">F32</f>
        <v>0.056</v>
      </c>
      <c r="I60" s="1930" t="s">
        <v>1630</v>
      </c>
      <c r="J60" s="1931">
        <f ca="1">IF(OR(M47="住宅",J51&lt;L48,J56="是"),"0",ROUND(J59/(1+J52)^J53,0))</f>
        <v>421</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t="str">
        <f ca="1">IF(项目基本情况!B11="自然人","——",IF(D61="按租金收入计税",ROUND(C49*F61/(1+'数据-取费表'!C42),2),IF(D61="按房产原值计税",ROUND(C57*F61*0.7,2),INDIRECT("'数据-取费表'!Aj"&amp;$G$1))))</f>
        <v>——</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t="str">
        <f ca="1">IF(项目基本情况!B11="自然人","——",ROUND(F62*F63/10000,2))</f>
        <v>——</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2239</v>
      </c>
      <c r="R62" s="1857" t="s">
        <v>1614</v>
      </c>
    </row>
    <row r="63" s="1678" customFormat="1" ht="13.75" spans="1:18">
      <c r="A63" s="1786"/>
      <c r="B63" s="1938"/>
      <c r="C63" s="1788"/>
      <c r="D63" s="1939"/>
      <c r="E63" s="1918" t="s">
        <v>1532</v>
      </c>
      <c r="F63" s="1718">
        <f ca="1" t="shared" si="0"/>
        <v>416.76</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16.46</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3.29</v>
      </c>
      <c r="D65" s="1929" t="s">
        <v>1539</v>
      </c>
      <c r="E65" s="1918" t="s">
        <v>1506</v>
      </c>
      <c r="F65" s="1792">
        <f ca="1" t="shared" si="0"/>
        <v>0.001</v>
      </c>
      <c r="I65" s="1935" t="s">
        <v>1643</v>
      </c>
      <c r="J65" s="1936">
        <v>40</v>
      </c>
      <c r="K65" s="1936">
        <v>30</v>
      </c>
      <c r="L65" s="1936">
        <v>50</v>
      </c>
      <c r="M65" s="1940">
        <v>0.02</v>
      </c>
      <c r="O65" s="1855" t="s">
        <v>1121</v>
      </c>
      <c r="P65" s="1856" t="s">
        <v>1582</v>
      </c>
      <c r="Q65" s="1857">
        <f ca="1">C40+J29</f>
        <v>2239</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-20</v>
      </c>
      <c r="D67" s="1928" t="s">
        <v>1547</v>
      </c>
      <c r="E67" s="1942"/>
      <c r="F67" s="1943"/>
      <c r="O67" s="1876" t="s">
        <v>1595</v>
      </c>
      <c r="P67" s="1856" t="s">
        <v>1627</v>
      </c>
      <c r="Q67" s="1944">
        <f ca="1">L51</f>
        <v>-681</v>
      </c>
      <c r="R67" s="1857" t="s">
        <v>1644</v>
      </c>
    </row>
    <row r="68" s="1678" customFormat="1" ht="16.75" spans="1:18">
      <c r="A68" s="1945" t="s">
        <v>1551</v>
      </c>
      <c r="B68" s="1946" t="s">
        <v>1568</v>
      </c>
      <c r="C68" s="1719">
        <f ca="1">ROUND(C67*(1-((1+F70)/(1+F68))^F69)/(F68-F70),0)</f>
        <v>-207</v>
      </c>
      <c r="D68" s="1934" t="s">
        <v>1553</v>
      </c>
      <c r="E68" s="1918" t="s">
        <v>1554</v>
      </c>
      <c r="F68" s="1729">
        <f ca="1">F40</f>
        <v>0.055</v>
      </c>
      <c r="O68" s="1876" t="s">
        <v>1599</v>
      </c>
      <c r="P68" s="1947" t="s">
        <v>1645</v>
      </c>
      <c r="Q68" s="1857">
        <f ca="1">ROUND(Q69-Q70*Q71,0)</f>
        <v>-40</v>
      </c>
      <c r="R68" s="1857" t="s">
        <v>1646</v>
      </c>
    </row>
    <row r="69" s="1678" customFormat="1" ht="13.75" spans="1:18">
      <c r="A69" s="1948"/>
      <c r="B69" s="1949"/>
      <c r="C69" s="1727"/>
      <c r="D69" s="1950" t="s">
        <v>1557</v>
      </c>
      <c r="E69" s="1918" t="s">
        <v>1558</v>
      </c>
      <c r="F69" s="1802">
        <f ca="1">F41</f>
        <v>15.76</v>
      </c>
      <c r="O69" s="1876" t="s">
        <v>1647</v>
      </c>
      <c r="P69" s="1947" t="s">
        <v>1648</v>
      </c>
      <c r="Q69" s="1857">
        <f ca="1">C39</f>
        <v>190</v>
      </c>
      <c r="R69" s="1857" t="s">
        <v>1583</v>
      </c>
    </row>
    <row r="70" s="1678" customFormat="1" ht="13.75" spans="1:18">
      <c r="A70" s="1951"/>
      <c r="B70" s="1952"/>
      <c r="C70" s="1752"/>
      <c r="D70" s="1939"/>
      <c r="E70" s="1918" t="s">
        <v>1561</v>
      </c>
      <c r="F70" s="1893"/>
      <c r="O70" s="1876" t="s">
        <v>1649</v>
      </c>
      <c r="P70" s="1947" t="s">
        <v>1650</v>
      </c>
      <c r="Q70" s="1857">
        <f ca="1">C13</f>
        <v>3291</v>
      </c>
      <c r="R70" s="1857" t="s">
        <v>1583</v>
      </c>
    </row>
    <row r="71" s="1678" customFormat="1" ht="13.75" spans="1:18">
      <c r="A71" s="1953" t="s">
        <v>1563</v>
      </c>
      <c r="B71" s="1954" t="s">
        <v>1569</v>
      </c>
      <c r="C71" s="1807">
        <f ca="1">ROUND(C68*10000/F71,0)</f>
        <v>-429</v>
      </c>
      <c r="D71" s="1955" t="s">
        <v>1570</v>
      </c>
      <c r="E71" s="1956" t="s">
        <v>1571</v>
      </c>
      <c r="F71" s="1810">
        <f ca="1">F43</f>
        <v>4819.9</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230</v>
      </c>
      <c r="D75" s="1678"/>
      <c r="E75" s="1678"/>
      <c r="F75" s="1678"/>
      <c r="K75" s="1831"/>
      <c r="L75" s="1678"/>
      <c r="O75" s="1855" t="s">
        <v>1433</v>
      </c>
      <c r="P75" s="1856" t="s">
        <v>1613</v>
      </c>
      <c r="Q75" s="1857">
        <f ca="1">Q65+Q66</f>
        <v>2239</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-0.211</v>
      </c>
    </row>
    <row r="80" ht="13" spans="1:18">
      <c r="B80" s="1958" t="s">
        <v>1660</v>
      </c>
      <c r="C80" s="484">
        <f ca="1">ROUND(C75/C39,3)</f>
        <v>1.211</v>
      </c>
    </row>
    <row r="81" ht="13" spans="2:3">
      <c r="B81" s="481" t="s">
        <v>1661</v>
      </c>
      <c r="C81" s="448"/>
    </row>
    <row r="82" ht="13" spans="2:3">
      <c r="B82" s="483" t="s">
        <v>1201</v>
      </c>
      <c r="C82" s="485">
        <f ca="1">1-C83</f>
        <v>-0.47</v>
      </c>
    </row>
    <row r="83" ht="13" spans="2:3">
      <c r="B83" s="483" t="s">
        <v>1202</v>
      </c>
      <c r="C83" s="484">
        <f ca="1">ROUND(C13/C40,3)</f>
        <v>1.47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e">
        <f ca="1">IF(项目基本情况!B11="企业","",IF('数据-取费表'!B10="住宅",IF(M6*M7*M8/12/(1+'数据-取费表'!F30)&gt;100000,4%,2.5%),IF(M6*M7*M8/12/(1+'数据-取费表'!F30)&gt;100000,12%,7%)))</f>
        <v>#N/A</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e">
        <f ca="1">IF(项目基本情况!B11="企业","——",IF(M47="住宅",IF(F6*F7*F8/12/(1+'数据-取费表'!F30)&gt;100000,4%,2.5%),IF(F6*F7*F8/12/(1+'数据-取费表'!F30)&gt;100000,12%,7%)))</f>
        <v>#N/A</v>
      </c>
      <c r="G31" s="1678"/>
      <c r="H31" s="1817" t="s">
        <v>1566</v>
      </c>
      <c r="I31" s="1812"/>
      <c r="J31" s="1813"/>
      <c r="K31" s="1814"/>
      <c r="L31" s="1815"/>
      <c r="M31" s="1816"/>
    </row>
    <row r="32" ht="18" customHeight="1" spans="1:37">
      <c r="A32" s="1759" t="s">
        <v>958</v>
      </c>
      <c r="B32" s="1717" t="s">
        <v>1518</v>
      </c>
      <c r="C32" s="711" t="str">
        <f ca="1">IF(项目基本情况!B11="自然人","——",ROUND(C6*F32/(1+'数据-取费表'!C42),2))</f>
        <v>——</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str">
        <f ca="1">IF(项目基本情况!B11="自然人","——",IF(D33="按租金收入计税",ROUND(C6*F33/(1+'数据-取费表'!C42),2),IF(D33="按房产原值计税",ROUND(C29*F33*0.7,2),INDIRECT("'数据-取费表'!Aj"&amp;$G$1))))</f>
        <v>——</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str">
        <f ca="1">IF(项目基本情况!B11="自然人","——",ROUND(F34*F35/10000,2))</f>
        <v>——</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e">
        <f ca="1">IF(项目基本情况!B11="企业","——",IF('数据-取费表'!B10="住宅",IF(F49*F50*F51/12/(1+'数据-取费表'!F30)&gt;100000,4%,2.5%),IF(F49*F50*F51/12/(1+'数据-取费表'!F30)&gt;100000,12%,7%)))</f>
        <v>#N/A</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str">
        <f ca="1">IF(项目基本情况!B11="自然人","——",ROUND(C48*F60/(1+'数据-取费表'!C42),2))</f>
        <v>——</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str">
        <f ca="1">IF(项目基本情况!B11="自然人","——",IF(D61="按租金收入计税",ROUND(C49*F61/(1+'数据-取费表'!C42),2),IF(D61="按房产原值计税",ROUND(C57*F61*0.7,2),INDIRECT("'数据-取费表'!Aj"&amp;$G$1))))</f>
        <v>——</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str">
        <f ca="1">IF(项目基本情况!B11="自然人","——",ROUND(F62*F63/10000,2))</f>
        <v>——</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f ca="1">IF(项目基本情况!B11="企业","",IF('数据-取费表'!B10="住宅",IF(M6*M7*M8/12/(1+'数据-取费表'!F30)&gt;100000,4%,2.5%),IF(M6*M7*M8/12/(1+'数据-取费表'!F30)&gt;100000,12%,7%)))</f>
        <v>0.07</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f ca="1">IF(项目基本情况!B11="企业","——",IF(M47="住宅",IF(F6*F7*F8/12/(1+'数据-取费表'!F30)&gt;100000,4%,2.5%),IF(F6*F7*F8/12/(1+'数据-取费表'!F30)&gt;100000,12%,7%)))</f>
        <v>0.07</v>
      </c>
      <c r="G31" s="1678"/>
      <c r="H31" s="1817" t="s">
        <v>1566</v>
      </c>
      <c r="I31" s="1812"/>
      <c r="J31" s="1813"/>
      <c r="K31" s="1814"/>
      <c r="L31" s="1815"/>
      <c r="M31" s="1816"/>
    </row>
    <row r="32" ht="18" customHeight="1" spans="1:37">
      <c r="A32" s="1759" t="s">
        <v>958</v>
      </c>
      <c r="B32" s="1717" t="s">
        <v>1518</v>
      </c>
      <c r="C32" s="711" t="str">
        <f ca="1">IF(项目基本情况!B11="自然人","——",ROUND(C6*F32/(1+'数据-取费表'!C42),0))</f>
        <v>——</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str">
        <f ca="1">IF(项目基本情况!B11="自然人","——",IF(D33="按租金收入计税",ROUND(C6*F33/(1+'数据-取费表'!C42),0),IF(D33="按房产原值计税",ROUND(C29*F33*0.7,0),INDIRECT("'数据-取费表'!Aj"&amp;$G$1))))</f>
        <v>——</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str">
        <f ca="1">IF(项目基本情况!B11="自然人","——",ROUND(F34*F35,0))</f>
        <v>——</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f ca="1">IF(项目基本情况!B11="企业","——",IF('数据-取费表'!B10="住宅",IF(F49*F50*F51/12/(1+'数据-取费表'!F30)&gt;100000,4%,2.5%),IF(F49*F50*F51/12/(1+'数据-取费表'!F30)&gt;100000,12%,7%)))</f>
        <v>0.07</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t="str">
        <f ca="1">IF(项目基本情况!B11="自然人","——",ROUND(C48*F60/(1+'数据-取费表'!C42),0))</f>
        <v>——</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t="str">
        <f ca="1">IF(项目基本情况!B11="自然人","——",IF(D61="按租金收入计税",ROUND(C49*F61/(1+'数据-取费表'!C42),0),IF(D61="按房产原值计税",ROUND(C57*F61*0.7,0),INDIRECT("'数据-取费表'!Aj"&amp;$G$1))))</f>
        <v>——</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t="str">
        <f ca="1">IF(项目基本情况!B11="自然人","——",ROUND(F62*F63,0))</f>
        <v>——</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2660</v>
      </c>
      <c r="C2" s="1466" t="s">
        <v>1790</v>
      </c>
      <c r="D2" s="1467" t="s">
        <v>1791</v>
      </c>
      <c r="E2" s="1468">
        <f>SUM(E6:E13)</f>
        <v>4819.9</v>
      </c>
      <c r="F2" s="1462"/>
      <c r="G2" s="1463"/>
      <c r="H2" s="1463"/>
      <c r="I2" s="1463"/>
      <c r="J2" s="1463"/>
      <c r="K2" s="1463"/>
      <c r="L2" s="1463"/>
      <c r="M2" s="1463"/>
      <c r="N2" s="1463"/>
      <c r="O2" s="1463"/>
      <c r="P2" s="1463"/>
      <c r="Q2" s="1463"/>
      <c r="R2" s="1463"/>
      <c r="S2" s="1463"/>
    </row>
    <row r="3" ht="15" spans="1:22">
      <c r="A3" s="1464" t="s">
        <v>1032</v>
      </c>
      <c r="B3" s="1469">
        <f ca="1">ROUND(B2*10000/E2,0)</f>
        <v>5519</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2660</v>
      </c>
      <c r="C6" s="1466" t="s">
        <v>1790</v>
      </c>
      <c r="D6" s="1470"/>
      <c r="E6" s="1480">
        <f>IF(OR(A6=0,F6="否"),0,'数据-取费表'!K6+'数据-取费表'!S6)</f>
        <v>4819.9</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10038.66</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45979</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估价对象为北京市房地产，为所有。根据《国有土地使用证》[]，估价对象（分摊）出让国有建设用地使用权面积为868平方米，建筑面积为10038.66平方米。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估价对象为北京市房地产,属开发建设的，该项目尚在开发建设中。根据《国有土地使用证》[]，估价对象（分摊）出让国有建设用地使用权面积为868平方米，规划建筑面积为10038.66平方米。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2025年11月18日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10038.66</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45979</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10038.66</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45979</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45979</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45979</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f>F65</f>
        <v>60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f>ROUND(IF(D3="",B2*10000/'数据-汇总表'!E3,B2*10000/D3),0)</f>
        <v>60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45979</v>
      </c>
      <c r="D7" s="798">
        <v>100</v>
      </c>
      <c r="E7" s="799">
        <f>C7</f>
        <v>45979</v>
      </c>
      <c r="F7" s="800">
        <f>SUMIF(69:69,YEAR(E7)&amp;"-"&amp;INT((MONTH(E7)+2)/3),70:70)</f>
        <v>100</v>
      </c>
      <c r="G7" s="801">
        <f>E7</f>
        <v>45979</v>
      </c>
      <c r="H7" s="798">
        <f>SUMIF(69:69,YEAR(G7)&amp;"-"&amp;INT((MONTH(G7)+2)/3),70:70)</f>
        <v>100</v>
      </c>
      <c r="I7" s="801">
        <f>G7</f>
        <v>45979</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f>ROUND(100/'数据-取费表'!G16,0)</f>
        <v>160</v>
      </c>
      <c r="G10" s="1124"/>
      <c r="H10" s="824">
        <f>ROUND(100/'数据-取费表'!G16,0)</f>
        <v>160</v>
      </c>
      <c r="I10" s="1124"/>
      <c r="J10" s="824">
        <f>ROUND(100/'数据-取费表'!G16,0)</f>
        <v>160</v>
      </c>
      <c r="K10" s="825"/>
      <c r="L10" s="826"/>
      <c r="M10" s="827"/>
      <c r="N10" s="827"/>
      <c r="O10" s="828"/>
      <c r="P10" s="818"/>
      <c r="Q10" s="819" t="str">
        <f t="shared" si="6"/>
        <v>土地使用年限（年）</v>
      </c>
      <c r="R10" s="807" t="s">
        <v>1049</v>
      </c>
      <c r="S10" s="808">
        <f t="shared" si="0"/>
        <v>160</v>
      </c>
      <c r="T10" s="807" t="s">
        <v>1049</v>
      </c>
      <c r="U10" s="808">
        <f t="shared" si="1"/>
        <v>160</v>
      </c>
      <c r="V10" s="807" t="s">
        <v>1049</v>
      </c>
      <c r="W10" s="808">
        <f t="shared" si="2"/>
        <v>160</v>
      </c>
      <c r="X10" s="809"/>
      <c r="Y10" s="819"/>
      <c r="Z10" s="820" t="str">
        <f t="shared" si="7"/>
        <v>土地使用年限（年）</v>
      </c>
      <c r="AA10" s="811">
        <f t="shared" si="3"/>
        <v>0.625</v>
      </c>
      <c r="AB10" s="811">
        <f t="shared" si="4"/>
        <v>0.625</v>
      </c>
      <c r="AC10" s="811">
        <f t="shared" si="5"/>
        <v>0.625</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f>R48</f>
        <v>7719</v>
      </c>
      <c r="D47" s="928" t="s">
        <v>1085</v>
      </c>
      <c r="E47" s="927">
        <f>R47</f>
        <v>7719</v>
      </c>
      <c r="F47" s="929"/>
      <c r="G47" s="930">
        <f>T47</f>
        <v>7722</v>
      </c>
      <c r="H47" s="929"/>
      <c r="I47" s="927">
        <f>V47</f>
        <v>7716</v>
      </c>
      <c r="J47" s="929"/>
      <c r="K47" s="931">
        <f>F47+H47+J47</f>
        <v>0</v>
      </c>
      <c r="L47" s="921"/>
      <c r="M47" s="922"/>
      <c r="N47" s="922"/>
      <c r="O47" s="922"/>
      <c r="P47" s="818" t="str">
        <f>A47</f>
        <v>比较价值（元/平方米）</v>
      </c>
      <c r="Q47" s="818"/>
      <c r="R47" s="932">
        <f>ROUND(PRODUCT(R46,AA7:AA45),0)</f>
        <v>7719</v>
      </c>
      <c r="S47" s="932"/>
      <c r="T47" s="932">
        <f>ROUND(PRODUCT(T46,AB7:AB45),0)</f>
        <v>7722</v>
      </c>
      <c r="U47" s="932"/>
      <c r="V47" s="932">
        <f>ROUND(PRODUCT(V46,AC7:AC45),0)</f>
        <v>7716</v>
      </c>
      <c r="W47" s="932"/>
      <c r="X47" s="923"/>
      <c r="Y47" s="923"/>
      <c r="Z47" s="923"/>
      <c r="AA47" s="923"/>
      <c r="AB47" s="923"/>
      <c r="AC47" s="923"/>
    </row>
    <row r="48" ht="14.75" spans="1:29">
      <c r="A48" s="933" t="s">
        <v>1870</v>
      </c>
      <c r="B48" s="934"/>
      <c r="C48" s="935">
        <f>R48</f>
        <v>7719</v>
      </c>
      <c r="D48" s="935"/>
      <c r="E48" s="935"/>
      <c r="F48" s="935"/>
      <c r="G48" s="935"/>
      <c r="H48" s="935"/>
      <c r="I48" s="935"/>
      <c r="J48" s="935"/>
      <c r="K48" s="936"/>
      <c r="L48" s="921"/>
      <c r="M48" s="922"/>
      <c r="N48" s="922"/>
      <c r="O48" s="922"/>
      <c r="P48" s="937" t="str">
        <f>A48</f>
        <v>估价对象XX用房的比较价值（楼面单价，元/平方米）</v>
      </c>
      <c r="Q48" s="938"/>
      <c r="R48" s="939">
        <f>ROUND(IF(D47="简单平均",AVERAGE(R47:W47),R47*F47+T47*H47+V47*J47),0)</f>
        <v>7719</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f>IF(E46&lt;E47,E47/E46-1,E46/E47-1)</f>
        <v>0.731960098458349</v>
      </c>
      <c r="F51" s="946" t="str">
        <f>IF(OR(E51&gt;=0.3,E51&lt;=-0.3),"超过30%","")</f>
        <v>超过30%</v>
      </c>
      <c r="G51" s="945">
        <f>IF(G46&lt;G47,G47/G46-1,G46/G47-1)</f>
        <v>0.731934731934732</v>
      </c>
      <c r="H51" s="946" t="str">
        <f>IF(OR(G51&gt;=0.3,G51&lt;=-0.3),"超过30%","")</f>
        <v>超过30%</v>
      </c>
      <c r="I51" s="945">
        <f>IF(I46&lt;I47,I47/I46-1,I46/I47-1)</f>
        <v>0.731855883877657</v>
      </c>
      <c r="J51" s="946" t="str">
        <f>IF(OR(I51&gt;=0.3,I51&lt;=-0.3),"超过30%","")</f>
        <v>超过30%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f>IF(E47&lt;G47,G47/E47-1,E47/G47-1)</f>
        <v>0.000388651379712446</v>
      </c>
      <c r="F52" s="946" t="str">
        <f>IF(OR(E52&gt;=0.2,E52&lt;=-0.2),"超过20%","")</f>
        <v/>
      </c>
      <c r="G52" s="945">
        <f>IF(G47&lt;I47,I47/G47-1,G47/I47-1)</f>
        <v>0.000777604976671897</v>
      </c>
      <c r="H52" s="946" t="str">
        <f>IF(OR(G52&gt;=0.2,G52&lt;=-0.2),"超过20%","")</f>
        <v/>
      </c>
      <c r="I52" s="945">
        <f>IF(I47&lt;E47,E47/I47-1,I47/E47-1)</f>
        <v>0.000388802488335838</v>
      </c>
      <c r="J52" s="946" t="str">
        <f>IF(OR(I52&gt;=0.2,I52&lt;=-0.2),"超过20%","")</f>
        <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f>C48</f>
        <v>7719</v>
      </c>
      <c r="C56" s="964">
        <v>1</v>
      </c>
      <c r="D56" s="965">
        <v>1</v>
      </c>
      <c r="E56" s="964">
        <f>'数据-汇总表'!E8+'数据-汇总表'!E9</f>
        <v>78.24</v>
      </c>
      <c r="F56" s="1142">
        <f t="shared" ref="F56:F64" si="15">ROUND(B56*E56/10000,0)</f>
        <v>60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f>ROUND($C$48*C57*D57,0)</f>
        <v>1158</v>
      </c>
      <c r="C57" s="971">
        <f t="shared" ref="C57:C64" si="16">IF($C$55="北京市系数",I57,J57)</f>
        <v>0.6</v>
      </c>
      <c r="D57" s="972">
        <v>0.25</v>
      </c>
      <c r="E57" s="973"/>
      <c r="F57" s="1142">
        <f t="shared" si="15"/>
        <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f t="shared" ref="B58:B64" si="17">ROUND($C$48*C58*D58,0)</f>
        <v>579</v>
      </c>
      <c r="C58" s="971">
        <f t="shared" si="16"/>
        <v>0.3</v>
      </c>
      <c r="D58" s="972">
        <v>0.25</v>
      </c>
      <c r="E58" s="973"/>
      <c r="F58" s="1142">
        <f t="shared" si="15"/>
        <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f t="shared" si="17"/>
        <v>482</v>
      </c>
      <c r="C59" s="971">
        <f t="shared" si="16"/>
        <v>0.25</v>
      </c>
      <c r="D59" s="972">
        <v>0.25</v>
      </c>
      <c r="E59" s="973"/>
      <c r="F59" s="1142">
        <f t="shared" si="15"/>
        <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f t="shared" si="17"/>
        <v>0</v>
      </c>
      <c r="C60" s="971">
        <f t="shared" si="16"/>
        <v>0</v>
      </c>
      <c r="D60" s="972">
        <v>0.25</v>
      </c>
      <c r="E60" s="418">
        <f>'数据-汇总表'!E11</f>
        <v>0</v>
      </c>
      <c r="F60" s="1142">
        <f t="shared" si="15"/>
        <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f t="shared" si="17"/>
        <v>0</v>
      </c>
      <c r="C61" s="971">
        <f t="shared" si="16"/>
        <v>0</v>
      </c>
      <c r="D61" s="972">
        <v>0.25</v>
      </c>
      <c r="E61" s="418">
        <f>'数据-汇总表'!E12</f>
        <v>0</v>
      </c>
      <c r="F61" s="1142">
        <f t="shared" si="15"/>
        <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f t="shared" si="17"/>
        <v>0</v>
      </c>
      <c r="C62" s="971">
        <f t="shared" si="16"/>
        <v>0</v>
      </c>
      <c r="D62" s="972">
        <v>0.25</v>
      </c>
      <c r="E62" s="418">
        <f>'数据-汇总表'!E13</f>
        <v>0</v>
      </c>
      <c r="F62" s="1142">
        <f t="shared" si="15"/>
        <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f t="shared" si="17"/>
        <v>289</v>
      </c>
      <c r="C63" s="971">
        <f t="shared" si="16"/>
        <v>0.15</v>
      </c>
      <c r="D63" s="972">
        <v>0.25</v>
      </c>
      <c r="E63" s="418">
        <f>'数据-汇总表'!E14</f>
        <v>0</v>
      </c>
      <c r="F63" s="1142">
        <f t="shared" si="15"/>
        <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f t="shared" si="17"/>
        <v>0</v>
      </c>
      <c r="C64" s="971">
        <f t="shared" si="16"/>
        <v>0</v>
      </c>
      <c r="D64" s="972">
        <v>0.25</v>
      </c>
      <c r="E64" s="418">
        <f>'数据-汇总表'!E15</f>
        <v>0</v>
      </c>
      <c r="F64" s="1142">
        <f t="shared" si="15"/>
        <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78.24</v>
      </c>
      <c r="F65" s="985">
        <f>IF(B46="楼面地价",SUM(F56:F64),ROUND(C48*E65/10000,0))</f>
        <v>60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45979</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f>ROUND(100/'数据-取费表'!G16,0)</f>
        <v>160</v>
      </c>
      <c r="G10" s="823"/>
      <c r="H10" s="824">
        <f>ROUND(100/'数据-取费表'!G16,0)</f>
        <v>160</v>
      </c>
      <c r="I10" s="823"/>
      <c r="J10" s="824">
        <f>ROUND(100/'数据-取费表'!G16,0)</f>
        <v>160</v>
      </c>
      <c r="K10" s="825"/>
      <c r="L10" s="826"/>
      <c r="M10" s="827"/>
      <c r="N10" s="827"/>
      <c r="O10" s="828"/>
      <c r="P10" s="818"/>
      <c r="Q10" s="819" t="str">
        <f t="shared" si="6"/>
        <v>土地使用年限（年）</v>
      </c>
      <c r="R10" s="807" t="s">
        <v>1049</v>
      </c>
      <c r="S10" s="808">
        <f t="shared" si="0"/>
        <v>160</v>
      </c>
      <c r="T10" s="807" t="s">
        <v>1049</v>
      </c>
      <c r="U10" s="808">
        <f t="shared" si="1"/>
        <v>160</v>
      </c>
      <c r="V10" s="807" t="s">
        <v>1049</v>
      </c>
      <c r="W10" s="808">
        <f t="shared" si="2"/>
        <v>160</v>
      </c>
      <c r="X10" s="809"/>
      <c r="Y10" s="819"/>
      <c r="Z10" s="820" t="str">
        <f t="shared" si="7"/>
        <v>土地使用年限（年）</v>
      </c>
      <c r="AA10" s="811">
        <f t="shared" si="3"/>
        <v>0.625</v>
      </c>
      <c r="AB10" s="811">
        <f t="shared" si="4"/>
        <v>0.625</v>
      </c>
      <c r="AC10" s="811">
        <f t="shared" si="5"/>
        <v>0.625</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78.24</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3685</v>
      </c>
      <c r="C2" s="588" t="s">
        <v>1925</v>
      </c>
      <c r="D2" s="588" t="s">
        <v>1926</v>
      </c>
      <c r="E2" s="590">
        <f ca="1">SUMIF(E6:E13,"&lt;&gt;#ref!",E6:E13)</f>
        <v>4819.9</v>
      </c>
      <c r="F2" s="587"/>
      <c r="G2" s="587"/>
      <c r="H2" s="587"/>
      <c r="I2" s="587"/>
      <c r="J2" s="587"/>
      <c r="K2" s="587"/>
      <c r="L2" s="587"/>
      <c r="M2" s="587"/>
      <c r="N2" s="587"/>
      <c r="O2" s="587"/>
      <c r="P2" s="587"/>
    </row>
    <row r="3" ht="15.5" spans="1:16">
      <c r="A3" s="588" t="s">
        <v>1927</v>
      </c>
      <c r="B3" s="589">
        <f ca="1">ROUND(B2*10000/E2,0)</f>
        <v>7645</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3685</v>
      </c>
      <c r="C6" s="588" t="s">
        <v>1925</v>
      </c>
      <c r="D6" s="587"/>
      <c r="E6" s="590">
        <f ca="1">SUMIF(INDIRECT("'"&amp;A6&amp;"'"&amp;"!C:C"),"建筑面积",INDIRECT("'"&amp;A6&amp;"'"&amp;"!D:D"))</f>
        <v>4819.9</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31478</v>
      </c>
      <c r="C2" s="404" t="s">
        <v>1671</v>
      </c>
      <c r="D2" s="401"/>
      <c r="E2" s="401"/>
      <c r="F2" s="401"/>
      <c r="G2" s="401"/>
    </row>
    <row r="3" s="390" customFormat="1" ht="18" customHeight="1" spans="1:7">
      <c r="A3" s="405" t="s">
        <v>2144</v>
      </c>
      <c r="B3" s="406">
        <f ca="1">ROUND(B2*10000/'数据-汇总表'!E3,0)</f>
        <v>31357</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201</v>
      </c>
      <c r="D10" s="428">
        <f>'数据-汇总表'!E6</f>
        <v>10038.66</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201</v>
      </c>
      <c r="D19" s="436">
        <f>'数据-汇总表'!E3</f>
        <v>10038.66</v>
      </c>
      <c r="E19" s="412">
        <f>'数据-取费表'!B31</f>
        <v>200</v>
      </c>
      <c r="F19" s="437"/>
      <c r="G19" s="424" t="s">
        <v>2166</v>
      </c>
    </row>
    <row r="20" s="392" customFormat="1" ht="13.5" customHeight="1" spans="1:7">
      <c r="A20" s="435" t="s">
        <v>1267</v>
      </c>
      <c r="B20" s="411" t="s">
        <v>2167</v>
      </c>
      <c r="C20" s="438">
        <f ca="1">ROUND((C5+C19)*F20,0)</f>
        <v>416</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1336</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13</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4245</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4245</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29074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2521</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2169</v>
      </c>
      <c r="D34" s="418"/>
      <c r="E34" s="421"/>
      <c r="F34" s="467">
        <f>IF('数据-取费表'!B24=0,1,'数据-取费表'!N16)</f>
        <v>1</v>
      </c>
      <c r="G34" s="420" t="s">
        <v>2193</v>
      </c>
    </row>
    <row r="35" ht="13.5" customHeight="1" spans="1:7">
      <c r="A35" s="446" t="s">
        <v>1116</v>
      </c>
      <c r="B35" s="416" t="s">
        <v>2194</v>
      </c>
      <c r="C35" s="421">
        <f>ROUND(C34*F35,0)</f>
        <v>108</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201</v>
      </c>
      <c r="D37" s="418">
        <f>'数据-汇总表'!E3</f>
        <v>10038.66</v>
      </c>
      <c r="E37" s="459">
        <f>'数据-取费表'!B35</f>
        <v>200</v>
      </c>
      <c r="F37" s="468"/>
      <c r="G37" s="470" t="s">
        <v>2199</v>
      </c>
    </row>
    <row r="38" ht="13.5" customHeight="1" spans="1:7">
      <c r="A38" s="446" t="s">
        <v>1182</v>
      </c>
      <c r="B38" s="416" t="s">
        <v>2157</v>
      </c>
      <c r="C38" s="421">
        <f>ROUND(C34*F38,0)</f>
        <v>43</v>
      </c>
      <c r="D38" s="421"/>
      <c r="E38" s="421"/>
      <c r="F38" s="468">
        <f>'数据-取费表'!B36</f>
        <v>0.02</v>
      </c>
      <c r="G38" s="420" t="s">
        <v>2195</v>
      </c>
    </row>
    <row r="39" s="392" customFormat="1" ht="13.5" customHeight="1" spans="1:7">
      <c r="A39" s="435" t="s">
        <v>1230</v>
      </c>
      <c r="B39" s="411" t="s">
        <v>2167</v>
      </c>
      <c r="C39" s="438">
        <f>ROUND(C33*F20,0)</f>
        <v>50</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81</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79</v>
      </c>
      <c r="D42" s="448"/>
      <c r="E42" s="448"/>
      <c r="F42" s="449"/>
      <c r="G42" s="472" t="s">
        <v>2203</v>
      </c>
    </row>
    <row r="43" ht="13.5" customHeight="1" spans="1:7">
      <c r="A43" s="446" t="s">
        <v>1116</v>
      </c>
      <c r="B43" s="416" t="s">
        <v>2175</v>
      </c>
      <c r="C43" s="448">
        <f ca="1">ROUND(IF('数据-取费表'!B22&lt;=1,C39*F22*'数据-取费表'!B21/2,C39*(POWER((1+F22),'数据-取费表'!B21/2)-1)),0)</f>
        <v>2</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514</v>
      </c>
      <c r="D45" s="441">
        <f>C47</f>
        <v>0.004</v>
      </c>
      <c r="E45" s="442" t="s">
        <v>2201</v>
      </c>
      <c r="F45" s="456"/>
      <c r="G45" s="457" t="s">
        <v>2204</v>
      </c>
    </row>
    <row r="46" s="392" customFormat="1" ht="13.5" customHeight="1" spans="1:7">
      <c r="A46" s="446" t="s">
        <v>1114</v>
      </c>
      <c r="B46" s="458" t="s">
        <v>2205</v>
      </c>
      <c r="C46" s="459">
        <f>ROUND((C33+C39)*F27,0)</f>
        <v>514</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3434</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2404</v>
      </c>
      <c r="D51" s="438"/>
      <c r="E51" s="438"/>
      <c r="F51" s="476"/>
      <c r="G51" s="443" t="s">
        <v>2216</v>
      </c>
    </row>
    <row r="52" s="391" customFormat="1" ht="16.25" spans="1:7">
      <c r="A52" s="477" t="s">
        <v>2217</v>
      </c>
      <c r="B52" s="478"/>
      <c r="C52" s="479">
        <f ca="1">C31+C51</f>
        <v>31478</v>
      </c>
      <c r="D52" s="478"/>
      <c r="E52" s="478"/>
      <c r="F52" s="478"/>
      <c r="G52" s="480"/>
    </row>
    <row r="55" ht="15.5" spans="1:7">
      <c r="B55" s="481" t="s">
        <v>2218</v>
      </c>
      <c r="C55" s="482"/>
    </row>
    <row r="56" ht="13" spans="1:7">
      <c r="B56" s="483" t="s">
        <v>2219</v>
      </c>
      <c r="C56" s="484">
        <f ca="1">ROUND(C51/C52,3)</f>
        <v>0.076</v>
      </c>
    </row>
    <row r="57" ht="13" spans="1:7">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AU22" sqref="AU22"/>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45979</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AQ49" sqref="AQ4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45979</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10038.66</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45979</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2025-11-18T05:33:58Z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