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Sheet1" sheetId="80"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51" i="43" l="1"/>
  <c r="G52" i="43"/>
  <c r="G53" i="43"/>
  <c r="G54" i="43"/>
  <c r="G55" i="43"/>
  <c r="G56" i="43"/>
  <c r="G57" i="43"/>
  <c r="G58" i="43"/>
  <c r="G50" i="43"/>
  <c r="AD6" i="1"/>
  <c r="N6" i="1"/>
  <c r="Y6" i="1" s="1"/>
  <c r="U6" i="1"/>
  <c r="AA6" i="1"/>
  <c r="B10" i="80"/>
  <c r="AF6" i="1" s="1"/>
  <c r="B4" i="80" l="1"/>
  <c r="H21" i="80"/>
  <c r="H20" i="80"/>
  <c r="J20" i="80" s="1"/>
  <c r="D18" i="80"/>
  <c r="J21" i="80" s="1"/>
  <c r="K22" i="80" s="1"/>
  <c r="B11" i="80"/>
  <c r="B13" i="80" s="1"/>
  <c r="Z6" i="1" s="1"/>
  <c r="B8" i="80"/>
  <c r="B7" i="80"/>
  <c r="B6" i="80"/>
  <c r="G19" i="6"/>
  <c r="C19" i="6"/>
  <c r="I13" i="3"/>
  <c r="B9" i="80" l="1"/>
  <c r="D12" i="80" s="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M26" i="15"/>
  <c r="D4" i="73"/>
  <c r="F6" i="73"/>
  <c r="E12" i="76"/>
  <c r="F13" i="67"/>
  <c r="F13" i="15"/>
  <c r="F37" i="67"/>
  <c r="F7" i="15"/>
  <c r="E7" i="76"/>
  <c r="F8" i="67"/>
  <c r="F43" i="15"/>
  <c r="B10" i="76"/>
  <c r="F37" i="15"/>
  <c r="D35" i="9"/>
  <c r="L47" i="15"/>
  <c r="E13" i="76"/>
  <c r="E9" i="76"/>
  <c r="L48" i="15"/>
  <c r="M6" i="67"/>
  <c r="M8" i="67"/>
  <c r="F9" i="67"/>
  <c r="B9" i="76"/>
  <c r="F7" i="67"/>
  <c r="F8" i="15"/>
  <c r="F38" i="67"/>
  <c r="F4" i="73"/>
  <c r="M22" i="67"/>
  <c r="D3" i="73"/>
  <c r="F7" i="73"/>
  <c r="M23" i="67"/>
  <c r="F36" i="67"/>
  <c r="M8" i="15"/>
  <c r="L48" i="67"/>
  <c r="F20" i="31"/>
  <c r="F40" i="67"/>
  <c r="D34" i="9"/>
  <c r="D5" i="73"/>
  <c r="B7" i="76"/>
  <c r="F9" i="15"/>
  <c r="F38" i="15"/>
  <c r="F16" i="67"/>
  <c r="F36" i="15"/>
  <c r="F16" i="15"/>
  <c r="D7" i="73"/>
  <c r="M29" i="67"/>
  <c r="M9" i="15"/>
  <c r="J15" i="15"/>
  <c r="F43" i="67"/>
  <c r="M26" i="67"/>
  <c r="AO13" i="1"/>
  <c r="F6" i="67"/>
  <c r="M24" i="15"/>
  <c r="L47" i="67"/>
  <c r="F26" i="67"/>
  <c r="F42" i="67"/>
  <c r="M28" i="67"/>
  <c r="F5" i="73"/>
  <c r="D6" i="73"/>
  <c r="M6" i="15"/>
  <c r="C76" i="15"/>
  <c r="B8" i="76"/>
  <c r="M23" i="15"/>
  <c r="F42" i="15"/>
  <c r="J15" i="67"/>
  <c r="E2" i="68"/>
  <c r="M9" i="67"/>
  <c r="B13" i="76"/>
  <c r="E11" i="76"/>
  <c r="F26" i="15"/>
  <c r="E10" i="76"/>
  <c r="M24" i="67"/>
  <c r="F40" i="15"/>
  <c r="M29" i="15"/>
  <c r="B11" i="76"/>
  <c r="F3" i="73"/>
  <c r="F6" i="15"/>
  <c r="C76" i="67"/>
  <c r="M22" i="15"/>
  <c r="E8" i="76"/>
  <c r="M28" i="15"/>
  <c r="J51" i="15" l="1"/>
  <c r="F7" i="1"/>
  <c r="G7" i="1" s="1"/>
  <c r="G16" i="1" s="1"/>
  <c r="F10" i="39" s="1"/>
  <c r="G44" i="43"/>
  <c r="D54" i="43"/>
  <c r="E50" i="43" s="1"/>
  <c r="B48" i="43" s="1"/>
  <c r="H50" i="43"/>
  <c r="C40" i="11"/>
  <c r="G6" i="1"/>
  <c r="I24" i="43"/>
  <c r="G28" i="6"/>
  <c r="F29" i="6"/>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F27" i="69"/>
  <c r="C16" i="15"/>
  <c r="C16" i="67"/>
  <c r="G1" i="73"/>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6" i="69" l="1"/>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34" i="69"/>
  <c r="D10" i="69"/>
  <c r="C17" i="15"/>
  <c r="C17" i="67"/>
  <c r="C14" i="67"/>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C5" i="68"/>
  <c r="C23" i="68" s="1"/>
  <c r="C21" i="12"/>
  <c r="C22" i="12" s="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20" i="9"/>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E2" i="69"/>
  <c r="D2" i="36"/>
  <c r="L51" i="15"/>
  <c r="D2" i="34"/>
  <c r="D19" i="9"/>
  <c r="D2" i="35"/>
  <c r="D2" i="37"/>
  <c r="D102" i="9" l="1"/>
  <c r="D21" i="9"/>
  <c r="G19" i="9"/>
  <c r="D22"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9" i="1"/>
  <c r="AO11" i="1"/>
  <c r="AO8" i="1"/>
  <c r="AO10" i="1"/>
  <c r="AO7" i="1"/>
  <c r="D14" i="74" l="1"/>
  <c r="G14" i="74"/>
  <c r="G21" i="9"/>
  <c r="G25" i="9"/>
  <c r="D103" i="9"/>
  <c r="G20" i="9"/>
  <c r="C32" i="9" s="1"/>
  <c r="C35" i="9" s="1"/>
  <c r="C34" i="9"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4" i="52"/>
  <c r="C105" i="9"/>
  <c r="P57" i="9"/>
  <c r="N58" i="9"/>
  <c r="D53" i="9"/>
  <c r="D52" i="9"/>
  <c r="C104" i="9"/>
  <c r="H4" i="52"/>
  <c r="N61" i="9"/>
  <c r="N60" i="9"/>
  <c r="M48" i="9"/>
  <c r="B30" i="72"/>
  <c r="N59" i="9"/>
  <c r="B51" i="72"/>
  <c r="H119" i="9"/>
  <c r="H5" i="52"/>
  <c r="L66" i="9"/>
  <c r="M66" i="9"/>
  <c r="C78" i="9"/>
  <c r="C73" i="9"/>
  <c r="B48" i="72"/>
  <c r="N57" i="9"/>
  <c r="D13" i="53"/>
  <c r="D14" i="53"/>
  <c r="B32" i="72"/>
  <c r="M54" i="9"/>
  <c r="L64" i="9"/>
  <c r="M64" i="9"/>
  <c r="C93" i="9"/>
  <c r="C86" i="9"/>
  <c r="F4" i="52"/>
  <c r="D8" i="52"/>
  <c r="D59" i="9"/>
  <c r="M55" i="9"/>
  <c r="E81" i="9"/>
  <c r="C67" i="9"/>
  <c r="C68" i="9"/>
  <c r="D54" i="9"/>
  <c r="B21" i="72"/>
  <c r="N69" i="9"/>
  <c r="L68" i="9"/>
  <c r="M68" i="9"/>
  <c r="M69" i="9"/>
  <c r="B47" i="72"/>
  <c r="E97" i="9"/>
  <c r="B22" i="72"/>
  <c r="C5" i="74"/>
  <c r="H102" i="9"/>
  <c r="D7" i="53"/>
  <c r="E4" i="52"/>
  <c r="D4" i="52"/>
  <c r="B52" i="72"/>
  <c r="B20" i="72"/>
  <c r="D5" i="53"/>
  <c r="D6" i="53"/>
  <c r="L65" i="9"/>
  <c r="M65" i="9"/>
  <c r="B31" i="72"/>
  <c r="D122" i="9"/>
  <c r="D123" i="9"/>
  <c r="D9" i="52"/>
  <c r="D56" i="9"/>
  <c r="C6" i="74"/>
  <c r="H108" i="9"/>
  <c r="D15" i="53"/>
  <c r="B53" i="72"/>
  <c r="C81" i="9"/>
  <c r="L67" i="9"/>
  <c r="M67" i="9"/>
  <c r="B49" i="72"/>
  <c r="D55" i="9"/>
  <c r="M53" i="9"/>
  <c r="D58" i="9"/>
  <c r="C72" i="9"/>
  <c r="C79" i="9"/>
  <c r="C80" i="9"/>
  <c r="E80" i="9"/>
  <c r="F119" i="9"/>
  <c r="F5" i="52"/>
  <c r="E118" i="9"/>
  <c r="D118" i="9"/>
  <c r="D119" i="9"/>
  <c r="D5" i="52"/>
  <c r="C97" i="9"/>
  <c r="F118" i="9"/>
  <c r="G118" i="9"/>
  <c r="G4" i="52"/>
  <c r="H107" i="9"/>
  <c r="M49" i="9"/>
  <c r="L63" i="9"/>
  <c r="M63" i="9"/>
  <c r="C96" i="9"/>
  <c r="E96" i="9"/>
  <c r="C64" i="9"/>
  <c r="C63"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<sst xmlns="http://schemas.openxmlformats.org/spreadsheetml/2006/main" count="7822" uniqueCount="3422">
  <si>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</si>
  <si>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</si>
  <si>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</si>
  <si>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</si>
  <si>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</si>
  <si>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</si>
  <si>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</si>
  <si>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</si>
  <si>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</si>
  <si>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</si>
  <si>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</si>
  <si>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</si>
  <si>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</si>
  <si>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</si>
  <si>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</si>
  <si>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</si>
  <si>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</si>
  <si>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</si>
  <si>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</si>
  <si>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</si>
  <si>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</si>
  <si>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</si>
  <si>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</si>
  <si>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</si>
  <si>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</si>
  <si>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</si>
  <si>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</si>
  <si>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</si>
  <si>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</si>
  <si>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</si>
  <si>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</si>
  <si>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</si>
  <si>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</si>
  <si>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</si>
  <si>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</si>
  <si>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</si>
  <si>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</si>
  <si>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</si>
  <si>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</si>
  <si>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</si>
  <si>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</si>
  <si>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</si>
  <si>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</si>
  <si>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</si>
  <si>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</si>
  <si>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</si>
  <si>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</si>
  <si>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</si>
  <si>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</si>
  <si>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</si>
  <si>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</si>
  <si>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</si>
  <si>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</si>
  <si>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</si>
  <si>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</si>
  <si>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</si>
  <si>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</si>
  <si>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</si>
  <si>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</si>
  <si>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</si>
  <si>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</si>
  <si>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</si>
  <si>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</si>
  <si>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</si>
  <si>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</si>
  <si>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</si>
  <si>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</si>
  <si>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</si>
  <si>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</si>
  <si>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</si>
  <si>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</si>
  <si>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</si>
  <si>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</si>
  <si>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</si>
  <si>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</si>
  <si>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</si>
  <si>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</si>
  <si>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</si>
  <si>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</si>
  <si>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</si>
  <si>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</si>
  <si>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</si>
  <si>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</si>
  <si>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</si>
  <si>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</si>
  <si>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</si>
  <si>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</si>
  <si>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</si>
  <si>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</si>
  <si>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</si>
  <si>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</si>
  <si>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</si>
  <si>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</si>
  <si>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</si>
  <si>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</si>
  <si>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</si>
  <si>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</si>
  <si>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</si>
  <si>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</si>
  <si>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</si>
  <si>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</si>
  <si>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</si>
  <si>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</si>
  <si>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</si>
  <si>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</si>
  <si>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</si>
  <si>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</si>
  <si>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</si>
  <si>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</si>
  <si>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</si>
  <si>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</si>
  <si>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</si>
  <si>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</si>
  <si>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</si>
  <si>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</si>
  <si>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</si>
  <si>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</si>
  <si>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</si>
  <si>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</si>
  <si>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</si>
  <si>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</si>
  <si>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</si>
  <si>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</si>
  <si>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</si>
  <si>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</si>
  <si>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</si>
  <si>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</si>
  <si>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</si>
  <si>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</si>
  <si>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</si>
  <si>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</si>
  <si>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</si>
  <si>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</si>
  <si>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</si>
  <si>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</si>
  <si>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</si>
  <si>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</si>
  <si>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</si>
  <si>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</si>
  <si>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</si>
  <si>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</si>
  <si>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</si>
  <si>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</si>
  <si>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</si>
  <si>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</si>
  <si>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</si>
  <si>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</si>
  <si>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</si>
  <si>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</si>
  <si>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</si>
  <si>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</si>
  <si>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</si>
  <si>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</si>
  <si>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</si>
  <si>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</si>
  <si>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</si>
  <si>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</si>
  <si>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</si>
  <si>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</si>
  <si>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</si>
  <si>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</si>
  <si>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</si>
  <si>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</si>
  <si>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</si>
  <si>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</si>
  <si>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</si>
  <si>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</si>
  <si>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</si>
  <si>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</si>
  <si>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</si>
  <si>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</si>
  <si>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</si>
  <si>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</si>
  <si>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</si>
  <si>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</si>
  <si>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</si>
  <si>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</si>
  <si>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</si>
  <si>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</si>
  <si>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</si>
  <si>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</si>
  <si>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</si>
  <si>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</si>
  <si>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</si>
  <si>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</si>
  <si>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</si>
  <si>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</si>
  <si>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</si>
  <si>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</si>
  <si>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</si>
  <si>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</si>
  <si>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</si>
  <si>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</si>
  <si>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</si>
  <si>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</si>
  <si>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</si>
  <si>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</si>
  <si>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</si>
  <si>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</si>
  <si>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</si>
  <si>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</si>
  <si>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</si>
  <si>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</si>
  <si>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</si>
  <si>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</si>
  <si>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</si>
  <si>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</si>
  <si>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</si>
  <si>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</si>
  <si>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</si>
  <si>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</si>
  <si>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</si>
  <si>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</si>
  <si>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</si>
  <si>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</si>
  <si>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</si>
  <si>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</si>
  <si>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</si>
  <si>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</si>
  <si>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</si>
  <si>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</si>
  <si>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</si>
  <si>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</si>
  <si>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</si>
  <si>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</si>
  <si>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</si>
  <si>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</si>
  <si>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</si>
  <si>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</si>
  <si>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</si>
  <si>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</si>
  <si>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</si>
  <si>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</si>
  <si>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</si>
  <si>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</si>
  <si>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</si>
  <si>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</si>
  <si>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</si>
  <si>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</si>
  <si>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</si>
  <si>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</si>
  <si>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</si>
  <si>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</si>
  <si>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</si>
  <si>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</si>
  <si>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</si>
  <si>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</si>
  <si>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</si>
  <si>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</si>
  <si>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</si>
  <si>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</si>
  <si>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</si>
  <si>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</si>
  <si>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</si>
  <si>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</si>
  <si>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</si>
  <si>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</si>
  <si>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</si>
  <si>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</si>
  <si>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</si>
  <si>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</si>
  <si>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</si>
  <si>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</si>
  <si>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</si>
  <si>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</si>
  <si>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</si>
  <si>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</si>
  <si>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</si>
  <si>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</si>
  <si>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</si>
  <si>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</si>
  <si>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</si>
  <si>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</si>
  <si>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</si>
  <si>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</si>
  <si>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</si>
  <si>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</si>
  <si>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</si>
  <si>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</si>
  <si>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</si>
  <si>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</si>
  <si>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</si>
  <si>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</si>
  <si>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</si>
  <si>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</si>
  <si>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</si>
  <si>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</si>
  <si>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</si>
  <si>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</si>
  <si>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</si>
  <si>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</si>
  <si>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</si>
  <si>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</si>
  <si>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</si>
  <si>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</si>
  <si>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</si>
  <si>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</si>
  <si>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</si>
  <si>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</si>
  <si>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</si>
  <si>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</si>
  <si>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</si>
  <si>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</si>
  <si>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</si>
  <si>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</si>
  <si>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</si>
  <si>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</si>
  <si>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</si>
  <si>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</si>
  <si>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</si>
  <si>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</si>
  <si>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</si>
  <si>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</si>
  <si>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</si>
  <si>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</si>
  <si>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</si>
  <si>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</si>
  <si>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</si>
  <si>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</si>
  <si>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</si>
  <si>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</si>
  <si>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</si>
  <si>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</si>
  <si>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</si>
  <si>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</si>
  <si>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</si>
  <si>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</si>
  <si>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</si>
  <si>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</si>
  <si>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</si>
  <si>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</si>
  <si>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</si>
  <si>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</si>
  <si>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</si>
  <si>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</si>
  <si>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</si>
  <si>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</si>
  <si>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</si>
  <si>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</si>
  <si>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</si>
  <si>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</si>
  <si>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</si>
  <si>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</si>
  <si>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</si>
  <si>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</si>
  <si>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</si>
  <si>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</si>
  <si>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</si>
  <si>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</si>
  <si>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</si>
  <si>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</si>
  <si>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</si>
  <si>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</si>
  <si>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</si>
  <si>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</si>
  <si>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</si>
  <si>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</si>
  <si>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</si>
  <si>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</si>
  <si>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</si>
  <si>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</si>
  <si>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</si>
  <si>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</si>
  <si>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</si>
  <si>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</si>
  <si>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</si>
  <si>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</si>
  <si>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</si>
  <si>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</si>
  <si>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</si>
  <si>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</si>
  <si>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</si>
  <si>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</si>
  <si>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</si>
  <si>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</si>
  <si>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</si>
  <si>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</si>
  <si>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</si>
  <si>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</si>
  <si>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</si>
  <si>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</si>
  <si>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</si>
  <si>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</si>
  <si>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</si>
  <si>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</si>
  <si>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</si>
  <si>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</si>
  <si>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</si>
  <si>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</si>
  <si>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</si>
  <si>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</si>
  <si>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</si>
  <si>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</si>
  <si>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</si>
  <si>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</si>
  <si>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</si>
  <si>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</si>
  <si>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</si>
  <si>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</si>
  <si>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</si>
  <si>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</si>
  <si>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</si>
  <si>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</si>
  <si>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</si>
  <si>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</si>
  <si>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</si>
  <si>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</si>
  <si>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</si>
  <si>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</si>
  <si>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</si>
  <si>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</si>
  <si>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</si>
  <si>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</si>
  <si>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</si>
  <si>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</si>
  <si>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</si>
  <si>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</si>
  <si>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</si>
  <si>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</si>
  <si>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</si>
  <si>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</si>
  <si>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</si>
  <si>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</si>
  <si>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</si>
  <si>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</si>
  <si>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</si>
  <si>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</si>
  <si>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</si>
  <si>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</si>
  <si>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</si>
  <si>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</si>
  <si>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</si>
  <si>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</si>
  <si>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</si>
  <si>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</si>
  <si>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</si>
  <si>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</si>
  <si>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</si>
  <si>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</si>
  <si>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</si>
  <si>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</si>
  <si>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</si>
  <si>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</si>
  <si>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</si>
  <si>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</si>
  <si>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</si>
  <si>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</si>
  <si>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</si>
  <si>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</si>
  <si>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</si>
  <si>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</si>
  <si>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</si>
  <si>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</si>
  <si>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</si>
  <si>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</si>
  <si>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</si>
  <si>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</si>
  <si>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</si>
  <si>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</si>
  <si>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</si>
  <si>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</si>
  <si>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</si>
  <si>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</si>
  <si>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</si>
  <si>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</si>
  <si>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</si>
  <si>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</si>
  <si>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</si>
  <si>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</si>
  <si>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</si>
  <si>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</si>
  <si>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</si>
  <si>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</si>
  <si>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</si>
  <si>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</si>
  <si>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</si>
  <si>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</si>
  <si>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</si>
  <si>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</si>
  <si>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</si>
  <si>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</si>
  <si>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</si>
  <si>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</si>
  <si>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</si>
  <si>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</si>
  <si>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</si>
  <si>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</si>
  <si>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</si>
  <si>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</si>
  <si>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</si>
  <si>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</si>
  <si>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</si>
  <si>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</si>
  <si>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</si>
  <si>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</si>
  <si>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</si>
  <si>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</si>
  <si>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</si>
  <si>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</si>
  <si>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</si>
  <si>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</si>
  <si>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</si>
  <si>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</si>
  <si>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</si>
  <si>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</si>
  <si>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</si>
  <si>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</si>
  <si>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</si>
  <si>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</si>
  <si>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</si>
  <si>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</si>
  <si>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</si>
  <si>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</si>
  <si>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</si>
  <si>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</si>
  <si>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</si>
  <si>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</si>
  <si>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</si>
  <si>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</si>
  <si>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</si>
  <si>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</si>
  <si>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</si>
  <si>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</si>
  <si>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</si>
  <si>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</si>
  <si>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</si>
  <si>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</si>
  <si>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</si>
  <si>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</si>
  <si>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</si>
  <si>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</si>
  <si>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</si>
  <si>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</si>
  <si>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</si>
  <si>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</si>
  <si>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</si>
  <si>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</si>
  <si>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</si>
  <si>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</si>
  <si>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</si>
  <si>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</si>
  <si>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</si>
  <si>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</si>
  <si>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</si>
  <si>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</si>
  <si>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</si>
  <si>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</si>
  <si>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</si>
  <si>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</si>
  <si>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</si>
  <si>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</si>
  <si>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</si>
  <si>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</si>
  <si>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</si>
  <si>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</si>
  <si>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</si>
  <si>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</si>
  <si>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</si>
  <si>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</si>
  <si>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</si>
  <si>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</si>
  <si>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</si>
  <si>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</si>
  <si>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</si>
  <si>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</si>
  <si>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</si>
  <si>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</si>
  <si>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</si>
  <si>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</si>
  <si>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</si>
  <si>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</si>
  <si>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</si>
  <si>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</si>
  <si>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</si>
  <si>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</si>
  <si>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</si>
  <si>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</si>
  <si>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</si>
  <si>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</si>
  <si>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</si>
  <si>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</si>
  <si>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</si>
  <si>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</si>
  <si>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</si>
  <si>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</si>
  <si>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</si>
  <si>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</si>
  <si>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</si>
  <si>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</si>
  <si>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</si>
  <si>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</si>
  <si>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</si>
  <si>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</si>
  <si>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</si>
  <si>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</si>
  <si>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</si>
  <si>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</si>
  <si>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</si>
  <si>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</si>
  <si>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</si>
  <si>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</si>
  <si>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</si>
  <si>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</si>
  <si>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</si>
  <si>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</si>
  <si>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</si>
  <si>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</si>
  <si>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</si>
  <si>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</si>
  <si>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</si>
  <si>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</si>
  <si>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</si>
  <si>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</si>
  <si>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</si>
  <si>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</si>
  <si>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</si>
  <si>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</si>
  <si>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</si>
  <si>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</si>
  <si>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</si>
  <si>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</si>
  <si>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</si>
  <si>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</si>
  <si>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</si>
  <si>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</si>
  <si>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</si>
  <si>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</si>
  <si>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</si>
  <si>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</si>
  <si>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</si>
  <si>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</si>
  <si>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</si>
  <si>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</si>
  <si>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</si>
  <si>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</si>
  <si>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</si>
  <si>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</si>
  <si>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</si>
  <si>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</si>
  <si>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</si>
  <si>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</si>
  <si>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</si>
  <si>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</si>
  <si>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</si>
  <si>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</si>
  <si>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</si>
  <si>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</si>
  <si>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</si>
  <si>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</si>
  <si>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</si>
  <si>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</si>
  <si>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</si>
  <si>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</si>
  <si>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</si>
  <si>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</si>
  <si>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</si>
  <si>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</si>
  <si>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</si>
  <si>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</si>
  <si>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</si>
  <si>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</si>
  <si>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</si>
  <si>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</si>
  <si>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</si>
  <si>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</si>
  <si>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</si>
  <si>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</si>
  <si>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</si>
  <si>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</si>
  <si>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</si>
  <si>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</si>
  <si>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</si>
  <si>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</si>
  <si>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</si>
  <si>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</si>
  <si>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</si>
  <si>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</si>
  <si>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</si>
  <si>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</si>
  <si>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</si>
  <si>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</si>
  <si>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</si>
  <si>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</si>
  <si>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</si>
  <si>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</si>
  <si>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</si>
  <si>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</si>
  <si>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</si>
  <si>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</si>
  <si>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</si>
  <si>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</si>
  <si>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</si>
  <si>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</si>
  <si>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</si>
  <si>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</si>
  <si>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</si>
  <si>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</si>
  <si>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</si>
  <si>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</si>
  <si>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</si>
  <si>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</si>
  <si>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</si>
  <si>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</si>
  <si>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</si>
  <si>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</si>
  <si>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</si>
  <si>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</si>
  <si>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</si>
  <si>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</si>
  <si>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</si>
  <si>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</si>
  <si>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</si>
  <si>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</si>
  <si>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</si>
  <si>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</si>
  <si>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</si>
  <si>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</si>
  <si>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</si>
  <si>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</si>
  <si>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</si>
  <si>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</si>
  <si>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</si>
  <si>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</si>
  <si>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</si>
  <si>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</si>
  <si>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</si>
  <si>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</si>
  <si>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</si>
  <si>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</si>
  <si>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</si>
  <si>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</si>
  <si>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</si>
  <si>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</si>
  <si>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</si>
  <si>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</si>
  <si>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</si>
  <si>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</si>
  <si>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</si>
  <si>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</si>
  <si>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</si>
  <si>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</si>
  <si>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</si>
  <si>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</si>
  <si>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</si>
  <si>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</si>
  <si>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</si>
  <si>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</si>
  <si>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</si>
  <si>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</si>
  <si>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</si>
  <si>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</si>
  <si>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</si>
  <si>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</si>
  <si>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</si>
  <si>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</si>
  <si>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</si>
  <si>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</si>
  <si>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</si>
  <si>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</si>
  <si>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</si>
  <si>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</si>
  <si>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</si>
  <si>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</si>
  <si>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</si>
  <si>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</si>
  <si>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</si>
  <si>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</si>
  <si>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</si>
  <si>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</si>
  <si>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</si>
  <si>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</si>
  <si>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</si>
  <si>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</si>
  <si>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</si>
  <si>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</si>
  <si>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</si>
  <si>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</si>
  <si>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</si>
  <si>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</si>
  <si>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</si>
  <si>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</si>
  <si>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</si>
  <si>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</si>
  <si>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</si>
  <si>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</si>
  <si>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</si>
  <si>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</si>
  <si>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</si>
  <si>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</si>
  <si>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</si>
  <si>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</si>
  <si>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</si>
  <si>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</si>
  <si>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</si>
  <si>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</si>
  <si>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</si>
  <si>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</si>
  <si>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</si>
  <si>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</si>
  <si>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</si>
  <si>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</si>
  <si>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</si>
  <si>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</si>
  <si>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</si>
  <si>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</si>
  <si>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</si>
  <si>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</si>
  <si>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</si>
  <si>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</si>
  <si>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</si>
  <si>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</si>
  <si>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</si>
  <si>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</si>
  <si>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</si>
  <si>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</si>
  <si>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</si>
  <si>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</si>
  <si>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</si>
  <si>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</si>
  <si>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</si>
  <si>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</si>
  <si>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</si>
  <si>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</si>
  <si>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</si>
  <si>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</si>
  <si>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</si>
  <si>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</si>
  <si>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</si>
  <si>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</si>
  <si>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</si>
  <si>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</si>
  <si>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</si>
  <si>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</si>
  <si>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</si>
  <si>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</si>
  <si>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</si>
  <si>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</si>
  <si>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</si>
  <si>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</si>
  <si>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</si>
  <si>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</si>
  <si>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</si>
  <si>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</si>
  <si>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</si>
  <si>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</si>
  <si>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</si>
  <si>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</si>
  <si>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</si>
  <si>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</si>
  <si>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</si>
  <si>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</si>
  <si>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</si>
  <si>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</si>
  <si>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</si>
  <si>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</si>
  <si>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</si>
  <si>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</si>
  <si>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</si>
  <si>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</si>
  <si>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</si>
  <si>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</si>
  <si>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</si>
  <si>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</si>
  <si>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</si>
  <si>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</si>
  <si>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</si>
  <si>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</si>
  <si>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</si>
  <si>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</si>
  <si>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</si>
  <si>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</si>
  <si>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</si>
  <si>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</si>
  <si>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</si>
  <si>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</si>
  <si>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</si>
  <si>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</si>
  <si>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</si>
  <si>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</si>
  <si>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</si>
  <si>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</si>
  <si>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</si>
  <si>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</si>
  <si>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</si>
  <si>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</si>
  <si>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</si>
  <si>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</si>
  <si>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</si>
  <si>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</si>
  <si>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</si>
  <si>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</si>
  <si>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</si>
  <si>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</si>
  <si>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</si>
  <si>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</si>
  <si>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</si>
  <si>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</si>
  <si>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</si>
  <si>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</si>
  <si>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</si>
  <si>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</si>
  <si>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</si>
  <si>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</si>
  <si>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</si>
  <si>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</si>
  <si>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</si>
  <si>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</si>
  <si>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</si>
  <si>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</si>
  <si>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</si>
  <si>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</si>
  <si>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</si>
  <si>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</si>
  <si>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</si>
  <si>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</si>
  <si>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</si>
  <si>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</si>
  <si>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</si>
  <si>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</si>
  <si>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</si>
  <si>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</si>
  <si>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</si>
  <si>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</si>
  <si>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</si>
  <si>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</si>
  <si>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</si>
  <si>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</si>
  <si>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</si>
  <si>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</si>
  <si>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</si>
  <si>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</si>
  <si>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</si>
  <si>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</si>
  <si>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</si>
  <si>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</si>
  <si>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</si>
  <si>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</si>
  <si>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</si>
  <si>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</si>
  <si>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</si>
  <si>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</si>
  <si>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</si>
  <si>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</si>
  <si>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</si>
  <si>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</si>
  <si>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</si>
  <si>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</si>
  <si>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</si>
  <si>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</si>
  <si>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</si>
  <si>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</si>
  <si>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</si>
  <si>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</si>
  <si>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</si>
  <si>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</si>
  <si>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</si>
  <si>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</si>
  <si>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</si>
  <si>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</si>
  <si>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</si>
  <si>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</si>
  <si>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</si>
  <si>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</si>
  <si>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</si>
  <si>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</si>
  <si>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</si>
  <si>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</si>
  <si>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</si>
  <si>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</si>
  <si>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</si>
  <si>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</si>
  <si>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</si>
  <si>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</si>
  <si>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</si>
  <si>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</si>
  <si>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</si>
  <si>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</si>
  <si>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</si>
  <si>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</si>
  <si>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</si>
  <si>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</si>
  <si>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</si>
  <si>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</si>
  <si>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</si>
  <si>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</si>
  <si>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</si>
  <si>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</si>
  <si>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</si>
  <si>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</si>
  <si>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</si>
  <si>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</si>
  <si>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</si>
  <si>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</si>
  <si>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</si>
  <si>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</si>
  <si>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</si>
  <si>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</si>
  <si>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</si>
  <si>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</si>
  <si>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</si>
  <si>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</si>
  <si>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</si>
  <si>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</si>
  <si>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</si>
  <si>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</si>
  <si>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</si>
  <si>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</si>
  <si>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</si>
  <si>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</si>
  <si>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</si>
  <si>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</si>
  <si>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</si>
  <si>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</si>
  <si>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</si>
  <si>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</si>
  <si>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</si>
  <si>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</si>
  <si>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</si>
  <si>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</si>
  <si>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</si>
  <si>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</si>
  <si>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</si>
  <si>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</si>
  <si>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</si>
  <si>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</si>
  <si>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</si>
  <si>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</si>
  <si>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</si>
  <si>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</si>
  <si>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</si>
  <si>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</si>
  <si>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</si>
  <si>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</si>
  <si>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</si>
  <si>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</si>
  <si>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</si>
  <si>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</si>
  <si>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</si>
  <si>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</si>
  <si>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</si>
  <si>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</si>
  <si>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</si>
  <si>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</si>
  <si>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</si>
  <si>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</si>
  <si>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</si>
  <si>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</si>
  <si>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</si>
  <si>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</si>
  <si>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</si>
  <si>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</si>
  <si>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</si>
  <si>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</si>
  <si>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</si>
  <si>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</si>
  <si>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</si>
  <si>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</si>
  <si>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</si>
  <si>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</si>
  <si>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</si>
  <si>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</si>
  <si>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</si>
  <si>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</si>
  <si>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</si>
  <si>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</si>
  <si>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</si>
  <si>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</si>
  <si>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</si>
  <si>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</si>
  <si>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</si>
  <si>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</si>
  <si>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</si>
  <si>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</si>
  <si>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</si>
  <si>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</si>
  <si>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</si>
  <si>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</si>
  <si>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</si>
  <si>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</si>
  <si>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</si>
  <si>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</si>
  <si>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</si>
  <si>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</si>
  <si>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</si>
  <si>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</si>
  <si>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</si>
  <si>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</si>
  <si>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</si>
  <si>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</si>
  <si>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</si>
  <si>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</si>
  <si>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</si>
  <si>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</si>
  <si>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</si>
  <si>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</si>
  <si>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</si>
  <si>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</si>
  <si>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</si>
  <si>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</si>
  <si>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</si>
  <si>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</si>
  <si>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</si>
  <si>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</si>
  <si>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</si>
  <si>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</si>
  <si>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</si>
  <si>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</si>
  <si>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</si>
  <si>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</si>
  <si>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</si>
  <si>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</si>
  <si>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</si>
  <si>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</si>
  <si>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</si>
  <si>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</si>
  <si>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</si>
  <si>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</si>
  <si>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</si>
  <si>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</si>
  <si>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</si>
  <si>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</si>
  <si>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</si>
  <si>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</si>
  <si>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</si>
  <si>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</si>
  <si>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</si>
  <si>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</si>
  <si>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</si>
  <si>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</si>
  <si>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</si>
  <si>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</si>
  <si>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</si>
  <si>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</si>
  <si>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</si>
  <si>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</si>
  <si>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</si>
  <si>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</si>
  <si>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</si>
  <si>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</si>
  <si>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</si>
  <si>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</si>
  <si>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</si>
  <si>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</si>
  <si>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</si>
  <si>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</si>
  <si>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</si>
  <si>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</si>
  <si>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</si>
  <si>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</si>
  <si>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</si>
  <si>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</si>
  <si>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</si>
  <si>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</si>
  <si>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</si>
  <si>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</si>
  <si>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</si>
  <si>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</si>
  <si>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</si>
  <si>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</si>
  <si>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</si>
  <si>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</si>
  <si>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</si>
  <si>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</si>
  <si>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</si>
  <si>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</si>
  <si>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</si>
  <si>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</si>
  <si>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</si>
  <si>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</si>
  <si>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</si>
  <si>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</si>
  <si>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</si>
  <si>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</si>
  <si>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</si>
  <si>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</si>
  <si>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</si>
  <si>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</si>
  <si>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</si>
  <si>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</si>
  <si>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</si>
  <si>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</si>
  <si>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</si>
  <si>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</si>
  <si>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</si>
  <si>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</si>
  <si>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</si>
  <si>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</si>
  <si>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</si>
  <si>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</si>
  <si>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</si>
  <si>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</si>
  <si>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</si>
  <si>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</si>
  <si>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</si>
  <si>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</si>
  <si>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</si>
  <si>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</si>
  <si>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</si>
  <si>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</si>
  <si>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</si>
  <si>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</si>
  <si>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</si>
  <si>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</si>
  <si>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</si>
  <si>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</si>
  <si>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</si>
  <si>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</si>
  <si>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</si>
  <si>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</si>
  <si>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</si>
  <si>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</si>
  <si>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</si>
  <si>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</si>
  <si>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</si>
  <si>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</si>
  <si>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</si>
  <si>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</si>
  <si>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</si>
  <si>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</si>
  <si>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</si>
  <si>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</si>
  <si>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</si>
  <si>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</si>
  <si>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</si>
  <si>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</si>
  <si>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</si>
  <si>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</si>
  <si>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</si>
  <si>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</si>
  <si>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</si>
  <si>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</si>
  <si>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</si>
  <si>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</si>
  <si>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</si>
  <si>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</si>
  <si>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</si>
  <si>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</si>
  <si>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</si>
  <si>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</si>
  <si>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</si>
  <si>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</si>
  <si>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</si>
  <si>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</si>
  <si>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</si>
  <si>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</si>
  <si>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</si>
  <si>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</si>
  <si>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</si>
  <si>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</si>
  <si>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</si>
  <si>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</si>
  <si>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</si>
  <si>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</si>
  <si>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</si>
  <si>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</si>
  <si>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</si>
  <si>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</si>
  <si>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</si>
  <si>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</si>
  <si>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</si>
  <si>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</si>
  <si>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</si>
  <si>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</si>
  <si>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</si>
  <si>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</si>
  <si>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</si>
  <si>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</si>
  <si>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</si>
  <si>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</si>
  <si>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</si>
  <si>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</si>
  <si>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</si>
  <si>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</si>
  <si>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</si>
  <si>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</si>
  <si>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</si>
  <si>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</si>
  <si>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</si>
  <si>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</si>
  <si>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</si>
  <si>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</si>
  <si>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</si>
  <si>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</si>
  <si>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</si>
  <si>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</si>
  <si>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</si>
  <si>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</si>
  <si>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</si>
  <si>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</si>
  <si>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</si>
  <si>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</si>
  <si>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</si>
  <si>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</si>
  <si>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</si>
  <si>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</si>
  <si>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</si>
  <si>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</si>
  <si>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</si>
  <si>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</si>
  <si>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</si>
  <si>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</si>
  <si>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</si>
  <si>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</si>
  <si>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</si>
  <si>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</si>
  <si>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</si>
  <si>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</si>
  <si>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</si>
  <si>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</si>
  <si>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</si>
  <si>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</si>
  <si>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</si>
  <si>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</si>
  <si>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</si>
  <si>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</si>
  <si>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</si>
  <si>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</si>
  <si>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</si>
  <si>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</si>
  <si>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</si>
  <si>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</si>
  <si>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</si>
  <si>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</si>
  <si>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</si>
  <si>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</si>
  <si>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</si>
  <si>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</si>
  <si>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</si>
  <si>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</si>
  <si>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</si>
  <si>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</si>
  <si>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</si>
  <si>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</si>
  <si>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</si>
  <si>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</si>
  <si>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</si>
  <si>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</si>
  <si>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</si>
  <si>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</si>
  <si>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</si>
  <si>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</si>
  <si>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</si>
  <si>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</si>
  <si>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</si>
  <si>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</si>
  <si>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</si>
  <si>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</si>
  <si>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</si>
  <si>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</si>
  <si>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</si>
  <si>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</si>
  <si>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</si>
  <si>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</si>
  <si>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</si>
  <si>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</si>
  <si>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</si>
  <si>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</si>
  <si>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</si>
  <si>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</si>
  <si>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</si>
  <si>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</si>
  <si>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</si>
  <si>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</si>
  <si>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</si>
  <si>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</si>
  <si>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</si>
  <si>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</si>
  <si>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</si>
  <si>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</si>
  <si>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</si>
  <si>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</si>
  <si>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</si>
  <si>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</si>
  <si>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</si>
  <si>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</si>
  <si>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</si>
  <si>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</si>
  <si>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</si>
  <si>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</si>
  <si>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</si>
  <si>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</si>
  <si>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</si>
  <si>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</si>
  <si>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</si>
  <si>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</si>
  <si>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</si>
  <si>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</si>
  <si>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</si>
  <si>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</si>
  <si>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</si>
  <si>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</si>
  <si>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</si>
  <si>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</si>
  <si>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</si>
  <si>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</si>
  <si>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</si>
  <si>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</si>
  <si>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</si>
  <si>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</si>
  <si>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</si>
  <si>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</si>
  <si>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</si>
  <si>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</si>
  <si>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</si>
  <si>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</si>
  <si>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</si>
  <si>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</si>
  <si>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</si>
  <si>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</si>
  <si>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</si>
  <si>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</si>
  <si>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</si>
  <si>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</si>
  <si>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</si>
  <si>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</si>
  <si>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</si>
  <si>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</si>
  <si>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</si>
  <si>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</si>
  <si>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</si>
  <si>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</si>
  <si>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</si>
  <si>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</si>
  <si>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</si>
  <si>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</si>
  <si>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</si>
  <si>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</si>
  <si>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</si>
  <si>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</si>
  <si>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</si>
  <si>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</si>
  <si>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</si>
  <si>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</si>
  <si>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</si>
  <si>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</si>
  <si>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</si>
  <si>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</si>
  <si>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</si>
  <si>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</si>
  <si>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</si>
  <si>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</si>
  <si>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</si>
  <si>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</si>
  <si>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</si>
  <si>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</si>
  <si>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</si>
  <si>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</si>
  <si>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</si>
  <si>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</si>
  <si>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</si>
  <si>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</si>
  <si>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</si>
  <si>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</si>
  <si>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</si>
  <si>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</si>
  <si>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</si>
  <si>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</si>
  <si>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</si>
  <si>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</si>
  <si>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</si>
  <si>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</si>
  <si>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</si>
  <si>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</si>
  <si>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</si>
  <si>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</si>
  <si>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</si>
  <si>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</si>
  <si>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</si>
  <si>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</si>
  <si>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</si>
  <si>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</si>
  <si>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</si>
  <si>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</si>
  <si>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</si>
  <si>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</si>
  <si>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</si>
  <si>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</si>
  <si>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</si>
  <si>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</si>
  <si>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</si>
  <si>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</si>
  <si>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</si>
  <si>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</si>
  <si>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</si>
  <si>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</si>
  <si>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</si>
  <si>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</si>
  <si>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</si>
  <si>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</si>
  <si>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</si>
  <si>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</si>
  <si>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</si>
  <si>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</si>
  <si>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</si>
  <si>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</si>
  <si>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</si>
  <si>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</si>
  <si>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</si>
  <si>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</si>
  <si>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</si>
  <si>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</si>
  <si>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</si>
  <si>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</si>
  <si>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</si>
  <si>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</si>
  <si>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</si>
  <si>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</si>
  <si>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</si>
  <si>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</si>
  <si>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</si>
  <si>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</si>
  <si>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</si>
  <si>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</si>
  <si>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</si>
  <si>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</si>
  <si>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</si>
  <si>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</si>
  <si>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</si>
  <si>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</si>
  <si>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</si>
  <si>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</si>
  <si>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</si>
  <si>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</si>
  <si>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</si>
  <si>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</si>
  <si>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</si>
  <si>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</si>
  <si>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</si>
  <si>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</si>
  <si>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</si>
  <si>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</si>
  <si>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</si>
  <si>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</si>
  <si>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</si>
  <si>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</si>
  <si>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</si>
  <si>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</si>
  <si>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</si>
  <si>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</si>
  <si>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</si>
  <si>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</si>
  <si>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</si>
  <si>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</si>
  <si>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</si>
  <si>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</si>
  <si>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</si>
  <si>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</si>
  <si>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</si>
  <si>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</si>
  <si>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</si>
  <si>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</si>
  <si>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</si>
  <si>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</si>
  <si>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</si>
  <si>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</si>
  <si>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</si>
  <si>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</si>
  <si>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</si>
  <si>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</si>
  <si>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</si>
  <si>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</si>
  <si>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</si>
  <si>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</si>
  <si>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</si>
  <si>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</si>
  <si>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</si>
  <si>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</si>
  <si>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</si>
  <si>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</si>
  <si>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</si>
  <si>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</si>
  <si>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</si>
  <si>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</si>
  <si>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</si>
  <si>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</si>
  <si>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</si>
  <si>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</si>
  <si>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</si>
  <si>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</si>
  <si>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</si>
  <si>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</si>
  <si>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</si>
  <si>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</si>
  <si>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</si>
  <si>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</si>
  <si>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</si>
  <si>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</si>
  <si>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</si>
  <si>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</si>
  <si>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</si>
  <si>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</si>
  <si>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</si>
  <si>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</si>
  <si>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</si>
  <si>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</si>
  <si>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</si>
  <si>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</si>
  <si>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</si>
  <si>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</si>
  <si>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</si>
  <si>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</si>
  <si>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</si>
  <si>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</si>
  <si>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</si>
  <si>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</si>
  <si>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</si>
  <si>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</si>
  <si>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</si>
  <si>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</si>
  <si>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</si>
  <si>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</si>
  <si>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</si>
  <si>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</si>
  <si>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</si>
  <si>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</si>
  <si>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</si>
  <si>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</si>
  <si>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</si>
  <si>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</si>
  <si>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</si>
  <si>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</si>
  <si>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</si>
  <si>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</si>
  <si>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</si>
  <si>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</si>
  <si>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</si>
  <si>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</si>
  <si>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</si>
  <si>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</si>
  <si>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</si>
  <si>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</si>
  <si>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</si>
  <si>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</si>
  <si>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</si>
  <si>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</si>
  <si>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</si>
  <si>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</si>
  <si>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</si>
  <si>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</si>
  <si>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</si>
  <si>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</si>
  <si>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</si>
  <si>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</si>
  <si>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</si>
  <si>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</si>
  <si>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</si>
  <si>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</si>
  <si>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</si>
  <si>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</si>
  <si>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</si>
  <si>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</si>
  <si>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</si>
  <si>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</si>
  <si>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</si>
  <si>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</si>
  <si>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</si>
  <si>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</si>
  <si>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</si>
  <si>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</si>
  <si>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</si>
  <si>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</si>
  <si>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</si>
  <si>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</si>
  <si>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</si>
  <si>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</si>
  <si>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</si>
  <si>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</si>
  <si>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</si>
  <si>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</si>
  <si>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</si>
  <si>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</si>
  <si>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</si>
  <si>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</si>
  <si>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</si>
  <si>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</si>
  <si>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</si>
  <si>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</si>
  <si>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</si>
  <si>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</si>
  <si>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</si>
  <si>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</si>
  <si>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</si>
  <si>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</si>
  <si>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</si>
  <si>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</si>
  <si>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</si>
  <si>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</si>
  <si>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</si>
  <si>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</si>
  <si>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</si>
  <si>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</si>
  <si>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</si>
  <si>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</si>
  <si>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</si>
  <si>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</si>
  <si>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</si>
  <si>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</si>
  <si>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</si>
  <si>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</si>
  <si>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</si>
  <si>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</si>
  <si>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</si>
  <si>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</si>
  <si>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</si>
  <si>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</si>
  <si>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</si>
  <si>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</si>
  <si>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</si>
  <si>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</si>
  <si>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</si>
  <si>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</si>
  <si>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</si>
  <si>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</si>
  <si>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</si>
  <si>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</si>
  <si>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</si>
  <si>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</si>
  <si>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</si>
  <si>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</si>
  <si>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</si>
  <si>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</si>
  <si>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</si>
  <si>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</si>
  <si>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</si>
  <si>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</si>
  <si>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</si>
  <si>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</si>
  <si>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</si>
  <si>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</si>
  <si>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</si>
  <si>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</si>
  <si>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</si>
  <si>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</si>
  <si>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</si>
  <si>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</si>
  <si>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</si>
  <si>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</si>
  <si>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</si>
  <si>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</si>
  <si>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</si>
  <si>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</si>
  <si>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</si>
  <si>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</si>
  <si>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</si>
  <si>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</si>
  <si>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</si>
  <si>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</si>
  <si>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</si>
  <si>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</si>
  <si>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</si>
  <si>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</si>
  <si>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</si>
  <si>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</si>
  <si>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</si>
  <si>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</si>
  <si>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</si>
  <si>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</si>
  <si>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</si>
  <si>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</si>
  <si>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</si>
  <si>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</si>
  <si>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</si>
  <si>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</si>
  <si>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</si>
  <si>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</si>
  <si>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</si>
  <si>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</si>
  <si>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</si>
  <si>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</si>
  <si>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</si>
  <si>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</si>
  <si>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</si>
  <si>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</si>
  <si>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</si>
  <si>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</si>
  <si>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</si>
  <si>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</si>
  <si>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</si>
  <si>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</si>
  <si>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</si>
  <si>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</si>
  <si>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</si>
  <si>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</si>
  <si>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</si>
  <si>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</si>
  <si>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</si>
  <si>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</si>
  <si>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</si>
  <si>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</si>
  <si>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</si>
  <si>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</si>
  <si>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</si>
  <si>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</si>
  <si>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</si>
  <si>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</si>
  <si>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</si>
  <si>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</si>
  <si>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</si>
  <si>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</si>
  <si>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</si>
  <si>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</si>
  <si>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</si>
  <si>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</si>
  <si>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</si>
  <si>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</si>
  <si>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</si>
  <si>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</si>
  <si>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</si>
  <si>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</si>
  <si>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</si>
  <si>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</si>
  <si>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</si>
  <si>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</si>
  <si>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</si>
  <si>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</si>
  <si>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</si>
  <si>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</si>
  <si>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</si>
  <si>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</si>
  <si>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</si>
  <si>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</si>
  <si>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</si>
  <si>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</si>
  <si>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</si>
  <si>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</si>
  <si>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</si>
  <si>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</si>
  <si>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</si>
  <si>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</si>
  <si>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</si>
  <si>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</si>
  <si>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</si>
  <si>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</si>
  <si>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</si>
  <si>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</si>
  <si>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</si>
  <si>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</si>
  <si>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</si>
  <si>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</si>
  <si>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</si>
  <si>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</si>
  <si>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</si>
  <si>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</si>
  <si>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</si>
  <si>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</si>
  <si>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</si>
  <si>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</si>
  <si>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</si>
  <si>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</si>
  <si>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</si>
  <si>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</si>
  <si>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</si>
  <si>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</si>
  <si>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</si>
  <si>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</si>
  <si>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</si>
  <si>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</si>
  <si>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</si>
  <si>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</si>
  <si>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</si>
  <si>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</si>
  <si>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</si>
  <si>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</si>
  <si>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</si>
  <si>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</si>
  <si>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</si>
  <si>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</si>
  <si>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</si>
  <si>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</si>
  <si>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</si>
  <si>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</si>
  <si>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</si>
  <si>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</si>
  <si>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</si>
  <si>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</si>
  <si>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</si>
  <si>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</si>
  <si>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</si>
  <si>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</si>
  <si>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</si>
  <si>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</si>
  <si>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</si>
  <si>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</si>
  <si>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</si>
  <si>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</si>
  <si>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</si>
  <si>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</si>
  <si>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</si>
  <si>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</si>
  <si>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</si>
  <si>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</si>
  <si>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</si>
  <si>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</si>
  <si>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</si>
  <si>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</si>
  <si>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</si>
  <si>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</si>
  <si>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</si>
  <si>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</si>
  <si>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</si>
  <si>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</si>
  <si>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</si>
  <si>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</si>
  <si>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</si>
  <si>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</si>
  <si>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</si>
  <si>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</si>
  <si>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</si>
  <si>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</si>
  <si>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</si>
  <si>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</si>
  <si>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</si>
  <si>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</si>
  <si>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</si>
  <si>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</si>
  <si>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</si>
  <si>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</si>
  <si>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</si>
  <si>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</si>
  <si>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</si>
  <si>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</si>
  <si>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</si>
  <si>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</si>
  <si>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</si>
  <si>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</si>
  <si>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</si>
  <si>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</si>
  <si>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</si>
  <si>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</si>
  <si>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</si>
  <si>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</si>
  <si>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</si>
  <si>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</si>
  <si>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</si>
  <si>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</si>
  <si>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</si>
  <si>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</si>
  <si>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</si>
  <si>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</si>
  <si>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</si>
  <si>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</si>
  <si>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</si>
  <si>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</si>
  <si>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</si>
  <si>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</si>
  <si>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</si>
  <si>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</si>
  <si>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</si>
  <si>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</si>
  <si>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</si>
  <si>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</si>
  <si>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</si>
  <si>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</si>
  <si>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</si>
  <si>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</si>
  <si>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</si>
  <si>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</si>
  <si>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</si>
  <si>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</si>
  <si>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</si>
  <si>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</si>
  <si>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</si>
  <si>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</si>
  <si>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</si>
  <si>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</si>
  <si>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</si>
  <si>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</si>
  <si>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</si>
  <si>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</si>
  <si>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</si>
  <si>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</si>
  <si>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</si>
  <si>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</si>
  <si>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</si>
  <si>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</si>
  <si>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</si>
  <si>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</si>
  <si>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</si>
  <si>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</si>
  <si>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</si>
  <si>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</si>
  <si>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</si>
  <si>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</si>
  <si>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</si>
  <si>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</si>
  <si>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</si>
  <si>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</si>
  <si>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</si>
  <si>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</si>
  <si>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</si>
  <si>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</si>
  <si>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</si>
  <si>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</si>
  <si>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</si>
  <si>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</si>
  <si>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</si>
  <si>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</si>
  <si>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</si>
  <si>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</si>
  <si>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</si>
  <si>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</si>
  <si>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</si>
  <si>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</si>
  <si>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</si>
  <si>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</si>
  <si>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</si>
  <si>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</si>
  <si>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</si>
  <si>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</si>
  <si>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</si>
  <si>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</si>
  <si>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</si>
  <si>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</si>
  <si>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</si>
  <si>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</si>
  <si>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</si>
  <si>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</si>
  <si>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</si>
  <si>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</si>
  <si>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</si>
  <si>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</si>
  <si>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</si>
  <si>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</si>
  <si>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</si>
  <si>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</si>
  <si>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</si>
  <si>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</si>
  <si>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</si>
  <si>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</si>
  <si>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</si>
  <si>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</si>
  <si>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</si>
  <si>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</si>
  <si>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</si>
  <si>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</si>
  <si>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</si>
  <si>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</si>
  <si>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</si>
  <si>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</si>
  <si>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</si>
  <si>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</si>
  <si>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</si>
  <si>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</si>
  <si>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</si>
  <si>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</si>
  <si>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</si>
  <si>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</si>
  <si>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</si>
  <si>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</si>
  <si>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</si>
  <si>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</si>
  <si>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</si>
  <si>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</si>
  <si>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</si>
  <si>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</si>
  <si>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</si>
  <si>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</si>
  <si>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</si>
  <si>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</si>
  <si>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</si>
  <si>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</si>
  <si>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</si>
  <si>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</si>
  <si>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</si>
  <si>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</si>
  <si>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</si>
  <si>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</si>
  <si>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</si>
  <si>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</si>
  <si>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</si>
  <si>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</si>
  <si>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</si>
  <si>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</si>
  <si>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</si>
  <si>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</si>
  <si>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</si>
  <si>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</si>
  <si>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</si>
  <si>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</si>
  <si>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</si>
  <si>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</si>
  <si>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</si>
  <si>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</si>
  <si>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</si>
  <si>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</si>
  <si>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</si>
  <si>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</si>
  <si>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</si>
  <si>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</si>
  <si>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</si>
  <si>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</si>
  <si>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</si>
  <si>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</si>
  <si>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</si>
  <si>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</si>
  <si>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</si>
  <si>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</si>
  <si>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</si>
  <si>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</si>
  <si>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</si>
  <si>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</si>
  <si>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</si>
  <si>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</si>
  <si>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</si>
  <si>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</si>
  <si>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</si>
  <si>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</si>
  <si>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</si>
  <si>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</si>
  <si>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</si>
  <si>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</si>
  <si>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</si>
  <si>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</si>
  <si>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</si>
  <si>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</si>
  <si>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</si>
  <si>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</si>
  <si>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</si>
  <si>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</si>
  <si>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</si>
  <si>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</si>
  <si>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</si>
  <si>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</si>
  <si>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</si>
  <si>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</si>
  <si>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</si>
  <si>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</si>
  <si>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</si>
  <si>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</si>
  <si>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</si>
  <si>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</si>
  <si>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</si>
  <si>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</si>
  <si>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</si>
  <si>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</si>
  <si>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</si>
  <si>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</si>
  <si>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</si>
  <si>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</si>
  <si>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</si>
  <si>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</si>
  <si>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</si>
  <si>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</si>
  <si>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</si>
  <si>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</si>
  <si>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</si>
  <si>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</si>
  <si>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</si>
  <si>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</si>
  <si>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</si>
  <si>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</si>
  <si>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</si>
  <si>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</si>
  <si>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</si>
  <si>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</si>
  <si>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</si>
  <si>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</si>
  <si>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</si>
  <si>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</si>
  <si>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</si>
  <si>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</si>
  <si>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</si>
  <si>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</si>
  <si>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</si>
  <si>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</si>
  <si>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</si>
  <si>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</si>
  <si>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</si>
  <si>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</si>
  <si>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</si>
  <si>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</si>
  <si>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</si>
  <si>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</si>
  <si>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</si>
  <si>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</si>
  <si>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</si>
  <si>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</si>
  <si>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</si>
  <si>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</si>
  <si>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</si>
  <si>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</si>
  <si>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</si>
  <si>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</si>
  <si>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</si>
  <si>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</si>
  <si>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</si>
  <si>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</si>
  <si>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</si>
  <si>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</si>
  <si>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</si>
  <si>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</si>
  <si>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</si>
  <si>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</si>
  <si>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</si>
  <si>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</si>
  <si>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</si>
  <si>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</si>
  <si>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</si>
  <si>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</si>
  <si>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</si>
  <si>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</si>
  <si>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</si>
  <si>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</si>
  <si>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</si>
  <si>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</si>
  <si>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</si>
  <si>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</si>
  <si>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</si>
  <si>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</si>
  <si>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</si>
  <si>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</si>
  <si>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</si>
  <si>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</si>
  <si>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</si>
  <si>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</si>
  <si>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</si>
  <si>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</si>
  <si>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</si>
  <si>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</si>
  <si>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</si>
  <si>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</si>
  <si>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</si>
  <si>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</si>
  <si>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</si>
  <si>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</si>
  <si>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</si>
  <si>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</si>
  <si>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</si>
  <si>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</si>
  <si>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</si>
  <si>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</si>
  <si>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</si>
  <si>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</si>
  <si>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</si>
  <si>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</si>
  <si>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</si>
  <si>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</si>
  <si>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</si>
  <si>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</si>
  <si>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</si>
  <si>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</si>
  <si>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</si>
  <si>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</si>
  <si>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</si>
  <si>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</si>
  <si>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</si>
  <si>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</si>
  <si>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</si>
  <si>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</si>
  <si>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</si>
  <si>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</si>
  <si>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</si>
  <si>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</si>
  <si>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</si>
  <si>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</si>
  <si>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</si>
  <si>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</si>
  <si>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</si>
  <si>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</si>
  <si>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</si>
  <si>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</si>
  <si>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</si>
  <si>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</si>
  <si>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</si>
  <si>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</si>
  <si>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</si>
  <si>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</si>
  <si>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</si>
  <si>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</si>
  <si>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</si>
  <si>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</si>
  <si>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</si>
  <si>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</si>
  <si>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</si>
  <si>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</si>
  <si>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</si>
  <si>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</si>
  <si>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</si>
  <si>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</si>
  <si>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</si>
  <si>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</si>
  <si>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</si>
  <si>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</si>
  <si>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</si>
  <si>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</si>
  <si>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</si>
  <si>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</si>
  <si>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</si>
  <si>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</si>
  <si>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</si>
  <si>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</si>
  <si>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</si>
  <si>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</si>
  <si>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</si>
  <si>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</si>
  <si>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</si>
  <si>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</si>
  <si>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</si>
  <si>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</si>
  <si>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</si>
  <si>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</si>
  <si>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</si>
  <si>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</si>
  <si>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</si>
  <si>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</si>
  <si>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</si>
  <si>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</si>
  <si>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</si>
  <si>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</si>
  <si>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</si>
  <si>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</si>
  <si>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</si>
  <si>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</si>
  <si>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</si>
  <si>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</si>
  <si>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</si>
  <si>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</si>
  <si>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</si>
  <si>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</si>
  <si>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</si>
  <si>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</si>
  <si>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</si>
  <si>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</si>
  <si>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</si>
  <si>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</si>
  <si>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</si>
  <si>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</si>
  <si>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</si>
  <si>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</si>
  <si>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</si>
  <si>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</si>
  <si>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</si>
  <si>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</si>
  <si>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</si>
  <si>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</si>
  <si>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</si>
  <si>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</si>
  <si>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</si>
  <si>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</si>
  <si>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</si>
  <si>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</si>
  <si>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</si>
  <si>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</si>
  <si>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</si>
  <si>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</si>
  <si>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</si>
  <si>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</si>
  <si>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</si>
  <si>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</si>
  <si>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</si>
  <si>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</si>
  <si>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</si>
  <si>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</si>
  <si>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</si>
  <si>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</si>
  <si>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</si>
  <si>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</si>
  <si>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</si>
  <si>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</si>
  <si>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</si>
  <si>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</si>
  <si>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</si>
  <si>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</si>
  <si>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</si>
  <si>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</si>
  <si>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</si>
  <si>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</si>
  <si>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</si>
  <si>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</si>
  <si>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</si>
  <si>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</si>
  <si>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</si>
  <si>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</si>
  <si>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</si>
  <si>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</si>
  <si>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</si>
  <si>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</si>
  <si>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</si>
  <si>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</si>
  <si>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</si>
  <si>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</si>
  <si>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</si>
  <si>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</si>
  <si>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</si>
  <si>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</si>
  <si>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</si>
  <si>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</si>
  <si>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</si>
  <si>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</si>
  <si>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</si>
  <si>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</si>
  <si>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</si>
  <si>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</si>
  <si>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</si>
  <si>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</si>
  <si>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</si>
  <si>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</si>
  <si>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</si>
  <si>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</si>
  <si>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</si>
  <si>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</si>
  <si>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</si>
  <si>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</si>
  <si>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</si>
  <si>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</si>
  <si>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</si>
  <si>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</si>
  <si>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</si>
  <si>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</si>
  <si>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</si>
  <si>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</si>
  <si>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</si>
  <si>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</si>
  <si>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</si>
  <si>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</si>
  <si>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</si>
  <si>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</si>
  <si>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</si>
  <si>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</si>
  <si>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</si>
  <si>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</si>
  <si>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</si>
  <si>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</si>
  <si>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</si>
  <si>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</si>
  <si>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</si>
  <si>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</si>
  <si>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</si>
  <si>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</si>
  <si>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</si>
  <si>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</si>
  <si>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</si>
  <si>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</si>
  <si>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</si>
  <si>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</si>
  <si>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</si>
  <si>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</si>
  <si>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</si>
  <si>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</si>
  <si>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</si>
  <si>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</si>
  <si>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</si>
  <si>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</si>
  <si>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</si>
  <si>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</si>
  <si>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</si>
  <si>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</si>
  <si>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</si>
  <si>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</si>
  <si>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</si>
  <si>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</si>
  <si>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</si>
  <si>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</si>
  <si>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</si>
  <si>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</si>
  <si>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</si>
  <si>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</si>
  <si>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</si>
  <si>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</si>
  <si>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</si>
  <si>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</si>
  <si>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</si>
  <si>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</si>
  <si>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</si>
  <si>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</si>
  <si>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</si>
  <si>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</si>
  <si>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</si>
  <si>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</si>
  <si>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</si>
  <si>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</si>
  <si>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</si>
  <si>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</si>
  <si>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</si>
  <si>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</si>
  <si>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</si>
  <si>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</si>
  <si>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</si>
  <si>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</si>
  <si>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</si>
  <si>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</si>
  <si>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</si>
  <si>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</si>
  <si>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</si>
  <si>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</si>
  <si>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</si>
  <si>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</si>
  <si>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</si>
  <si>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</si>
  <si>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</si>
  <si>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</si>
  <si>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</si>
  <si>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</si>
  <si>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</si>
  <si>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</si>
  <si>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</si>
  <si>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</si>
  <si>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</si>
  <si>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</si>
  <si>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</si>
  <si>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</si>
  <si>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</si>
  <si>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</si>
  <si>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</si>
  <si>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</si>
  <si>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</si>
  <si>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</si>
  <si>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</si>
  <si>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</si>
  <si>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</si>
  <si>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</si>
  <si>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</si>
  <si>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</si>
  <si>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</si>
  <si>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</si>
  <si>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</si>
  <si>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</si>
  <si>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</si>
  <si>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</si>
  <si>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</si>
  <si>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</si>
  <si>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</si>
  <si>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</si>
  <si>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</si>
  <si>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</si>
  <si>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</si>
  <si>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</si>
  <si>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</si>
  <si>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</si>
  <si>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</si>
  <si>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</si>
  <si>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</si>
  <si>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</si>
  <si>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</si>
  <si>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</si>
  <si>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</si>
  <si>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</si>
  <si>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</si>
  <si>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</si>
  <si>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</si>
  <si>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</si>
  <si>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</si>
  <si>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</si>
  <si>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</si>
  <si>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</si>
  <si>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</si>
  <si>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</si>
  <si>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</si>
  <si>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</si>
  <si>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</si>
  <si>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</si>
  <si>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</si>
  <si>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</si>
  <si>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</si>
  <si>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</si>
  <si>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</si>
  <si>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</si>
  <si>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</si>
  <si>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</si>
  <si>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</si>
  <si>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</si>
  <si>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</si>
  <si>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</si>
  <si>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</si>
  <si>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</si>
  <si>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</si>
  <si>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</si>
  <si>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</si>
  <si>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</si>
  <si>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</si>
  <si>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</si>
  <si>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</si>
  <si>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</si>
  <si>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</si>
  <si>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</si>
  <si>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</si>
  <si>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</si>
  <si>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</si>
  <si>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</si>
  <si>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</si>
  <si>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</si>
  <si>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</si>
  <si>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</si>
  <si>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</si>
  <si>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</si>
  <si>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</si>
  <si>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</si>
  <si>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</si>
  <si>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</si>
  <si>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</si>
  <si>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</si>
  <si>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</si>
  <si>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</si>
  <si>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</si>
  <si>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</si>
  <si>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</si>
  <si>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</si>
  <si>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</si>
  <si>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</si>
  <si>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</si>
  <si>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</si>
  <si>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</si>
  <si>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</si>
  <si>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</si>
  <si>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</si>
  <si>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</si>
  <si>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</si>
  <si>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</si>
  <si>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</si>
  <si>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</si>
  <si>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</si>
  <si>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</si>
  <si>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</si>
  <si>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</si>
  <si>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</si>
  <si>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</si>
  <si>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</si>
  <si>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</si>
  <si>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</si>
  <si>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</si>
  <si>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</si>
  <si>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</si>
  <si>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</si>
  <si>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</si>
  <si>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</si>
  <si>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</si>
  <si>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</si>
  <si>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</si>
  <si>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</si>
  <si>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</si>
  <si>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</si>
  <si>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</si>
  <si>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</si>
  <si>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</si>
  <si>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</si>
  <si>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</si>
  <si>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</si>
  <si>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</si>
  <si>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</si>
  <si>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</si>
  <si>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</si>
  <si>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</si>
  <si>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</si>
  <si>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</si>
  <si>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</si>
  <si>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</si>
  <si>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</si>
  <si>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</si>
  <si>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</si>
  <si>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</si>
  <si>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</si>
  <si>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</si>
  <si>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</si>
  <si>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</si>
  <si>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</si>
  <si>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</si>
  <si>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</si>
  <si>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</si>
  <si>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</si>
  <si>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</si>
  <si>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</si>
  <si>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</si>
  <si>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</si>
  <si>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</si>
  <si>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</si>
  <si>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</si>
  <si>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</si>
  <si>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</si>
  <si>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</si>
  <si>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</si>
  <si>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</si>
  <si>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</si>
  <si>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</si>
  <si>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</si>
  <si>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</si>
  <si>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</si>
  <si>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</si>
  <si>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</si>
  <si>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</si>
  <si>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</si>
  <si>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</si>
  <si>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</si>
  <si>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</si>
  <si>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</si>
  <si>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</si>
  <si>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</si>
  <si>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</si>
  <si>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</si>
  <si>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</si>
  <si>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</si>
  <si>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</si>
  <si>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</si>
  <si>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</si>
  <si>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</si>
  <si>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</si>
  <si>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</si>
  <si>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</si>
  <si>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</si>
  <si>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</si>
  <si>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</si>
  <si>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</si>
  <si>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</si>
  <si>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</si>
  <si>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</si>
  <si>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</si>
  <si>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</si>
  <si>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</si>
  <si>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</si>
  <si>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</si>
  <si>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</si>
  <si>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</si>
  <si>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</si>
  <si>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</si>
  <si>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</si>
  <si>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</si>
  <si>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</si>
  <si>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</si>
  <si>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</si>
  <si>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</si>
  <si>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</si>
  <si>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</si>
  <si>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</si>
  <si>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</si>
  <si>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</si>
  <si>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</si>
  <si>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</si>
  <si>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</si>
  <si>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</si>
  <si>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</si>
  <si>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</si>
  <si>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</si>
  <si>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</si>
  <si>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</si>
  <si>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</si>
  <si>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</si>
  <si>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</si>
  <si>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</si>
  <si>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</si>
  <si>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</si>
  <si>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</si>
  <si>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</si>
  <si>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</si>
  <si>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</si>
  <si>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</si>
  <si>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</si>
  <si>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</si>
  <si>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</si>
  <si>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</si>
  <si>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</si>
  <si>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</si>
  <si>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</si>
  <si>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</si>
  <si>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</si>
  <si>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</si>
  <si>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</si>
  <si>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</si>
  <si>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</si>
  <si>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</si>
  <si>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</si>
  <si>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</si>
  <si>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</si>
  <si>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</si>
  <si>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</si>
  <si>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</si>
  <si>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</si>
  <si>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</si>
  <si>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</si>
  <si>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</si>
  <si>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</si>
  <si>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</si>
  <si>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</si>
  <si>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</si>
  <si>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</si>
  <si>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</si>
  <si>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</si>
  <si>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</si>
  <si>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</si>
  <si>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</si>
  <si>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</si>
  <si>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</si>
  <si>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</si>
  <si>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</si>
  <si>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</si>
  <si>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</si>
  <si>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</si>
  <si>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</si>
  <si>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</si>
  <si>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</si>
  <si>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</si>
  <si>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</si>
  <si>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</si>
  <si>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</si>
  <si>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</si>
  <si>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</si>
  <si>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</si>
  <si>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</si>
  <si>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</si>
  <si>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</si>
  <si>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</si>
  <si>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</si>
  <si>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</si>
  <si>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</si>
  <si>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</si>
  <si>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</si>
  <si>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</si>
  <si>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</si>
  <si>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</si>
  <si>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</si>
  <si>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</si>
  <si>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</si>
  <si>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</si>
  <si>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</si>
  <si>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</si>
  <si>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</si>
  <si>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</si>
  <si>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</si>
  <si>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</si>
  <si>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</si>
  <si>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</si>
  <si>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</si>
  <si>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</si>
  <si>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</si>
  <si>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</si>
  <si>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</si>
  <si>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</si>
  <si>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</si>
  <si>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</si>
  <si>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</si>
  <si>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</si>
  <si>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</si>
  <si>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</si>
  <si>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</si>
  <si>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</si>
  <si>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</si>
  <si>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</si>
  <si>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</si>
  <si>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</si>
  <si>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</si>
  <si>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</si>
  <si>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</si>
  <si>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</si>
  <si>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</si>
  <si>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</si>
  <si>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</si>
  <si>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</si>
  <si>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</si>
  <si>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</si>
  <si>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</si>
  <si>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</si>
  <si>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</si>
  <si>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</si>
  <si>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</si>
  <si>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</si>
  <si>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</si>
  <si>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</si>
  <si>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</si>
  <si>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</si>
  <si>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</si>
  <si>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</si>
  <si>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</si>
  <si>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</si>
  <si>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</si>
  <si>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</si>
  <si>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</si>
  <si>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</si>
  <si>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</si>
  <si>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</si>
  <si>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</si>
  <si>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</si>
  <si>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</si>
  <si>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</si>
  <si>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</si>
  <si>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</si>
  <si>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</si>
  <si>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</si>
  <si>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</si>
  <si>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</si>
  <si>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</si>
  <si>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</si>
  <si>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</si>
  <si>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</si>
  <si>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</si>
  <si>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</si>
  <si>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</si>
  <si>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</si>
  <si>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</si>
  <si>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</si>
  <si>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</si>
  <si>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</si>
  <si>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</si>
  <si>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</si>
  <si>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</si>
  <si>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</si>
  <si>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</si>
  <si>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</si>
  <si>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</si>
  <si>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</si>
  <si>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</si>
  <si>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</si>
  <si>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</si>
  <si>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</si>
  <si>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</si>
  <si>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</si>
  <si>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</si>
  <si>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</si>
  <si>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</si>
  <si>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</si>
  <si>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</si>
  <si>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</si>
  <si>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</si>
  <si>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</si>
  <si>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</si>
  <si>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</si>
  <si>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</si>
  <si>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</si>
  <si>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</si>
  <si>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</si>
  <si>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</si>
  <si>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</si>
  <si>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</si>
  <si>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</si>
  <si>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</si>
  <si>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</si>
  <si>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</si>
  <si>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</si>
  <si>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</si>
  <si>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</si>
  <si>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</si>
  <si>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</si>
  <si>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</si>
  <si>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</si>
  <si>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</si>
  <si>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</si>
  <si>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</si>
  <si>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</si>
  <si>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</si>
  <si>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</si>
  <si>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</si>
  <si>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</si>
  <si>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</si>
  <si>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</si>
  <si>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</si>
  <si>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</si>
  <si>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</si>
  <si>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</si>
  <si>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</si>
  <si>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</si>
  <si>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</si>
  <si>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</si>
  <si>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</si>
  <si>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</si>
  <si>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</si>
  <si>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</si>
  <si>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</si>
  <si>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</si>
  <si>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</si>
  <si>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</si>
  <si>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</si>
  <si>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</si>
  <si>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</si>
  <si>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</si>
  <si>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</si>
  <si>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</si>
  <si>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</si>
  <si>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</si>
  <si>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</si>
  <si>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</si>
  <si>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</si>
  <si>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</si>
  <si>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</si>
  <si>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</si>
  <si>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</si>
  <si>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</si>
  <si>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</si>
  <si>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</si>
  <si>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</si>
  <si>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</si>
  <si>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</si>
  <si>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</si>
  <si>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</si>
  <si>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</si>
  <si>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</si>
  <si>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</si>
  <si>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</si>
  <si>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</si>
  <si>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</si>
  <si>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</si>
  <si>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</si>
  <si>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</si>
  <si>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</si>
  <si>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</si>
  <si>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</si>
  <si>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</si>
  <si>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</si>
  <si>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</si>
  <si>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</si>
  <si>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</si>
  <si>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</si>
  <si>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</si>
  <si>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</si>
  <si>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</si>
  <si>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</si>
  <si>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</si>
  <si>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</si>
  <si>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</si>
  <si>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</si>
  <si>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</si>
  <si>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</si>
  <si>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</si>
  <si>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</si>
  <si>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</si>
  <si>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</si>
  <si>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</si>
  <si>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</si>
  <si>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</si>
  <si>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</si>
  <si>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</si>
  <si>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</si>
  <si>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</si>
  <si>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</si>
  <si>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</si>
  <si>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</si>
  <si>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</si>
  <si>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</si>
  <si>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</si>
  <si>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</si>
  <si>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</si>
  <si>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</si>
  <si>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</si>
  <si>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</si>
  <si>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</si>
  <si>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</si>
  <si>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</si>
  <si>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</si>
  <si>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</si>
  <si>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</si>
  <si>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</si>
  <si>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</si>
  <si>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</si>
  <si>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</si>
  <si>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</si>
  <si>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</si>
  <si>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</si>
  <si>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</si>
  <si>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</si>
  <si>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</si>
  <si>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</si>
  <si>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</si>
  <si>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</si>
  <si>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</si>
  <si>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</si>
  <si>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</si>
  <si>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</si>
  <si>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</si>
  <si>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</si>
  <si>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</si>
  <si>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</si>
  <si>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</si>
  <si>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</si>
  <si>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</si>
  <si>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</si>
  <si>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</si>
  <si>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</si>
  <si>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</si>
  <si>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</si>
  <si>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</si>
  <si>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</si>
  <si>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</si>
  <si>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</si>
  <si>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</si>
  <si>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</si>
  <si>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</si>
  <si>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</si>
  <si>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</si>
  <si>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</si>
  <si>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</si>
  <si>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</si>
  <si>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</si>
  <si>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</si>
  <si>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</si>
  <si>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</si>
  <si>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</si>
  <si>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</si>
  <si>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</si>
  <si>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</si>
  <si>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</si>
  <si>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</si>
  <si>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</si>
  <si>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</si>
  <si>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</si>
  <si>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</si>
  <si>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</si>
  <si>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</si>
  <si>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</si>
  <si>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</si>
  <si>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</si>
  <si>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</si>
  <si>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</si>
  <si>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</si>
  <si>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</si>
  <si>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</si>
  <si>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</si>
  <si>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</si>
  <si>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</si>
  <si>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</si>
  <si>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</si>
  <si>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</si>
  <si>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</si>
  <si>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</si>
  <si>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</si>
  <si>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</si>
  <si>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</si>
  <si>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</si>
  <si>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</si>
  <si>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</si>
  <si>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</si>
  <si>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</si>
  <si>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</si>
  <si>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</si>
  <si>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</si>
  <si>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</si>
  <si>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</si>
  <si>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</si>
  <si>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</si>
  <si>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</si>
  <si>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</si>
  <si>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</si>
  <si>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</si>
  <si>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</si>
  <si>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</si>
  <si>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</si>
  <si>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</si>
  <si>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</si>
  <si>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</si>
  <si>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</si>
  <si>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</si>
  <si>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</si>
  <si>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</si>
  <si>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</si>
  <si>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</si>
  <si>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</si>
  <si>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</si>
  <si>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</si>
  <si>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</si>
  <si>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</si>
  <si>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</si>
  <si>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</si>
  <si>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</si>
  <si>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</si>
  <si>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</si>
  <si>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</si>
  <si>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</si>
  <si>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</si>
  <si>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</si>
  <si>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</si>
  <si>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</si>
  <si>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</si>
  <si>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</si>
  <si>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</si>
  <si>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</si>
  <si>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</si>
  <si>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</si>
  <si>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</si>
  <si>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</si>
  <si>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</si>
  <si>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</si>
  <si>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</si>
  <si>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</si>
  <si>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</si>
  <si>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</si>
  <si>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</si>
  <si>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</si>
  <si>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</si>
  <si>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</si>
  <si>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</si>
  <si>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</si>
  <si>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</si>
  <si>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</si>
  <si>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</si>
  <si>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</si>
  <si>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</si>
  <si>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</si>
  <si>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</si>
  <si>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</si>
  <si>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</si>
  <si>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</si>
  <si>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</si>
  <si>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</si>
  <si>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</si>
  <si>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</si>
  <si>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</si>
  <si>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</si>
  <si>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</si>
  <si>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</si>
  <si>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</si>
  <si>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</si>
  <si>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</si>
  <si>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</si>
  <si>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</si>
  <si>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</si>
  <si>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</si>
  <si>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</si>
  <si>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</si>
  <si>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</si>
  <si>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</si>
  <si>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</si>
  <si>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</si>
  <si>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</si>
  <si>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</si>
  <si>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</si>
  <si>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</si>
  <si>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</si>
  <si>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</si>
  <si>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</si>
  <si>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</si>
  <si>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</si>
  <si>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</si>
  <si>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</si>
  <si>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</si>
  <si>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</si>
  <si>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</si>
  <si>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</si>
  <si>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</si>
  <si>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</si>
  <si>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</si>
  <si>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</si>
  <si>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</si>
  <si>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</si>
  <si>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</si>
  <si>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</si>
  <si>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</si>
  <si>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</si>
  <si>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</si>
  <si>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</si>
  <si>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</si>
  <si>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</si>
  <si>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</si>
  <si>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</si>
  <si>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</si>
  <si>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</si>
  <si>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</si>
  <si>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</si>
  <si>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</si>
  <si>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</si>
  <si>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</si>
  <si>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</si>
  <si>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</si>
  <si>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</si>
  <si>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</si>
  <si>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</si>
  <si>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</si>
  <si>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</si>
  <si>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</si>
  <si>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</si>
  <si>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</si>
  <si>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</si>
  <si>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</si>
  <si>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</si>
  <si>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</si>
  <si>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</si>
  <si>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</si>
  <si>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</si>
  <si>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</si>
  <si>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</si>
  <si>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</si>
  <si>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</si>
  <si>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</si>
  <si>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</si>
  <si>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</si>
  <si>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</si>
  <si>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</si>
  <si>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</si>
  <si>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</si>
  <si>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</si>
  <si>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</si>
  <si>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</si>
  <si>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</si>
  <si>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</si>
  <si>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</si>
  <si>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</si>
  <si>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</si>
  <si>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</si>
  <si>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</si>
  <si>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</si>
  <si>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</si>
  <si>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</si>
  <si>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</si>
  <si>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</si>
  <si>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</si>
  <si>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</si>
  <si>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</si>
  <si>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</si>
  <si>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</si>
  <si>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</si>
  <si>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</si>
  <si>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</si>
  <si>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</si>
  <si>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</si>
  <si>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</si>
  <si>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</si>
  <si>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</si>
  <si>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</si>
  <si>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</si>
  <si>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</si>
  <si>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</si>
  <si>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</si>
  <si>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</si>
  <si>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</si>
  <si>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</si>
  <si>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</si>
  <si>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</si>
  <si>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</si>
  <si>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</si>
  <si>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</si>
  <si>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</si>
  <si>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</si>
  <si>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</si>
  <si>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</si>
  <si>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</si>
  <si>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</si>
  <si>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</si>
  <si>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</si>
  <si>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</si>
  <si>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</si>
  <si>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</si>
  <si>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</si>
  <si>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</si>
  <si>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</si>
  <si>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</si>
  <si>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</si>
  <si>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</si>
  <si>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</si>
  <si>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</si>
  <si>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</si>
  <si>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</si>
  <si>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</si>
  <si>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</si>
  <si>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</si>
  <si>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</si>
  <si>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</si>
  <si>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</si>
  <si>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</si>
  <si>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</si>
  <si>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</si>
  <si>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</si>
  <si>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</si>
  <si>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</si>
  <si>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</si>
  <si>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</si>
  <si>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</si>
  <si>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</si>
  <si>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</si>
  <si>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</si>
  <si>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</si>
  <si>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</si>
  <si>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</si>
  <si>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</si>
  <si>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</si>
  <si>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</si>
  <si>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</si>
  <si>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</si>
  <si>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</si>
  <si>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</si>
  <si>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</si>
  <si>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</si>
  <si>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</si>
  <si>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</si>
  <si>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</si>
  <si>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</si>
  <si>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</si>
  <si>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</si>
  <si>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</si>
  <si>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</si>
  <si>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</si>
  <si>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房地产抵押价值</t>
  </si>
  <si>
    <t>自定义容积率</t>
  </si>
  <si>
    <t>不临65条商业街</t>
  </si>
  <si>
    <t>与级别开发程度一致</t>
  </si>
  <si>
    <t>否</t>
  </si>
  <si>
    <t>抵押</t>
  </si>
  <si>
    <t>商业</t>
    <phoneticPr fontId="3" type="noConversion"/>
  </si>
  <si>
    <t>是</t>
  </si>
  <si>
    <t>地下</t>
  </si>
  <si>
    <t>成新度</t>
  </si>
  <si>
    <t>合同租金</t>
    <phoneticPr fontId="134" type="noConversion"/>
  </si>
  <si>
    <t>免租</t>
    <phoneticPr fontId="134" type="noConversion"/>
  </si>
  <si>
    <t>时点</t>
    <phoneticPr fontId="134" type="noConversion"/>
  </si>
  <si>
    <t>租期</t>
    <phoneticPr fontId="134" type="noConversion"/>
  </si>
  <si>
    <t>租赁面积</t>
    <phoneticPr fontId="134" type="noConversion"/>
  </si>
  <si>
    <t>租期/天</t>
    <phoneticPr fontId="134" type="noConversion"/>
  </si>
  <si>
    <t>租金</t>
    <phoneticPr fontId="134" type="noConversion"/>
  </si>
  <si>
    <r>
      <t>1</t>
    </r>
    <r>
      <rPr>
        <sz val="11"/>
        <color theme="1"/>
        <rFont val="宋体"/>
        <family val="3"/>
        <charset val="134"/>
        <scheme val="minor"/>
      </rPr>
      <t>0年租期，无增长</t>
    </r>
    <phoneticPr fontId="134" type="noConversion"/>
  </si>
  <si>
    <t>日租金</t>
    <phoneticPr fontId="134" type="noConversion"/>
  </si>
  <si>
    <t>剩余租期</t>
    <phoneticPr fontId="134" type="noConversion"/>
  </si>
  <si>
    <t>增长率</t>
    <phoneticPr fontId="134" type="noConversion"/>
  </si>
  <si>
    <t>现正常租金</t>
    <phoneticPr fontId="134" type="noConversion"/>
  </si>
  <si>
    <t>租约结束后租金</t>
    <phoneticPr fontId="134" type="noConversion"/>
  </si>
  <si>
    <t>面积</t>
    <phoneticPr fontId="134" type="noConversion"/>
  </si>
  <si>
    <t>年租金/万元</t>
    <phoneticPr fontId="134" type="noConversion"/>
  </si>
  <si>
    <t>日租金</t>
    <phoneticPr fontId="134" type="noConversion"/>
  </si>
  <si>
    <t>基准地价</t>
    <phoneticPr fontId="134" type="noConversion"/>
  </si>
  <si>
    <t>比例</t>
    <phoneticPr fontId="134" type="noConversion"/>
  </si>
  <si>
    <t>面积修正比例</t>
    <phoneticPr fontId="134" type="noConversion"/>
  </si>
  <si>
    <t>1层麦田商业租金</t>
    <phoneticPr fontId="134" type="noConversion"/>
  </si>
  <si>
    <t>一层</t>
    <phoneticPr fontId="134" type="noConversion"/>
  </si>
  <si>
    <t>地下一层</t>
    <phoneticPr fontId="134" type="noConversion"/>
  </si>
  <si>
    <t>地下二层</t>
    <phoneticPr fontId="134" type="noConversion"/>
  </si>
  <si>
    <t>收益法</t>
  </si>
  <si>
    <t>押三</t>
  </si>
  <si>
    <t>钢混</t>
  </si>
  <si>
    <t>非生产用房</t>
  </si>
  <si>
    <t>利息：取LPR加浮动点数</t>
  </si>
  <si>
    <t>楼层修正</t>
  </si>
  <si>
    <t>较差</t>
  </si>
  <si>
    <t>一般</t>
  </si>
  <si>
    <t>较好</t>
  </si>
  <si>
    <t>未包含在土地购买价格中</t>
  </si>
  <si>
    <t>已包含在土地取得成本中</t>
  </si>
  <si>
    <t>成本法 (元)</t>
  </si>
  <si>
    <t>收益法 (元)</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</si>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</sst>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0" borderId="1" xfId="0" applyFont="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18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3" fontId="47" fillId="16" borderId="1" xfId="0" applyNumberFormat="1" applyFont="1" applyFill="1" applyBorder="1" applyAlignment="1" applyProtection="1">
      <alignment horizontal="center" vertical="center" shrinkToFit="1"/>
      <protection locked="0"/>
    </xf>
    <xf numFmtId="9" fontId="47" fillId="16" borderId="5" xfId="0" applyNumberFormat="1" applyFont="1" applyFill="1" applyBorder="1" applyAlignment="1" applyProtection="1">
      <alignment horizontal="center" vertical="center"/>
      <protection locked="0"/>
    </xf>
    <xf numFmtId="177" fontId="47" fillId="16"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022-1-0642%20&#21271;&#20140;&#24066;&#28023;&#28096;&#21306;&#22914;&#32536;&#23621;&#21271;&#37324;16&#21495;&#27004;-1&#23618;-101&#12289;-2&#23618;-201&#20004;&#22871;&#21830;&#19994;&#29992;&#25151;&#25151;&#22320;&#20135;&#25269;&#25276;&#20215;&#20540;&#35780;&#20272;/F02/&#26368;&#32456;/&#27979;&#31639;&#34920;-&#28023;&#28096;&#22914;&#32536;&#21271;&#37324;16&#21495;&#27004;&#22320;&#19979;&#21830;&#19994;-&#38889;&#20339;&#30591;-&#20108;&#23457;-&#23828;&#38196;20221020-1453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约情况"/>
    </sheetNames>
    <sheetDataSet>
      <sheetData sheetId="0"/>
      <sheetData sheetId="1"/>
      <sheetData sheetId="2"/>
      <sheetData sheetId="3"/>
      <sheetData sheetId="4"/>
      <sheetData sheetId="5"/>
      <sheetData sheetId="6"/>
      <sheetData sheetId="7"/>
      <sheetData sheetId="8"/>
      <sheetData sheetId="9">
        <row r="12">
          <cell r="C12">
            <v>2158.2799999999997</v>
          </cell>
        </row>
      </sheetData>
      <sheetData sheetId="10"/>
      <sheetData sheetId="11">
        <row r="38">
          <cell r="B38">
            <v>2.5000000000000001E-2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估价对象为房地产，为所有。根据《国有土地使用证》[]，估价对象（分摊）出让国有建设用地使用权面积为0平方米，建筑面积为2158.28平方米。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估价对象为房地产,属开发建设的，该项目尚在开发建设中。根据《国有土地使用证》[]，估价对象（分摊）出让国有建设用地使用权面积为0平方米，规划建筑面积为2158.28平方米。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2023年1月11日</v>
      </c>
    </row>
    <row r="13" spans="1:2" s="1203" customFormat="1">
      <c r="A13" s="1201" t="s">
        <v>529</v>
      </c>
      <c r="B13" s="1202"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2158.2799999999997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2580</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2581</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8" t="s">
        <v>2596</v>
      </c>
      <c r="J1" s="3227"/>
      <c r="K1" s="3227"/>
      <c r="L1" s="3227"/>
      <c r="M1" s="3227"/>
      <c r="N1" s="3439"/>
      <c r="O1" s="3439"/>
      <c r="P1" s="3439"/>
      <c r="Q1" s="3439"/>
      <c r="R1" s="3439"/>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44937</v>
      </c>
      <c r="C3" s="3023"/>
      <c r="D3" s="3023"/>
      <c r="E3" s="3023"/>
      <c r="F3" s="3019"/>
      <c r="I3" s="3440"/>
      <c r="J3" s="3440" t="s">
        <v>2587</v>
      </c>
      <c r="K3" s="3440" t="s">
        <v>2588</v>
      </c>
      <c r="L3" s="3440" t="s">
        <v>2589</v>
      </c>
      <c r="M3" s="3440" t="s">
        <v>2590</v>
      </c>
      <c r="N3" s="3441" t="s">
        <v>2591</v>
      </c>
      <c r="O3" s="3441" t="s">
        <v>2592</v>
      </c>
      <c r="P3" s="3441" t="s">
        <v>2593</v>
      </c>
      <c r="Q3" s="3441" t="s">
        <v>2594</v>
      </c>
      <c r="R3" s="3441" t="s">
        <v>2595</v>
      </c>
    </row>
    <row r="4" spans="1:18">
      <c r="A4" s="3020" t="s">
        <v>2505</v>
      </c>
      <c r="B4" s="3023" t="s">
        <v>2506</v>
      </c>
      <c r="C4" s="3023" t="s">
        <v>2507</v>
      </c>
      <c r="D4" s="3023" t="s">
        <v>2508</v>
      </c>
      <c r="E4" s="3023" t="s">
        <v>2509</v>
      </c>
      <c r="F4" s="3019"/>
      <c r="I4" s="3440" t="s">
        <v>2584</v>
      </c>
      <c r="J4" s="3440">
        <v>80</v>
      </c>
      <c r="K4" s="3440">
        <v>70</v>
      </c>
      <c r="L4" s="3440">
        <v>20</v>
      </c>
      <c r="M4" s="3440">
        <v>30</v>
      </c>
      <c r="N4" s="3023">
        <v>45</v>
      </c>
      <c r="O4" s="3023">
        <v>60</v>
      </c>
      <c r="P4" s="3023">
        <v>50</v>
      </c>
      <c r="Q4" s="3023">
        <v>20</v>
      </c>
      <c r="R4" s="3023">
        <v>375</v>
      </c>
    </row>
    <row r="5" spans="1:18">
      <c r="A5" s="3024">
        <v>40</v>
      </c>
      <c r="B5" s="3021">
        <v>46375</v>
      </c>
      <c r="C5" s="3023">
        <f>ROUNDDOWN(MIN((B5-B3)/365,A5),2)</f>
        <v>3.93</v>
      </c>
      <c r="D5" s="3025">
        <f>IF(ISERROR(ROUND(POWER(1+E5,A5-C5)*(POWER(1+E5,C5)-1)/(POWER(1+E5,A5)-1),3)),0,ROUND(POWER(1+E5,A5-C5)*(POWER(1+E5,C5)-1)/(POWER(1+E5,A5)-1),4))</f>
        <v>0.1804</v>
      </c>
      <c r="E5" s="3026">
        <v>0.04</v>
      </c>
      <c r="F5" s="3019"/>
      <c r="I5" s="3440" t="s">
        <v>2585</v>
      </c>
      <c r="J5" s="3440">
        <v>70</v>
      </c>
      <c r="K5" s="3440">
        <v>60</v>
      </c>
      <c r="L5" s="3440">
        <v>15</v>
      </c>
      <c r="M5" s="3440">
        <v>25</v>
      </c>
      <c r="N5" s="3023">
        <v>40</v>
      </c>
      <c r="O5" s="3023">
        <v>50</v>
      </c>
      <c r="P5" s="3023">
        <v>40</v>
      </c>
      <c r="Q5" s="3023">
        <v>15</v>
      </c>
      <c r="R5" s="3023">
        <v>315</v>
      </c>
    </row>
    <row r="6" spans="1:18">
      <c r="A6" s="3024">
        <v>50</v>
      </c>
      <c r="B6" s="3021">
        <v>50028</v>
      </c>
      <c r="C6" s="3023">
        <f>ROUNDDOWN(MIN((B6-B3)/365,A6),2)</f>
        <v>13.94</v>
      </c>
      <c r="D6" s="3025">
        <f>IF(ISERROR(ROUND(POWER(1+E6,A6-C6)*(POWER(1+E6,C6)-1)/(POWER(1+E6,A6)-1),3)),0,ROUND(POWER(1+E6,A6-C6)*(POWER(1+E6,C6)-1)/(POWER(1+E6,A6)-1),4))</f>
        <v>0.49009999999999998</v>
      </c>
      <c r="E6" s="3026">
        <v>0.04</v>
      </c>
      <c r="F6" s="3019"/>
      <c r="I6" s="3440" t="s">
        <v>2586</v>
      </c>
      <c r="J6" s="3440">
        <v>60</v>
      </c>
      <c r="K6" s="3440">
        <v>50</v>
      </c>
      <c r="L6" s="3440">
        <v>10</v>
      </c>
      <c r="M6" s="3440">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4" sqref="M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8" t="s">
        <v>2177</v>
      </c>
      <c r="E8" s="2391" t="s">
        <v>3374</v>
      </c>
      <c r="F8" s="2392"/>
      <c r="G8" s="2663"/>
      <c r="H8" s="2663"/>
      <c r="I8" s="2663"/>
      <c r="J8" s="2439"/>
      <c r="K8" s="2614"/>
      <c r="L8" s="2613"/>
      <c r="M8" s="2613"/>
      <c r="N8" s="2439"/>
      <c r="O8" s="2450"/>
      <c r="P8" s="2439"/>
      <c r="Q8" s="2439"/>
      <c r="R8" s="2439"/>
    </row>
    <row r="9" spans="1:30" ht="13.5" thickBot="1">
      <c r="A9" s="2393" t="s">
        <v>2178</v>
      </c>
      <c r="B9" s="2394"/>
      <c r="C9" s="2395"/>
      <c r="D9" s="3499"/>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4" t="s">
        <v>3341</v>
      </c>
      <c r="B13" s="2407" t="s">
        <v>2190</v>
      </c>
      <c r="C13" s="856"/>
      <c r="D13" s="3792">
        <v>55889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2158.2799999999997</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3378</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165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2158.2799999999997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2158.2799999999997</v>
      </c>
      <c r="H5" s="13">
        <f t="shared" ref="H5:AT5" si="0">SUM(H13:H656)</f>
        <v>2158.2799999999997</v>
      </c>
      <c r="I5" s="13">
        <f t="shared" si="0"/>
        <v>2158.2799999999997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2158.2799999999997</v>
      </c>
      <c r="BA5" s="15">
        <f t="shared" si="1"/>
        <v>2158.2799999999997</v>
      </c>
      <c r="BB5" s="15">
        <f t="shared" si="1"/>
        <v>2158.2799999999997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3380</v>
      </c>
      <c r="D13" s="1625" t="s">
        <v>3381</v>
      </c>
      <c r="E13" s="13">
        <f>IF($C$3="是",ROUND($A$3*G13/$B$3,2),ROUND($A$3*(G13-AT13)/$B$3,2))</f>
        <v>0</v>
      </c>
      <c r="F13" s="29"/>
      <c r="G13" s="30">
        <f>H13+AC13+AT13</f>
        <v>2158.2799999999997</v>
      </c>
      <c r="H13" s="17">
        <f>SUMIF(I$12:AB$12,"总值",I13:AB13)</f>
        <v>2158.2799999999997</v>
      </c>
      <c r="I13" s="1626">
        <f>742.29+1415.99</f>
        <v>2158.2799999999997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2158.2799999999997</v>
      </c>
      <c r="BA13" s="13">
        <f>SUM(BB13:BK13)</f>
        <v>2158.2799999999997</v>
      </c>
      <c r="BB13" s="13">
        <f>IF($D13="是",I13-J13,0)</f>
        <v>2158.2799999999997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6" sqref="E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2158.2799999999997</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2158.2799999999997</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2158.2799999999997</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2158.2799999999997</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tr">
        <f>'数据-基础表'!C13</f>
        <v>商业</v>
      </c>
      <c r="D19" s="45">
        <f>ROUND($D$3*E19/$E$3,2)</f>
        <v>0</v>
      </c>
      <c r="E19" s="53">
        <f t="shared" ref="E19:E26" si="1">SUM(F19:G19)</f>
        <v>2158.2799999999997</v>
      </c>
      <c r="F19" s="2795"/>
      <c r="G19" s="2796">
        <f>'数据-基础表'!I13</f>
        <v>2158.2799999999997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2158.2799999999997</v>
      </c>
    </row>
    <row r="20" spans="1:19">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2158.2799999999997</v>
      </c>
      <c r="F27" s="1140">
        <f>IF(SUM(F19:F26)=E8,SUM(F19:F26),"地上面积有误")</f>
        <v>0</v>
      </c>
      <c r="G27" s="1142">
        <f>SUM(G19:G26)</f>
        <v>2158.2799999999997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2158.2799999999997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2158.2799999999997</v>
      </c>
      <c r="F31" s="677">
        <f>F27+F30</f>
        <v>0</v>
      </c>
      <c r="G31" s="678">
        <f>G27+G30</f>
        <v>2158.2799999999997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55889</v>
      </c>
      <c r="F6" s="64">
        <f>SUMIF(项目基本情况!C$12:I$12,C6,项目基本情况!C$15:I$15)</f>
        <v>30</v>
      </c>
      <c r="G6" s="65">
        <f>IF(ISERROR(ROUND(POWER(1+H6,D6-F6)*(POWER(1+H6,F6)-1)/(POWER(1+H6,D6)-1),3)),0,ROUND(POWER(1+H6,D6-F6)*(POWER(1+H6,F6)-1)/(POWER(1+H6,D6)-1),3))</f>
        <v>0.89600000000000002</v>
      </c>
      <c r="H6" s="732">
        <v>0.05</v>
      </c>
      <c r="I6" s="732">
        <v>5.5E-2</v>
      </c>
      <c r="J6" s="66">
        <v>7.4999999999999997E-2</v>
      </c>
      <c r="K6" s="1030">
        <f>SUMIF('数据-汇总表'!C$19:C$33,A6,'数据-汇总表'!E$19:E$33)</f>
        <v>2158.2799999999997</v>
      </c>
      <c r="L6" s="3794">
        <v>4600</v>
      </c>
      <c r="M6" s="67">
        <f t="shared" ref="M6:M14" si="0">ROUND(K6*L6/10000,0)</f>
        <v>993</v>
      </c>
      <c r="N6" s="731">
        <f>ROUND(1-(2023-'收益法 (元)'!J49)/60,2)</f>
        <v>0.87</v>
      </c>
      <c r="O6" s="67" t="str">
        <f>IF($N$5="成新度","——",ROUND(M6*N6,0))</f>
        <v>——</v>
      </c>
      <c r="P6" s="68" t="str">
        <f>IF($N$5="成新度","——",M6-O6)</f>
        <v>——</v>
      </c>
      <c r="Q6" s="3793">
        <v>0.16</v>
      </c>
      <c r="R6" s="69">
        <f ca="1">SUMIF('数据-汇总表'!C$19:C$33,A6,'数据-汇总表'!R$19:R$27)</f>
        <v>0</v>
      </c>
      <c r="S6" s="51">
        <f>IF('数据-汇总表'!$I$17="按面积比例",SUMIF('数据-汇总表'!C$19:C$33,A6,'数据-汇总表'!K$19:K$33),SUMIF('数据-汇总表'!C$19:C$33,A6,'数据-汇总表'!N$19:N$33))</f>
        <v>0</v>
      </c>
      <c r="T6" s="1172">
        <f>ROUND($L$14*S6/10000,0)</f>
        <v>0</v>
      </c>
      <c r="U6" s="3429">
        <f>Sheet1!B9</f>
        <v>0.98</v>
      </c>
      <c r="V6" s="70">
        <v>0</v>
      </c>
      <c r="W6" s="70">
        <v>0</v>
      </c>
      <c r="X6" s="1040"/>
      <c r="Y6" s="71">
        <f>N6</f>
        <v>0.87</v>
      </c>
      <c r="Z6" s="72">
        <f>Sheet1!B13</f>
        <v>3.12</v>
      </c>
      <c r="AA6" s="66">
        <f>Sheet1!B11</f>
        <v>2.5000000000000001E-2</v>
      </c>
      <c r="AB6" s="66">
        <v>0.1</v>
      </c>
      <c r="AC6" s="1040"/>
      <c r="AD6" s="73">
        <f>ROUND(1-(2032-'收益法 (元)'!J49)/60,2)</f>
        <v>0.72</v>
      </c>
      <c r="AE6" s="1041">
        <f ca="1">IF(AN6="",0,SUMIF(INDIRECT("'"&amp;AN6&amp;"'"&amp;"!E:E"),$AE$5,INDIRECT("'"&amp;AN6&amp;"'"&amp;"!F:F")))</f>
        <v>30</v>
      </c>
      <c r="AF6" s="1348">
        <f>Sheet1!B10</f>
        <v>8.98</v>
      </c>
      <c r="AG6" s="138">
        <f ca="1">IF(AF6="",0,AE6-AF6)</f>
        <v>21.02</v>
      </c>
      <c r="AH6" s="74"/>
      <c r="AI6" s="76">
        <v>365</v>
      </c>
      <c r="AJ6" s="77"/>
      <c r="AK6" s="78">
        <v>5.0000000000000001E-3</v>
      </c>
      <c r="AL6" s="79">
        <v>1E-3</v>
      </c>
      <c r="AM6" s="80">
        <v>0.01</v>
      </c>
      <c r="AN6" s="1715" t="s">
        <v>3407</v>
      </c>
      <c r="AO6" s="52">
        <f ca="1">SUMIF(INDIRECT("'"&amp;AN6&amp;"'"&amp;"!A:A"),"总价",INDIRECT("'"&amp;AN6&amp;"'"&amp;"!B:B"))</f>
        <v>2080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hidden="1">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0.05</v>
      </c>
      <c r="I16" s="91"/>
      <c r="J16" s="91"/>
      <c r="K16" s="92">
        <f>SUM(K6:K15)</f>
        <v>2158.2799999999997</v>
      </c>
      <c r="L16" s="93">
        <f>ROUND(M16*10000/SUM(K6:K14),0)</f>
        <v>4601</v>
      </c>
      <c r="M16" s="93">
        <f>SUM(M6:M14)</f>
        <v>993</v>
      </c>
      <c r="N16" s="94">
        <f>ROUND(SUMPRODUCT(M6:M14,N6:N14)/M16,3)</f>
        <v>0.87</v>
      </c>
      <c r="O16" s="93">
        <f>SUM(O6:O14)</f>
        <v>0</v>
      </c>
      <c r="P16" s="93">
        <f>SUM(P6:P14)</f>
        <v>0</v>
      </c>
      <c r="Q16" s="95">
        <f>ROUND(SUMPRODUCT(Q6:Q13,K6:K13)/SUMPRODUCT((Q6:Q13&gt;0)*(K6:K13)),2)</f>
        <v>0.16</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28" sqref="G2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2158.2799999999997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2527</v>
      </c>
      <c r="C5" s="2512">
        <f ca="1">IF(B5=D14,结果表!H102,ROUND(B5*10000/$B$1,0))</f>
        <v>0</v>
      </c>
      <c r="D5" s="2512" t="e">
        <f ca="1">ROUND(B5*10000/$B$2,0)</f>
        <v>#DIV/0!</v>
      </c>
      <c r="E5" s="2686"/>
      <c r="F5" s="2687"/>
      <c r="G5" s="2687"/>
      <c r="H5" s="2688"/>
      <c r="I5" s="2688"/>
      <c r="J5" s="2688"/>
      <c r="K5" s="2688"/>
    </row>
    <row r="6" spans="1:11" ht="16.5">
      <c r="A6" s="2512" t="s">
        <v>656</v>
      </c>
      <c r="B6" s="2512">
        <f ca="1">SUM(G14:G23)</f>
        <v>2527</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3366</v>
      </c>
      <c r="D10" s="2512" t="s">
        <v>3367</v>
      </c>
      <c r="E10" s="3442"/>
      <c r="F10" s="3446" t="s">
        <v>3368</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'数据-汇总表'!E19</f>
        <v>2158.2799999999997</v>
      </c>
      <c r="C14" s="2518"/>
      <c r="D14" s="2518">
        <f ca="1">结果表!G19</f>
        <v>2527</v>
      </c>
      <c r="E14" s="2518">
        <f ca="1">ROUND(D14*10000/B14,0)</f>
        <v>11708</v>
      </c>
      <c r="F14" s="2518" t="e">
        <f ca="1">ROUND(D14*10000/C14,0)</f>
        <v>#DIV/0!</v>
      </c>
      <c r="G14" s="2518">
        <f ca="1">结果表!G19</f>
        <v>2527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3420</v>
      </c>
      <c r="H1" s="1750" t="str">
        <f>IF(G1="现房","——","估价对象范围")</f>
        <v>——</v>
      </c>
      <c r="I1" s="1751" t="s">
        <v>3421</v>
      </c>
    </row>
    <row r="2" spans="1:12" ht="21.75" customHeight="1" thickBot="1">
      <c r="A2" s="3609" t="str">
        <f>项目基本情况!S2</f>
        <v>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3418</v>
      </c>
      <c r="D4" s="1756" t="s">
        <v>3419</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6</v>
      </c>
      <c r="D14" s="3603">
        <v>4</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4" t="s">
        <v>2131</v>
      </c>
      <c r="F18" s="3635"/>
      <c r="G18" s="3635"/>
      <c r="H18" s="3635"/>
      <c r="I18" s="3635"/>
      <c r="K18" s="302" t="s">
        <v>1289</v>
      </c>
      <c r="L18" s="302">
        <f>IF(C1="",'数据-汇总表'!E3,SUMIF(项目类型,C1,'数据-汇总表'!E17:E26)+SUMIF(项目类型,C1,'数据-汇总表'!I17:I26))</f>
        <v>2158.2799999999997</v>
      </c>
      <c r="M18" s="302">
        <f>IF(C1="",'数据-汇总表'!E3,SUMIF(项目类型,C1,'数据-汇总表'!E17:E26))</f>
        <v>2158.2799999999997</v>
      </c>
    </row>
    <row r="19" spans="1:36" ht="15">
      <c r="A19" s="1761" t="s">
        <v>1290</v>
      </c>
      <c r="B19" s="1762" t="s">
        <v>1291</v>
      </c>
      <c r="C19" s="134">
        <f ca="1">SUMIF(INDIRECT("'"&amp;C4&amp;"'"&amp;"!A:A"),结果表!B19,INDIRECT("'"&amp;C4&amp;"'"&amp;"!B:B"))</f>
        <v>2822.9549999999999</v>
      </c>
      <c r="D19" s="135">
        <f ca="1">SUMIF(INDIRECT("'"&amp;D4&amp;"'"&amp;"!A:A"),结果表!B19,INDIRECT("'"&amp;D4&amp;"'"&amp;"!B:B"))</f>
        <v>2082.2645000000002</v>
      </c>
      <c r="E19" s="1761" t="s">
        <v>1292</v>
      </c>
      <c r="F19" s="1762" t="s">
        <v>1291</v>
      </c>
      <c r="G19" s="136">
        <f ca="1">ROUND(C19*$C$18+D19*$D$18,0)</f>
        <v>2527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13080</v>
      </c>
      <c r="D20" s="138">
        <f ca="1">SUMIF(INDIRECT("'"&amp;D4&amp;"'"&amp;"!A:A"),结果表!B20,INDIRECT("'"&amp;D4&amp;"'"&amp;"!B:B"))</f>
        <v>9648</v>
      </c>
      <c r="E20" s="1764"/>
      <c r="F20" s="1026" t="s">
        <v>1295</v>
      </c>
      <c r="G20" s="139">
        <f ca="1">ROUND(C20*$C$18+D20*$D$18,0)</f>
        <v>11707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0.35571393547745722</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f ca="1">2529-G19</f>
        <v>2</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11707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t="e">
        <f ca="1">ROUND(H101*F45,0)</f>
        <v>#REF!</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44937</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5" t="s">
        <v>1340</v>
      </c>
      <c r="L48" s="3545"/>
      <c r="M48" s="3548" t="e">
        <f ca="1">H101</f>
        <v>#REF!</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t="str">
        <f ca="1">IF(项目基本情况!E8="房地产抵押价值",H107,H109)</f>
        <v>——</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t="e">
        <f ca="1">ROUND(D45*'数据-取费表'!B41/(1+'数据-取费表'!C42),0)</f>
        <v>#REF!</v>
      </c>
      <c r="E52" s="2334" t="s">
        <v>1354</v>
      </c>
      <c r="F52" s="2554">
        <f>'数据-取费表'!B41</f>
        <v>5.6000000000000001E-2</v>
      </c>
      <c r="G52" s="2555"/>
      <c r="H52" s="2544"/>
      <c r="I52" s="1807"/>
      <c r="J52" s="2523">
        <v>1</v>
      </c>
      <c r="K52" s="3570" t="s">
        <v>1355</v>
      </c>
      <c r="L52" s="3570"/>
      <c r="M52" s="2525" t="b">
        <f>D48</f>
        <v>0</v>
      </c>
      <c r="N52" s="2523" t="str">
        <f>E48</f>
        <v>销售额×税（费）率</v>
      </c>
      <c r="O52" s="2526">
        <f>F48</f>
        <v>5.6000000000000001E-2</v>
      </c>
    </row>
    <row r="53" spans="1:35" ht="12" customHeight="1">
      <c r="A53" s="2335" t="s">
        <v>1356</v>
      </c>
      <c r="B53" s="3594" t="s">
        <v>2291</v>
      </c>
      <c r="C53" s="3595"/>
      <c r="D53" s="1087" t="e">
        <f ca="1">ROUND(D45*'数据-取费表'!B41/(1+'数据-取费表'!C42),0)</f>
        <v>#REF!</v>
      </c>
      <c r="E53" s="2334" t="s">
        <v>1354</v>
      </c>
      <c r="F53" s="2554">
        <f>'数据-取费表'!B41</f>
        <v>5.6000000000000001E-2</v>
      </c>
      <c r="G53" s="2555"/>
      <c r="H53" s="2544"/>
      <c r="I53" s="1807"/>
      <c r="J53" s="2523">
        <v>2</v>
      </c>
      <c r="K53" s="3570" t="s">
        <v>1357</v>
      </c>
      <c r="L53" s="3570"/>
      <c r="M53" s="2525" t="e">
        <f t="shared" ref="M53:O54" ca="1" si="0">D55</f>
        <v>#REF!</v>
      </c>
      <c r="N53" s="2523" t="str">
        <f t="shared" si="0"/>
        <v>销售额×税（费）率</v>
      </c>
      <c r="O53" s="2526" t="str">
        <f t="shared" si="0"/>
        <v>免征</v>
      </c>
    </row>
    <row r="54" spans="1:35" ht="12" customHeight="1">
      <c r="A54" s="2335" t="s">
        <v>1358</v>
      </c>
      <c r="B54" s="3594" t="s">
        <v>2292</v>
      </c>
      <c r="C54" s="3595"/>
      <c r="D54" s="1087" t="e">
        <f ca="1">C68</f>
        <v>#REF!</v>
      </c>
      <c r="E54" s="327" t="s">
        <v>1359</v>
      </c>
      <c r="F54" s="2554">
        <f>'数据-取费表'!B41</f>
        <v>5.6000000000000001E-2</v>
      </c>
      <c r="G54" s="2555"/>
      <c r="H54" s="2556"/>
      <c r="I54" s="1807"/>
      <c r="J54" s="2523">
        <v>3</v>
      </c>
      <c r="K54" s="3570" t="s">
        <v>1360</v>
      </c>
      <c r="L54" s="3570"/>
      <c r="M54" s="2525" t="e">
        <f t="shared" ca="1" si="0"/>
        <v>#REF!</v>
      </c>
      <c r="N54" s="2523" t="str">
        <f t="shared" si="0"/>
        <v>增值额×税（费）率</v>
      </c>
      <c r="O54" s="2527" t="str">
        <f t="shared" si="0"/>
        <v>免征</v>
      </c>
    </row>
    <row r="55" spans="1:35" ht="24" customHeight="1">
      <c r="A55" s="3630" t="s">
        <v>1361</v>
      </c>
      <c r="B55" s="3608"/>
      <c r="C55" s="3608"/>
      <c r="D55" s="2324" t="e">
        <f ca="1">IF(H55="个人住宅",0,ROUND(D45*I55,0))</f>
        <v>#REF!</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t="e">
        <f ca="1">D59</f>
        <v>#REF!</v>
      </c>
      <c r="N55" s="2040" t="str">
        <f>E59</f>
        <v>差额计税</v>
      </c>
      <c r="O55" s="2529">
        <f>F59</f>
        <v>0.01</v>
      </c>
    </row>
    <row r="56" spans="1:35" ht="24.75">
      <c r="A56" s="3630" t="s">
        <v>1363</v>
      </c>
      <c r="B56" s="3608"/>
      <c r="C56" s="3608"/>
      <c r="D56" s="2324" t="e">
        <f ca="1">IF(H56="个人住宅",D57,D58)</f>
        <v>#REF!</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0</v>
      </c>
      <c r="O57" s="2533"/>
      <c r="P57" s="2690" t="e">
        <f ca="1">N57/M49</f>
        <v>#VALUE!</v>
      </c>
    </row>
    <row r="58" spans="1:35" ht="24.75">
      <c r="A58" s="2335" t="s">
        <v>1352</v>
      </c>
      <c r="B58" s="3594" t="s">
        <v>1369</v>
      </c>
      <c r="C58" s="3593"/>
      <c r="D58" s="2324" t="e">
        <f ca="1">IF(H58="转让取得",C81,C97)</f>
        <v>#REF!</v>
      </c>
      <c r="E58" s="2334" t="s">
        <v>1364</v>
      </c>
      <c r="F58" s="302" t="s">
        <v>28</v>
      </c>
      <c r="G58" s="2555"/>
      <c r="H58" s="2558"/>
      <c r="I58" s="1808"/>
      <c r="J58" s="3570"/>
      <c r="K58" s="3570"/>
      <c r="L58" s="2530" t="s">
        <v>1370</v>
      </c>
      <c r="M58" s="2534"/>
      <c r="N58" s="2535" t="str">
        <f ca="1">NUMBERSTRING(INT(N57*10000),2)&amp;"元整"</f>
        <v>零元整</v>
      </c>
      <c r="O58" s="2536"/>
    </row>
    <row r="59" spans="1:35" ht="24.75" thickBot="1">
      <c r="A59" s="3574" t="s">
        <v>1371</v>
      </c>
      <c r="B59" s="3575"/>
      <c r="C59" s="357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2">
        <f>J57+1</f>
        <v>6</v>
      </c>
      <c r="K59" s="3570" t="s">
        <v>1372</v>
      </c>
      <c r="L59" s="2523" t="s">
        <v>1368</v>
      </c>
      <c r="M59" s="2537"/>
      <c r="N59" s="2538" t="e">
        <f ca="1">M49-N57</f>
        <v>#VALUE!</v>
      </c>
      <c r="O59" s="2539"/>
    </row>
    <row r="60" spans="1:35" ht="12" customHeight="1">
      <c r="A60" s="1809"/>
      <c r="B60" s="1747"/>
      <c r="C60" s="1747"/>
      <c r="D60" s="1747"/>
      <c r="E60" s="1578"/>
      <c r="F60" s="1808"/>
      <c r="G60" s="1808"/>
      <c r="H60" s="1810"/>
      <c r="I60" s="129"/>
      <c r="J60" s="3573"/>
      <c r="K60" s="3570"/>
      <c r="L60" s="2530" t="s">
        <v>1370</v>
      </c>
      <c r="M60" s="2534"/>
      <c r="N60" s="2535" t="e">
        <f ca="1">NUMBERSTRING(INT(N59*10000),2)&amp;"元整"</f>
        <v>#VALUE!</v>
      </c>
      <c r="O60" s="2536"/>
    </row>
    <row r="61" spans="1:35" ht="13.5" thickBot="1">
      <c r="A61" s="3629" t="s">
        <v>1373</v>
      </c>
      <c r="B61" s="3629"/>
      <c r="C61" s="3629"/>
      <c r="D61" s="3629"/>
      <c r="E61" s="3629"/>
      <c r="F61" s="1808"/>
      <c r="G61" s="1808"/>
      <c r="H61" s="1810"/>
      <c r="I61" s="129"/>
      <c r="J61" s="2523">
        <f>J59+1</f>
        <v>7</v>
      </c>
      <c r="K61" s="3570" t="s">
        <v>1374</v>
      </c>
      <c r="L61" s="3570"/>
      <c r="M61" s="2540"/>
      <c r="N61" s="2541" t="e">
        <f ca="1">ROUND(N59*10000/'数据-汇总表'!E3,0)</f>
        <v>#VALUE!</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3"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3"/>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3"/>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3"/>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 (元)</v>
      </c>
      <c r="D101" s="2586" t="str">
        <f>D4</f>
        <v>收益法 (元)</v>
      </c>
      <c r="E101" s="3549" t="s">
        <v>1431</v>
      </c>
      <c r="F101" s="3550"/>
      <c r="G101" s="1827" t="s">
        <v>1432</v>
      </c>
      <c r="H101" s="2595" t="e">
        <f ca="1">H118</f>
        <v>#REF!</v>
      </c>
      <c r="I101" s="129"/>
    </row>
    <row r="102" spans="1:35" ht="18.75" customHeight="1">
      <c r="A102" s="3581" t="s">
        <v>1433</v>
      </c>
      <c r="B102" s="2584" t="s">
        <v>1432</v>
      </c>
      <c r="C102" s="2585">
        <f ca="1">IF(D32="楼面单价",ROUND(C19,0),C19)</f>
        <v>2822.9549999999999</v>
      </c>
      <c r="D102" s="2586">
        <f ca="1">IF(D32="楼面单价",ROUND(D19,0),D19)</f>
        <v>2082.2645000000002</v>
      </c>
      <c r="E102" s="3549"/>
      <c r="F102" s="3550"/>
      <c r="G102" s="1827" t="s">
        <v>1434</v>
      </c>
      <c r="H102" s="2555" t="e">
        <f ca="1">I118</f>
        <v>#REF!</v>
      </c>
      <c r="I102" s="129"/>
    </row>
    <row r="103" spans="1:35" ht="42.75" customHeight="1">
      <c r="A103" s="3581"/>
      <c r="B103" s="2584" t="s">
        <v>1434</v>
      </c>
      <c r="C103" s="2587">
        <f ca="1">C20</f>
        <v>13080</v>
      </c>
      <c r="D103" s="2588">
        <f ca="1">D20</f>
        <v>9648</v>
      </c>
      <c r="E103" s="3542" t="s">
        <v>1435</v>
      </c>
      <c r="F103" s="3543"/>
      <c r="G103" s="1828" t="s">
        <v>1436</v>
      </c>
      <c r="H103" s="2595">
        <f>IF(D36="正常操作",H104+H105+H106,H105+H106)</f>
        <v>0</v>
      </c>
      <c r="I103" s="129"/>
    </row>
    <row r="104" spans="1:35" ht="18.75" customHeight="1">
      <c r="A104" s="358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t="e">
        <f ca="1">IF(E107="——","——",H101-H103)</f>
        <v>#REF!</v>
      </c>
      <c r="I107" s="129"/>
    </row>
    <row r="108" spans="1:35" ht="18.75" customHeight="1">
      <c r="A108" s="129"/>
      <c r="B108" s="129"/>
      <c r="C108" s="129"/>
      <c r="D108" s="129"/>
      <c r="E108" s="3582"/>
      <c r="F108" s="3550"/>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房地产</v>
      </c>
      <c r="B118" s="2329">
        <f>M18</f>
        <v>2158.2799999999997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7" t="s">
        <v>1452</v>
      </c>
      <c r="B119" s="3557"/>
      <c r="C119" s="3557"/>
      <c r="D119" s="3563" t="e">
        <f ca="1">NUMBERSTRING(INT(D118*10000),2)&amp;"元整"</f>
        <v>#REF!</v>
      </c>
      <c r="E119" s="3564"/>
      <c r="F119" s="3563" t="e">
        <f ca="1">NUMBERSTRING(INT(F118*10000),2)&amp;"元整"</f>
        <v>#REF!</v>
      </c>
      <c r="G119" s="3564"/>
      <c r="H119" s="3563" t="e">
        <f ca="1">NUMBERSTRING(INT(H118*10000),2)&amp;"元整"</f>
        <v>#REF!</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t="e">
        <f ca="1">H107</f>
        <v>#REF!</v>
      </c>
      <c r="E122" s="3559"/>
      <c r="F122" s="3559"/>
      <c r="G122" s="3559"/>
      <c r="H122" s="3559"/>
      <c r="I122" s="3560"/>
      <c r="AA122" s="725"/>
    </row>
    <row r="123" spans="1:27" ht="18.75" customHeight="1">
      <c r="A123" s="3557" t="s">
        <v>1452</v>
      </c>
      <c r="B123" s="3557"/>
      <c r="C123" s="3557"/>
      <c r="D123" s="3563" t="e">
        <f ca="1">NUMBERSTRING(INT(D122*10000),2)&amp;"元整"</f>
        <v>#REF!</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14609848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67692088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10387483</v>
      </c>
      <c r="D5" s="211" t="s">
        <v>1469</v>
      </c>
      <c r="E5" s="212" t="s">
        <v>1470</v>
      </c>
      <c r="F5" s="212" t="s">
        <v>1471</v>
      </c>
      <c r="G5" s="213"/>
    </row>
    <row r="6" spans="1:9" s="214" customFormat="1" ht="13.5" customHeight="1">
      <c r="A6" s="778" t="s">
        <v>1472</v>
      </c>
      <c r="B6" s="215" t="s">
        <v>1473</v>
      </c>
      <c r="C6" s="216">
        <f>基准地价修正!B2*10000</f>
        <v>10080000</v>
      </c>
      <c r="D6" s="217"/>
      <c r="E6" s="218"/>
      <c r="F6" s="218"/>
      <c r="G6" s="219"/>
    </row>
    <row r="7" spans="1:9" s="214" customFormat="1" ht="13.5" customHeight="1">
      <c r="A7" s="778" t="s">
        <v>1474</v>
      </c>
      <c r="B7" s="215" t="s">
        <v>1475</v>
      </c>
      <c r="C7" s="220">
        <f>ROUND(C6*F7,0)</f>
        <v>307440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43</v>
      </c>
      <c r="D10" s="845">
        <f ca="1">IF(B1="",'数据-汇总表'!E6,IF(INDIRECT("'数据-取费表'!c"&amp;$G$1)="住宅",INDIRECT("'数据-取费表'!s"&amp;$G$1),INDIRECT("'数据-取费表'!k"&amp;$G$1)+INDIRECT("'数据-取费表'!s"&amp;$G$1)))</f>
        <v>2158.2799999999997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43</v>
      </c>
      <c r="D19" s="849">
        <f ca="1">D9+D10</f>
        <v>2158.2799999999997</v>
      </c>
      <c r="E19" s="211">
        <f>'数据-取费表'!B31</f>
        <v>200</v>
      </c>
      <c r="F19" s="231"/>
      <c r="G19" s="1856"/>
    </row>
    <row r="20" spans="1:7" s="214" customFormat="1" ht="13.5" customHeight="1">
      <c r="A20" s="255" t="s">
        <v>1493</v>
      </c>
      <c r="B20" s="210" t="s">
        <v>1494</v>
      </c>
      <c r="C20" s="232">
        <f ca="1">ROUND((C5+C19)*F20,0)</f>
        <v>311626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892987</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880051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4</v>
      </c>
      <c r="D24" s="238"/>
      <c r="E24" s="238"/>
      <c r="F24" s="239"/>
      <c r="G24" s="240" t="s">
        <v>1507</v>
      </c>
    </row>
    <row r="25" spans="1:7" s="214" customFormat="1" ht="24">
      <c r="A25" s="780" t="s">
        <v>1508</v>
      </c>
      <c r="B25" s="215" t="s">
        <v>1509</v>
      </c>
      <c r="C25" s="1105">
        <f ca="1">ROUND(IF('数据-取费表'!B22&lt;=1,C20*F22*'数据-取费表'!B23/2,C20*(POWER((1+F22),'数据-取费表'!B23/2)-1)),0)</f>
        <v>12932</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1711864</v>
      </c>
      <c r="D27" s="235">
        <f ca="1">C29</f>
        <v>4.7999999999999996E-3</v>
      </c>
      <c r="E27" s="236" t="s">
        <v>1514</v>
      </c>
      <c r="F27" s="246">
        <f ca="1">IF(B1="",'数据-取费表'!Q16,INDIRECT("'数据-取费表'!q"&amp;$G$1))</f>
        <v>0.16</v>
      </c>
      <c r="G27" s="247" t="s">
        <v>1515</v>
      </c>
    </row>
    <row r="28" spans="1:7" s="214" customFormat="1" ht="13.5" customHeight="1">
      <c r="A28" s="780" t="s">
        <v>346</v>
      </c>
      <c r="B28" s="248" t="s">
        <v>1516</v>
      </c>
      <c r="C28" s="249">
        <f ca="1">ROUND((C5+C19+C20)*F27*'数据-取费表'!B21/'数据-取费表'!B20,0)</f>
        <v>1711864</v>
      </c>
      <c r="D28" s="235"/>
      <c r="E28" s="236"/>
      <c r="F28" s="246"/>
      <c r="G28" s="247"/>
    </row>
    <row r="29" spans="1:7" s="214" customFormat="1" ht="13.5" customHeight="1">
      <c r="A29" s="780" t="s">
        <v>347</v>
      </c>
      <c r="B29" s="248" t="s">
        <v>1517</v>
      </c>
      <c r="C29" s="238">
        <f ca="1">ROUND(C21*F27*'数据-取费表'!B21/'数据-取费表'!B20,4)</f>
        <v>4.7999999999999996E-3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14608546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993</v>
      </c>
      <c r="D34" s="217"/>
      <c r="E34" s="220"/>
      <c r="F34" s="257">
        <f ca="1">IF('数据-取费表'!B24=0,1,IF(B1="",'数据-取费表'!N16,INDIRECT("'数据-取费表'!n"&amp;$G$1)))</f>
        <v>1</v>
      </c>
      <c r="G34" s="219" t="s">
        <v>1526</v>
      </c>
    </row>
    <row r="35" spans="1:7" ht="13.5" customHeight="1">
      <c r="A35" s="780" t="s">
        <v>351</v>
      </c>
      <c r="B35" s="215" t="s">
        <v>1527</v>
      </c>
      <c r="C35" s="220">
        <f ca="1">ROUND(C34*F35,0)</f>
        <v>50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43</v>
      </c>
      <c r="D37" s="217">
        <f ca="1">D19</f>
        <v>2158.2799999999997</v>
      </c>
      <c r="E37" s="249">
        <f>'数据-取费表'!B35</f>
        <v>200</v>
      </c>
      <c r="F37" s="259"/>
      <c r="G37" s="261" t="s">
        <v>1532</v>
      </c>
    </row>
    <row r="38" spans="1:7" ht="13.5" customHeight="1">
      <c r="A38" s="780" t="s">
        <v>354</v>
      </c>
      <c r="B38" s="215" t="s">
        <v>1533</v>
      </c>
      <c r="C38" s="220">
        <f ca="1">ROUND(C34*F38,0)</f>
        <v>15</v>
      </c>
      <c r="D38" s="220"/>
      <c r="E38" s="220"/>
      <c r="F38" s="259">
        <f>'数据-取费表'!B36</f>
        <v>1.4999999999999999E-2</v>
      </c>
      <c r="G38" s="219" t="s">
        <v>1528</v>
      </c>
    </row>
    <row r="39" spans="1:7" s="214" customFormat="1" ht="13.5" customHeight="1">
      <c r="A39" s="255" t="s">
        <v>1534</v>
      </c>
      <c r="B39" s="210" t="s">
        <v>1535</v>
      </c>
      <c r="C39" s="232">
        <f ca="1">ROUND(C33*F20,0)</f>
        <v>33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47</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46</v>
      </c>
      <c r="D42" s="238"/>
      <c r="E42" s="238"/>
      <c r="F42" s="239"/>
      <c r="G42" s="3636" t="s">
        <v>1544</v>
      </c>
    </row>
    <row r="43" spans="1:7" ht="13.5" customHeight="1">
      <c r="A43" s="780" t="s">
        <v>347</v>
      </c>
      <c r="B43" s="215" t="s">
        <v>1545</v>
      </c>
      <c r="C43" s="238">
        <f ca="1">ROUND(IF('数据-取费表'!B22&lt;=1,C39*F22*'数据-取费表'!B21/2,C39*(POWER((1+F22),'数据-取费表'!B21/2)-1)),0)</f>
        <v>1</v>
      </c>
      <c r="D43" s="238"/>
      <c r="E43" s="238"/>
      <c r="F43" s="239"/>
      <c r="G43" s="3637"/>
    </row>
    <row r="44" spans="1:7" ht="13.5" customHeight="1">
      <c r="A44" s="780" t="s">
        <v>348</v>
      </c>
      <c r="B44" s="215" t="s">
        <v>1546</v>
      </c>
      <c r="C44" s="238">
        <f ca="1">ROUND(IF('数据-取费表'!B22&lt;=1,C40*F22*'数据-取费表'!B21/2,C40*(POWER((1+F22),'数据-取费表'!B21/2)-1)),4)</f>
        <v>1.1999999999999999E-3</v>
      </c>
      <c r="D44" s="238"/>
      <c r="E44" s="238"/>
      <c r="F44" s="239"/>
      <c r="G44" s="3638"/>
    </row>
    <row r="45" spans="1:7" s="214" customFormat="1" ht="13.5" customHeight="1">
      <c r="A45" s="255" t="s">
        <v>1547</v>
      </c>
      <c r="B45" s="244" t="s">
        <v>1513</v>
      </c>
      <c r="C45" s="245">
        <f ca="1">C46</f>
        <v>181</v>
      </c>
      <c r="D45" s="235">
        <f ca="1">C47</f>
        <v>4.7999999999999996E-3</v>
      </c>
      <c r="E45" s="236" t="s">
        <v>1539</v>
      </c>
      <c r="F45" s="246">
        <f ca="1">F27</f>
        <v>0.16</v>
      </c>
      <c r="G45" s="247" t="s">
        <v>1548</v>
      </c>
    </row>
    <row r="46" spans="1:7" s="214" customFormat="1" ht="13.5" customHeight="1">
      <c r="A46" s="780" t="s">
        <v>346</v>
      </c>
      <c r="B46" s="248" t="s">
        <v>1549</v>
      </c>
      <c r="C46" s="249">
        <f ca="1">ROUND((C33+C39)*F27,0)</f>
        <v>181</v>
      </c>
      <c r="D46" s="263"/>
      <c r="E46" s="236"/>
      <c r="F46" s="246"/>
      <c r="G46" s="247"/>
    </row>
    <row r="47" spans="1:7" s="214" customFormat="1" ht="13.5" customHeight="1">
      <c r="A47" s="780" t="s">
        <v>347</v>
      </c>
      <c r="B47" s="248" t="s">
        <v>1550</v>
      </c>
      <c r="C47" s="238">
        <f ca="1">ROUND(C40*F27,4)</f>
        <v>4.7999999999999996E-3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1496</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1302</v>
      </c>
      <c r="D51" s="232"/>
      <c r="E51" s="232"/>
      <c r="F51" s="264"/>
      <c r="G51" s="234" t="s">
        <v>1560</v>
      </c>
    </row>
    <row r="52" spans="1:7" s="208" customFormat="1" ht="16.5" thickBot="1">
      <c r="A52" s="265" t="s">
        <v>1561</v>
      </c>
      <c r="B52" s="266"/>
      <c r="C52" s="267">
        <f ca="1">C31+C51</f>
        <v>14609848</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85" zoomScaleNormal="70" zoomScaleSheetLayoutView="85" workbookViewId="0">
      <selection activeCell="F56" sqref="F5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2822.9549999999999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13080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10821550.32</v>
      </c>
      <c r="D5" s="211" t="s">
        <v>1469</v>
      </c>
      <c r="E5" s="212" t="s">
        <v>1470</v>
      </c>
      <c r="F5" s="212" t="s">
        <v>1471</v>
      </c>
      <c r="G5" s="213"/>
    </row>
    <row r="6" spans="1:8" s="214" customFormat="1" ht="13.5" customHeight="1">
      <c r="A6" s="778" t="s">
        <v>1472</v>
      </c>
      <c r="B6" s="215" t="s">
        <v>1473</v>
      </c>
      <c r="C6" s="216">
        <f>基准地价修正!C37*基准地价修正!D37+基准地价修正!C38*基准地价修正!D38</f>
        <v>10082381.32</v>
      </c>
      <c r="D6" s="217"/>
      <c r="E6" s="218"/>
      <c r="F6" s="218"/>
      <c r="G6" s="219"/>
    </row>
    <row r="7" spans="1:8" s="214" customFormat="1" ht="13.5" customHeight="1">
      <c r="A7" s="778" t="s">
        <v>1474</v>
      </c>
      <c r="B7" s="215" t="s">
        <v>1475</v>
      </c>
      <c r="C7" s="220">
        <f>ROUND(C6*F7,0)</f>
        <v>307513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431656</v>
      </c>
      <c r="D8" s="222"/>
      <c r="E8" s="220"/>
      <c r="F8" s="221"/>
      <c r="G8" s="1856" t="s">
        <v>3416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431656</v>
      </c>
      <c r="D10" s="845">
        <f ca="1">IF(B1="",'数据-汇总表'!E6,IF(INDIRECT("'数据-取费表'!c"&amp;$G$1)="住宅",INDIRECT("'数据-取费表'!s"&amp;$G$1),INDIRECT("'数据-取费表'!k"&amp;$G$1)+INDIRECT("'数据-取费表'!s"&amp;$G$1)))</f>
        <v>2158.2799999999997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2158.2799999999997</v>
      </c>
      <c r="E19" s="211">
        <f>'数据-取费表'!B31</f>
        <v>200</v>
      </c>
      <c r="F19" s="231"/>
      <c r="G19" s="1856" t="s">
        <v>3417</v>
      </c>
    </row>
    <row r="20" spans="1:7" s="214" customFormat="1" ht="13.5" customHeight="1">
      <c r="A20" s="255" t="s">
        <v>1574</v>
      </c>
      <c r="B20" s="210" t="s">
        <v>1575</v>
      </c>
      <c r="C20" s="232">
        <f ca="1">ROUND((C5+C19)*F20,0)</f>
        <v>324647</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930299</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916826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13473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1783392</v>
      </c>
      <c r="D27" s="235">
        <f ca="1">C29</f>
        <v>4.7999999999999996E-3</v>
      </c>
      <c r="E27" s="236" t="s">
        <v>1514</v>
      </c>
      <c r="F27" s="246">
        <f ca="1">IF(B1="",'数据-取费表'!Q16,INDIRECT("'数据-取费表'!q"&amp;$G$1))</f>
        <v>0.16</v>
      </c>
      <c r="G27" s="247" t="s">
        <v>1515</v>
      </c>
    </row>
    <row r="28" spans="1:7" s="214" customFormat="1" ht="13.5" customHeight="1">
      <c r="A28" s="780" t="s">
        <v>346</v>
      </c>
      <c r="B28" s="248" t="s">
        <v>1516</v>
      </c>
      <c r="C28" s="249">
        <f ca="1">ROUND((C5+C19+C20)*F27,0)</f>
        <v>1783392</v>
      </c>
      <c r="D28" s="235"/>
      <c r="E28" s="236"/>
      <c r="F28" s="246"/>
      <c r="G28" s="247"/>
    </row>
    <row r="29" spans="1:7" s="214" customFormat="1" ht="13.5" customHeight="1">
      <c r="A29" s="780" t="s">
        <v>347</v>
      </c>
      <c r="B29" s="248" t="s">
        <v>1517</v>
      </c>
      <c r="C29" s="238">
        <f ca="1">ROUND(C21*F27,4)</f>
        <v>4.7999999999999996E-3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15218940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11005069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9928088</v>
      </c>
      <c r="D34" s="217"/>
      <c r="E34" s="220"/>
      <c r="F34" s="257"/>
      <c r="G34" s="219"/>
    </row>
    <row r="35" spans="1:7" ht="13.5" customHeight="1">
      <c r="A35" s="780" t="s">
        <v>351</v>
      </c>
      <c r="B35" s="215" t="s">
        <v>1527</v>
      </c>
      <c r="C35" s="220">
        <f ca="1">ROUND(C34*F35,0)</f>
        <v>496404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431656</v>
      </c>
      <c r="D37" s="217">
        <f ca="1">D19</f>
        <v>2158.2799999999997</v>
      </c>
      <c r="E37" s="249">
        <f>'数据-取费表'!B35</f>
        <v>200</v>
      </c>
      <c r="F37" s="259"/>
      <c r="G37" s="261"/>
    </row>
    <row r="38" spans="1:7" ht="13.5" customHeight="1">
      <c r="A38" s="780" t="s">
        <v>354</v>
      </c>
      <c r="B38" s="215" t="s">
        <v>1533</v>
      </c>
      <c r="C38" s="220">
        <f ca="1">ROUND(C34*F38,0)</f>
        <v>148921</v>
      </c>
      <c r="D38" s="220"/>
      <c r="E38" s="220"/>
      <c r="F38" s="259">
        <f>'数据-取费表'!B36</f>
        <v>1.4999999999999999E-2</v>
      </c>
      <c r="G38" s="219" t="s">
        <v>1528</v>
      </c>
    </row>
    <row r="39" spans="1:7" s="214" customFormat="1" ht="13.5" customHeight="1">
      <c r="A39" s="255" t="s">
        <v>1534</v>
      </c>
      <c r="B39" s="210" t="s">
        <v>1535</v>
      </c>
      <c r="C39" s="232">
        <f ca="1">ROUND(C33*F20,0)</f>
        <v>330152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470411</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456710</v>
      </c>
      <c r="D42" s="238"/>
      <c r="E42" s="238"/>
      <c r="F42" s="239"/>
      <c r="G42" s="3636" t="s">
        <v>1591</v>
      </c>
    </row>
    <row r="43" spans="1:7" ht="13.5" customHeight="1">
      <c r="A43" s="780" t="s">
        <v>347</v>
      </c>
      <c r="B43" s="215" t="s">
        <v>1545</v>
      </c>
      <c r="C43" s="238">
        <f ca="1">ROUND(IF('数据-取费表'!B22&lt;=1,C39*F22*'数据-取费表'!B20/2,C39*(POWER((1+F22),'数据-取费表'!B20/2)-1)),0)</f>
        <v>13701</v>
      </c>
      <c r="D43" s="238"/>
      <c r="E43" s="238"/>
      <c r="F43" s="239"/>
      <c r="G43" s="3637"/>
    </row>
    <row r="44" spans="1:7" ht="13.5" customHeight="1">
      <c r="A44" s="780" t="s">
        <v>348</v>
      </c>
      <c r="B44" s="215" t="s">
        <v>1546</v>
      </c>
      <c r="C44" s="238">
        <f ca="1">ROUND(IF('数据-取费表'!B22&lt;=1,C40*F22*'数据-取费表'!B20/2,C40*(POWER((1+F22),'数据-取费表'!B20/2)-1)),4)</f>
        <v>1.1999999999999999E-3</v>
      </c>
      <c r="D44" s="238"/>
      <c r="E44" s="238"/>
      <c r="F44" s="239"/>
      <c r="G44" s="3638"/>
    </row>
    <row r="45" spans="1:7" s="214" customFormat="1" ht="13.5" customHeight="1">
      <c r="A45" s="255" t="s">
        <v>1547</v>
      </c>
      <c r="B45" s="244" t="s">
        <v>1513</v>
      </c>
      <c r="C45" s="245">
        <f ca="1">C46</f>
        <v>1813635</v>
      </c>
      <c r="D45" s="235">
        <f ca="1">C47</f>
        <v>4.7999999999999996E-3</v>
      </c>
      <c r="E45" s="236" t="s">
        <v>1539</v>
      </c>
      <c r="F45" s="246">
        <f ca="1">F27</f>
        <v>0.16</v>
      </c>
      <c r="G45" s="247" t="s">
        <v>1548</v>
      </c>
    </row>
    <row r="46" spans="1:7" s="214" customFormat="1" ht="13.5" customHeight="1">
      <c r="A46" s="780" t="s">
        <v>346</v>
      </c>
      <c r="B46" s="248" t="s">
        <v>1549</v>
      </c>
      <c r="C46" s="249">
        <f ca="1">ROUND((C33+C39)*F27,0)</f>
        <v>1813635</v>
      </c>
      <c r="D46" s="263"/>
      <c r="E46" s="236"/>
      <c r="F46" s="246"/>
      <c r="G46" s="247"/>
    </row>
    <row r="47" spans="1:7" s="214" customFormat="1" ht="13.5" customHeight="1">
      <c r="A47" s="780" t="s">
        <v>347</v>
      </c>
      <c r="B47" s="248" t="s">
        <v>1550</v>
      </c>
      <c r="C47" s="238">
        <f ca="1">ROUND(C40*F27,4)</f>
        <v>4.7999999999999996E-3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14954724</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13010610</v>
      </c>
      <c r="D51" s="232"/>
      <c r="E51" s="232"/>
      <c r="F51" s="264"/>
      <c r="G51" s="234" t="s">
        <v>1560</v>
      </c>
    </row>
    <row r="52" spans="1:7" s="208" customFormat="1" ht="16.5" thickBot="1">
      <c r="A52" s="265" t="s">
        <v>1561</v>
      </c>
      <c r="B52" s="266"/>
      <c r="C52" s="267">
        <f ca="1">C31+C51</f>
        <v>28229550</v>
      </c>
      <c r="D52" s="266"/>
      <c r="E52" s="266"/>
      <c r="F52" s="266"/>
      <c r="G52" s="268"/>
    </row>
    <row r="55" spans="1:7" ht="15">
      <c r="B55" s="270" t="s">
        <v>1562</v>
      </c>
      <c r="C55" s="271"/>
    </row>
    <row r="56" spans="1:7">
      <c r="B56" s="273" t="s">
        <v>802</v>
      </c>
      <c r="C56" s="275">
        <f ca="1">1-C57</f>
        <v>0.53899999999999992</v>
      </c>
    </row>
    <row r="57" spans="1:7">
      <c r="B57" s="273" t="s">
        <v>803</v>
      </c>
      <c r="C57" s="274">
        <f ca="1">ROUND(C51/C52,3)</f>
        <v>0.46100000000000002</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2158.2799999999997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2158.2799999999997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43</v>
      </c>
      <c r="D20" s="846">
        <f ca="1">IF(C1="",'数据-汇总表'!E6,IF(INDIRECT("'数据-取费表'!c"&amp;$K$1)="住宅",INDIRECT("'数据-取费表'!s"&amp;$K$1),INDIRECT("'数据-取费表'!k"&amp;$K$1)+INDIRECT("'数据-取费表'!s"&amp;$K$1)))</f>
        <v>2158.2799999999997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1" zoomScale="70" zoomScaleNormal="70" zoomScaleSheetLayoutView="70"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2080</v>
      </c>
      <c r="C2" s="1387" t="s">
        <v>805</v>
      </c>
      <c r="D2" s="1387"/>
      <c r="E2" s="1388"/>
      <c r="F2" s="1389"/>
      <c r="G2" s="2706"/>
      <c r="H2" s="2695"/>
      <c r="I2" s="2695"/>
      <c r="J2" s="2695"/>
      <c r="K2" s="2696"/>
      <c r="L2" s="2695"/>
      <c r="M2" s="2695"/>
    </row>
    <row r="3" spans="1:37" ht="18" customHeight="1" thickBot="1">
      <c r="A3" s="1390" t="s">
        <v>806</v>
      </c>
      <c r="B3" s="1391">
        <f ca="1">IF(ISERROR(B2*10000/F43),0,ROUND(B2*10000/F43,0))</f>
        <v>9637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77</v>
      </c>
      <c r="D5" s="1364" t="s">
        <v>693</v>
      </c>
      <c r="E5" s="1071"/>
      <c r="F5" s="1072"/>
      <c r="G5" s="1384"/>
      <c r="H5" s="299">
        <v>1</v>
      </c>
      <c r="I5" s="300" t="s">
        <v>692</v>
      </c>
      <c r="J5" s="1070">
        <f ca="1">J6+J10+J12</f>
        <v>222</v>
      </c>
      <c r="K5" s="1364" t="s">
        <v>693</v>
      </c>
      <c r="L5" s="1071"/>
      <c r="M5" s="1072"/>
    </row>
    <row r="6" spans="1:37" ht="18" customHeight="1">
      <c r="A6" s="1069" t="s">
        <v>398</v>
      </c>
      <c r="B6" s="3641" t="s">
        <v>694</v>
      </c>
      <c r="C6" s="1074">
        <f ca="1">ROUND(F6*F8*F7*(1-F9)/10000,0)</f>
        <v>77</v>
      </c>
      <c r="D6" s="155" t="s">
        <v>2109</v>
      </c>
      <c r="E6" s="302" t="s">
        <v>696</v>
      </c>
      <c r="F6" s="303">
        <f ca="1">INDIRECT("'数据-取费表'!u"&amp;$G$1)</f>
        <v>0.98</v>
      </c>
      <c r="G6" s="1384"/>
      <c r="H6" s="1069" t="s">
        <v>398</v>
      </c>
      <c r="I6" s="3641" t="s">
        <v>694</v>
      </c>
      <c r="J6" s="301">
        <f ca="1">ROUND(M6*M8*M7*(1-M9)/10000,0)</f>
        <v>221</v>
      </c>
      <c r="K6" s="155" t="s">
        <v>2108</v>
      </c>
      <c r="L6" s="302" t="s">
        <v>696</v>
      </c>
      <c r="M6" s="303">
        <f ca="1">INDIRECT("'数据-取费表'!z"&amp;$G$1)</f>
        <v>3.12</v>
      </c>
    </row>
    <row r="7" spans="1:37" ht="18" customHeight="1">
      <c r="A7" s="1073"/>
      <c r="B7" s="3642"/>
      <c r="C7" s="1075"/>
      <c r="D7" s="307"/>
      <c r="E7" s="1076" t="s">
        <v>697</v>
      </c>
      <c r="F7" s="303">
        <f ca="1">IF(INDIRECT("'数据-取费表'!ah"&amp;$G$1)="",INDIRECT("'数据-取费表'!k"&amp;$G$1),INDIRECT("'数据-取费表'!ah"&amp;$G$1))</f>
        <v>2158.2799999999997</v>
      </c>
      <c r="G7" s="1384"/>
      <c r="H7" s="304"/>
      <c r="I7" s="3642"/>
      <c r="J7" s="306"/>
      <c r="K7" s="307"/>
      <c r="L7" s="302" t="s">
        <v>697</v>
      </c>
      <c r="M7" s="303">
        <f ca="1">F7</f>
        <v>2158.2799999999997</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3408</v>
      </c>
      <c r="G10" s="1384"/>
      <c r="H10" s="1069" t="s">
        <v>402</v>
      </c>
      <c r="I10" s="1365" t="s">
        <v>700</v>
      </c>
      <c r="J10" s="301">
        <f ca="1">ROUND(IF(M10="押一",J6/12*M11,IF(M10="押二",J6/12*2*M11,IF(M10="押三",J6/12*3*M11,J11*M11))),0)</f>
        <v>1</v>
      </c>
      <c r="K10" s="1366" t="s">
        <v>2116</v>
      </c>
      <c r="L10" s="313" t="s">
        <v>701</v>
      </c>
      <c r="M10" s="1116" t="s">
        <v>3408</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1302</v>
      </c>
      <c r="D13" s="1081" t="s">
        <v>705</v>
      </c>
      <c r="E13" s="1081" t="s">
        <v>706</v>
      </c>
      <c r="F13" s="1082">
        <f ca="1">INDIRECT("'数据-取费表'!y"&amp;$G$1)</f>
        <v>0.87</v>
      </c>
      <c r="G13" s="1384"/>
      <c r="H13" s="1079">
        <v>2</v>
      </c>
      <c r="I13" s="1080" t="s">
        <v>704</v>
      </c>
      <c r="J13" s="1068">
        <f ca="1">ROUND(J14*J15,0)</f>
        <v>1077</v>
      </c>
      <c r="K13" s="1087" t="s">
        <v>705</v>
      </c>
      <c r="L13" s="1392"/>
      <c r="M13" s="1393"/>
    </row>
    <row r="14" spans="1:37" ht="18" customHeight="1">
      <c r="A14" s="982" t="s">
        <v>397</v>
      </c>
      <c r="B14" s="302" t="s">
        <v>707</v>
      </c>
      <c r="C14" s="318">
        <f ca="1">INDIRECT("'数据-取费表'!m"&amp;$G$1)+INDIRECT("'数据-取费表'!t"&amp;$G$1)</f>
        <v>993</v>
      </c>
      <c r="D14" s="1345" t="s">
        <v>708</v>
      </c>
      <c r="E14" s="1342"/>
      <c r="F14" s="319"/>
      <c r="G14" s="1384"/>
      <c r="H14" s="982" t="s">
        <v>398</v>
      </c>
      <c r="I14" s="302" t="s">
        <v>709</v>
      </c>
      <c r="J14" s="21">
        <f ca="1">C29</f>
        <v>1496</v>
      </c>
      <c r="K14" s="12"/>
      <c r="L14" s="807"/>
      <c r="M14" s="808"/>
    </row>
    <row r="15" spans="1:37" s="1397" customFormat="1" ht="18" customHeight="1" thickBot="1">
      <c r="A15" s="982" t="s">
        <v>399</v>
      </c>
      <c r="B15" s="302" t="s">
        <v>710</v>
      </c>
      <c r="C15" s="21">
        <f ca="1">ROUND(C14*F15,0)</f>
        <v>50</v>
      </c>
      <c r="D15" s="320" t="s">
        <v>711</v>
      </c>
      <c r="E15" s="320" t="s">
        <v>712</v>
      </c>
      <c r="F15" s="321">
        <f>'数据-取费表'!B33</f>
        <v>0.05</v>
      </c>
      <c r="G15" s="1396"/>
      <c r="H15" s="1089" t="s">
        <v>402</v>
      </c>
      <c r="I15" s="1090" t="s">
        <v>706</v>
      </c>
      <c r="J15" s="1099">
        <f ca="1">INDIRECT("'数据-取费表'!ad"&amp;$G$1)</f>
        <v>0.72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48</v>
      </c>
      <c r="K16" s="1087" t="s">
        <v>715</v>
      </c>
      <c r="L16" s="1088"/>
      <c r="M16" s="1072"/>
    </row>
    <row r="17" spans="1:37" s="1397" customFormat="1" ht="18" customHeight="1">
      <c r="A17" s="982" t="s">
        <v>681</v>
      </c>
      <c r="B17" s="302" t="s">
        <v>716</v>
      </c>
      <c r="C17" s="21">
        <f ca="1">ROUND(F17*(F43+INDIRECT("'数据-取费表'!S"&amp;$G$1))/10000,0)</f>
        <v>43</v>
      </c>
      <c r="D17" s="302" t="s">
        <v>717</v>
      </c>
      <c r="E17" s="302" t="s">
        <v>718</v>
      </c>
      <c r="F17" s="23">
        <f>'数据-取费表'!B35</f>
        <v>200</v>
      </c>
      <c r="G17" s="1396"/>
      <c r="H17" s="982" t="s">
        <v>398</v>
      </c>
      <c r="I17" s="302" t="s">
        <v>719</v>
      </c>
      <c r="J17" s="2316">
        <f ca="1">ROUND(IF(AND(项目基本情况!B11="自然人",项目基本情况!B10="北京市"),J6*M17/(1+'数据-取费表'!C42),J18+J19+J20),2)</f>
        <v>37.049999999999997</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1.4999999999999999E-2</v>
      </c>
      <c r="G18" s="1396"/>
      <c r="H18" s="982" t="s">
        <v>397</v>
      </c>
      <c r="I18" s="302" t="s">
        <v>723</v>
      </c>
      <c r="J18" s="21">
        <f ca="1">ROUND(J6*M18/(1+'数据-取费表'!C42),2)</f>
        <v>11.79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1101</v>
      </c>
      <c r="D19" s="131" t="s">
        <v>726</v>
      </c>
      <c r="E19" s="1360"/>
      <c r="F19" s="23"/>
      <c r="G19" s="1384"/>
      <c r="H19" s="982" t="s">
        <v>399</v>
      </c>
      <c r="I19" s="302" t="s">
        <v>727</v>
      </c>
      <c r="J19" s="21">
        <f ca="1">IF(K19="按租金收入计税",ROUND(J6*M19/(1+'数据-取费表'!C42),2),ROUND(C29*M19*0.7,2))</f>
        <v>25.26</v>
      </c>
      <c r="K19" s="1370" t="s">
        <v>3344</v>
      </c>
      <c r="L19" s="302" t="s">
        <v>712</v>
      </c>
      <c r="M19" s="322">
        <f>IF(K19="按租金收入计税",'数据-取费表'!B51,'数据-取费表'!B50)</f>
        <v>0.12</v>
      </c>
    </row>
    <row r="20" spans="1:37" s="1397" customFormat="1" ht="18" customHeight="1">
      <c r="A20" s="982" t="s">
        <v>402</v>
      </c>
      <c r="B20" s="302" t="s">
        <v>728</v>
      </c>
      <c r="C20" s="21">
        <f ca="1">ROUND(C19*F20,0)</f>
        <v>33</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1.08</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2.2200000000000002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174</v>
      </c>
      <c r="K25" s="1095" t="s">
        <v>753</v>
      </c>
      <c r="L25" s="1096"/>
      <c r="M25" s="1097"/>
    </row>
    <row r="26" spans="1:37">
      <c r="A26" s="982" t="s">
        <v>397</v>
      </c>
      <c r="B26" s="302" t="s">
        <v>754</v>
      </c>
      <c r="C26" s="21">
        <f ca="1">ROUND((C19+C20)*F26,0)</f>
        <v>181</v>
      </c>
      <c r="D26" s="323" t="s">
        <v>755</v>
      </c>
      <c r="E26" s="313" t="s">
        <v>756</v>
      </c>
      <c r="F26" s="312">
        <f ca="1">INDIRECT("'数据-取费表'!q"&amp;$G$1)</f>
        <v>0.16</v>
      </c>
      <c r="G26" s="1384"/>
      <c r="H26" s="299" t="s">
        <v>395</v>
      </c>
      <c r="I26" s="300" t="s">
        <v>757</v>
      </c>
      <c r="J26" s="301">
        <f ca="1">IF(J5&lt;&gt;0,ROUND(J25*(1-((1+M28)/(1+M26))^M27)/(M26-M28),0),0)</f>
        <v>2637</v>
      </c>
      <c r="K26" s="324" t="s">
        <v>758</v>
      </c>
      <c r="L26" s="302" t="s">
        <v>759</v>
      </c>
      <c r="M26" s="312">
        <f ca="1">INDIRECT("'数据-取费表'!I"&amp;$G$1)</f>
        <v>5.5E-2</v>
      </c>
    </row>
    <row r="27" spans="1:37" ht="18" customHeight="1">
      <c r="A27" s="982" t="s">
        <v>399</v>
      </c>
      <c r="B27" s="302" t="s">
        <v>760</v>
      </c>
      <c r="C27" s="21">
        <f ca="1">ROUND(F21*F26,4)</f>
        <v>4.7999999999999996E-3</v>
      </c>
      <c r="D27" s="323" t="s">
        <v>761</v>
      </c>
      <c r="E27" s="320"/>
      <c r="F27" s="321"/>
      <c r="G27" s="1384"/>
      <c r="H27" s="304"/>
      <c r="I27" s="305"/>
      <c r="J27" s="306"/>
      <c r="K27" s="332" t="s">
        <v>762</v>
      </c>
      <c r="L27" s="302" t="s">
        <v>763</v>
      </c>
      <c r="M27" s="333">
        <f ca="1">INDIRECT("'数据-取费表'!ag"&amp;$G$1)</f>
        <v>21.02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1496</v>
      </c>
      <c r="D29" s="1092"/>
      <c r="E29" s="1090"/>
      <c r="F29" s="1093"/>
      <c r="G29" s="1396"/>
      <c r="H29" s="334" t="s">
        <v>396</v>
      </c>
      <c r="I29" s="335" t="s">
        <v>768</v>
      </c>
      <c r="J29" s="336">
        <f ca="1">ROUND(J26/(1+F40)^F41,0)</f>
        <v>1630</v>
      </c>
      <c r="K29" s="337" t="s">
        <v>769</v>
      </c>
      <c r="L29" s="338"/>
      <c r="M29" s="339">
        <f ca="1">INDIRECT("'数据-取费表'!k"&amp;$G$1)</f>
        <v>2158.2799999999997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12.91</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4.1100000000000003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8.8000000000000007</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7.48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8.98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1770</v>
      </c>
      <c r="D43" s="337" t="s">
        <v>777</v>
      </c>
      <c r="E43" s="338" t="s">
        <v>778</v>
      </c>
      <c r="F43" s="339">
        <f ca="1">INDIRECT("'数据-取费表'!k"&amp;$G$1)</f>
        <v>2158.2799999999997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-444</v>
      </c>
      <c r="D46" s="1406" t="str">
        <f>C2</f>
        <v>万元</v>
      </c>
      <c r="E46" s="1400"/>
      <c r="F46" s="1400"/>
      <c r="I46" s="1407" t="s">
        <v>810</v>
      </c>
      <c r="J46" s="1408"/>
      <c r="K46" s="1409"/>
      <c r="L46" s="1410">
        <f ca="1">IF(M47="住宅",0,IF(L48&gt;J51,L60,J60))</f>
        <v>68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2012</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30</v>
      </c>
      <c r="O48" s="1418" t="s">
        <v>404</v>
      </c>
      <c r="P48" s="1419" t="s">
        <v>821</v>
      </c>
      <c r="Q48" s="1420">
        <f ca="1">J60</f>
        <v>68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2015</v>
      </c>
      <c r="K49" s="1423" t="s">
        <v>824</v>
      </c>
      <c r="L49" s="1427"/>
      <c r="O49" s="1428" t="s">
        <v>405</v>
      </c>
      <c r="P49" s="1419" t="s">
        <v>825</v>
      </c>
      <c r="Q49" s="1420">
        <f ca="1">C29</f>
        <v>1496</v>
      </c>
      <c r="R49" s="1420" t="s">
        <v>818</v>
      </c>
    </row>
    <row r="50" spans="1:18" s="1384" customFormat="1" ht="13.5" thickBot="1">
      <c r="A50" s="976"/>
      <c r="B50" s="979"/>
      <c r="C50" s="1118"/>
      <c r="D50" s="953"/>
      <c r="E50" s="1056" t="s">
        <v>697</v>
      </c>
      <c r="F50" s="1057">
        <f ca="1">F7</f>
        <v>2158.2799999999997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-786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v>
      </c>
      <c r="K53" s="3639" t="s">
        <v>837</v>
      </c>
      <c r="L53" s="3640"/>
      <c r="O53" s="1418" t="s">
        <v>409</v>
      </c>
      <c r="P53" s="1419" t="s">
        <v>838</v>
      </c>
      <c r="Q53" s="1420">
        <f ca="1">Q47+Q48</f>
        <v>2080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1302</v>
      </c>
      <c r="D56" s="1447"/>
      <c r="E56" s="1448"/>
      <c r="F56" s="1440"/>
      <c r="I56" s="1449" t="s">
        <v>842</v>
      </c>
      <c r="J56" s="1450" t="s">
        <v>3378</v>
      </c>
      <c r="K56" s="1421" t="s">
        <v>843</v>
      </c>
      <c r="L56" s="1424" t="str">
        <f ca="1">IF(L48&lt;J51,"——",L48-J53)</f>
        <v>——</v>
      </c>
      <c r="O56" s="1418" t="s">
        <v>403</v>
      </c>
      <c r="P56" s="1419" t="s">
        <v>817</v>
      </c>
      <c r="Q56" s="1420">
        <f ca="1">C40+J29</f>
        <v>2012</v>
      </c>
      <c r="R56" s="1420" t="s">
        <v>818</v>
      </c>
    </row>
    <row r="57" spans="1:18" s="1384" customFormat="1" ht="24.75" thickBot="1">
      <c r="A57" s="1451"/>
      <c r="B57" s="950" t="s">
        <v>767</v>
      </c>
      <c r="C57" s="238">
        <f ca="1">C29</f>
        <v>1496</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v>
      </c>
      <c r="D65" s="964" t="s">
        <v>743</v>
      </c>
      <c r="E65" s="950" t="s">
        <v>744</v>
      </c>
      <c r="F65" s="330">
        <f t="shared" ca="1" si="0"/>
        <v>1E-3</v>
      </c>
      <c r="I65" s="1462" t="s">
        <v>867</v>
      </c>
      <c r="J65" s="1463">
        <v>40</v>
      </c>
      <c r="K65" s="1463">
        <v>30</v>
      </c>
      <c r="L65" s="1463">
        <v>50</v>
      </c>
      <c r="M65" s="1465">
        <v>0.02</v>
      </c>
      <c r="O65" s="1418" t="s">
        <v>403</v>
      </c>
      <c r="P65" s="1419" t="s">
        <v>868</v>
      </c>
      <c r="Q65" s="1420">
        <f ca="1">C40+J29</f>
        <v>2012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-786</v>
      </c>
      <c r="R67" s="1420" t="s">
        <v>870</v>
      </c>
    </row>
    <row r="68" spans="1:18" s="1384" customFormat="1" ht="16.5" thickBot="1">
      <c r="A68" s="947" t="s">
        <v>395</v>
      </c>
      <c r="B68" s="948" t="s">
        <v>774</v>
      </c>
      <c r="C68" s="301">
        <f ca="1">ROUND(C67*(1-((1+F70)/(1+F68))^F69)/(F68-F70),0)</f>
        <v>-62</v>
      </c>
      <c r="D68" s="965" t="s">
        <v>758</v>
      </c>
      <c r="E68" s="950" t="s">
        <v>759</v>
      </c>
      <c r="F68" s="312">
        <f ca="1">F40</f>
        <v>5.5E-2</v>
      </c>
      <c r="O68" s="1428" t="s">
        <v>406</v>
      </c>
      <c r="P68" s="1467" t="s">
        <v>871</v>
      </c>
      <c r="Q68" s="1420">
        <f ca="1">ROUND(Q69-Q70*Q71,0)</f>
        <v>-43</v>
      </c>
      <c r="R68" s="1420" t="s">
        <v>414</v>
      </c>
    </row>
    <row r="69" spans="1:18" s="1384" customFormat="1" ht="13.5" thickBot="1">
      <c r="A69" s="951"/>
      <c r="B69" s="952"/>
      <c r="C69" s="306"/>
      <c r="D69" s="970" t="s">
        <v>762</v>
      </c>
      <c r="E69" s="950" t="s">
        <v>763</v>
      </c>
      <c r="F69" s="333">
        <f ca="1">F41</f>
        <v>8.98</v>
      </c>
      <c r="O69" s="1428" t="s">
        <v>411</v>
      </c>
      <c r="P69" s="1467" t="s">
        <v>872</v>
      </c>
      <c r="Q69" s="1420">
        <f ca="1">C39</f>
        <v>55</v>
      </c>
      <c r="R69" s="1420" t="s">
        <v>818</v>
      </c>
    </row>
    <row r="70" spans="1:18" s="1384" customFormat="1" ht="13.5" thickBot="1">
      <c r="A70" s="954"/>
      <c r="B70" s="955"/>
      <c r="C70" s="310"/>
      <c r="D70" s="966"/>
      <c r="E70" s="950" t="s">
        <v>766</v>
      </c>
      <c r="F70" s="1054"/>
      <c r="O70" s="1428" t="s">
        <v>412</v>
      </c>
      <c r="P70" s="1467" t="s">
        <v>873</v>
      </c>
      <c r="Q70" s="1420">
        <f ca="1">C13</f>
        <v>1302</v>
      </c>
      <c r="R70" s="1420" t="s">
        <v>818</v>
      </c>
    </row>
    <row r="71" spans="1:18" s="1384" customFormat="1" ht="13.5" thickBot="1">
      <c r="A71" s="971" t="s">
        <v>396</v>
      </c>
      <c r="B71" s="972" t="s">
        <v>776</v>
      </c>
      <c r="C71" s="336">
        <f ca="1">ROUND(C68*10000/F71,0)</f>
        <v>-287</v>
      </c>
      <c r="D71" s="973" t="s">
        <v>777</v>
      </c>
      <c r="E71" s="974" t="s">
        <v>778</v>
      </c>
      <c r="F71" s="339">
        <f ca="1">F43</f>
        <v>2158.2799999999997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98</v>
      </c>
      <c r="D75" s="1384"/>
      <c r="E75" s="1384"/>
      <c r="F75" s="1384"/>
      <c r="K75" s="1402"/>
      <c r="L75" s="1384"/>
      <c r="O75" s="1418" t="s">
        <v>409</v>
      </c>
      <c r="P75" s="1419" t="s">
        <v>838</v>
      </c>
      <c r="Q75" s="1420">
        <f ca="1">Q65+Q66</f>
        <v>2012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-0.78200000000000003</v>
      </c>
    </row>
    <row r="80" spans="1:18">
      <c r="B80" s="340" t="s">
        <v>800</v>
      </c>
      <c r="C80" s="274">
        <f ca="1">ROUND(C75/C39,3)</f>
        <v>1.782</v>
      </c>
    </row>
    <row r="81" spans="2:3">
      <c r="B81" s="270" t="s">
        <v>801</v>
      </c>
      <c r="C81" s="238"/>
    </row>
    <row r="82" spans="2:3">
      <c r="B82" s="273" t="s">
        <v>802</v>
      </c>
      <c r="C82" s="275">
        <f ca="1">1-C83</f>
        <v>-2.4079999999999999</v>
      </c>
    </row>
    <row r="83" spans="2:3">
      <c r="B83" s="273" t="s">
        <v>803</v>
      </c>
      <c r="C83" s="274">
        <f ca="1">ROUND(C13/C40,3)</f>
        <v>3.4079999999999999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G40" sqref="G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2158.2799999999997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1008</v>
      </c>
      <c r="C2" s="1999" t="s">
        <v>1935</v>
      </c>
      <c r="D2" s="2000" t="s">
        <v>1936</v>
      </c>
      <c r="E2" s="3423"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17403</v>
      </c>
      <c r="U2" s="1213"/>
      <c r="V2" s="3362">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4670</v>
      </c>
      <c r="C3" s="1999" t="s">
        <v>1941</v>
      </c>
      <c r="D3" s="2000" t="s">
        <v>1942</v>
      </c>
      <c r="E3" s="3421" t="s">
        <v>2452</v>
      </c>
      <c r="F3" s="2004" t="s">
        <v>3375</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13717</v>
      </c>
      <c r="U3" s="1213"/>
      <c r="V3" s="3362">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1.0004999999999999</v>
      </c>
      <c r="T4" s="3362">
        <f t="shared" si="0"/>
        <v>11593</v>
      </c>
      <c r="U4" s="1213"/>
      <c r="V4" s="336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15570</v>
      </c>
      <c r="D5" s="1339">
        <f>ROUND(C6*C17+C20,0)</f>
        <v>15570</v>
      </c>
      <c r="E5" s="1339"/>
      <c r="F5" s="2007"/>
      <c r="G5" s="2008"/>
      <c r="H5" s="2008"/>
      <c r="I5" s="2008"/>
      <c r="J5" s="2009"/>
      <c r="K5" s="2010"/>
      <c r="L5" s="2003" t="s">
        <v>1948</v>
      </c>
      <c r="M5" s="864">
        <f>SUMPRODUCT((区片价!B87:B126=I2)*(区片价!C3:G3=E2)*(区片价!C87:G126))</f>
        <v>15570</v>
      </c>
      <c r="N5" s="866">
        <f>SUMPRODUCT((因素修正幅度!B87:B126=I2)*(因素修正幅度!C3:G3=E2)*(因素修正幅度!C87:G126))</f>
        <v>0.1</v>
      </c>
      <c r="O5" s="1119"/>
      <c r="P5" s="1119"/>
      <c r="Q5" s="1119"/>
      <c r="R5" s="1212">
        <v>4</v>
      </c>
      <c r="S5" s="3362">
        <f>ROUND(SUMPRODUCT((B106:B110=R5)*(C105:N105=G2)*(C106:N110)),4)</f>
        <v>0.88239999999999996</v>
      </c>
      <c r="T5" s="3362">
        <f t="shared" si="0"/>
        <v>10224</v>
      </c>
      <c r="U5" s="1213"/>
      <c r="V5" s="3362">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15570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f t="shared" si="0"/>
        <v>9826</v>
      </c>
      <c r="U6" s="1213"/>
      <c r="V6" s="3362">
        <f t="shared" si="1"/>
        <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f>IF(C8="不临65条商业街",1,ROUND(1+(1.6*E8+1.2*E9+0.8*E10+0.4*E11)*C9,4))</f>
        <v>1</v>
      </c>
      <c r="D7" s="2022" t="s">
        <v>1953</v>
      </c>
      <c r="E7" s="776">
        <v>60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f t="shared" si="0"/>
        <v>0</v>
      </c>
      <c r="U7" s="1213"/>
      <c r="V7" s="3362">
        <f t="shared" si="1"/>
        <v>0</v>
      </c>
      <c r="W7" s="1358" t="s">
        <v>1955</v>
      </c>
      <c r="X7" s="1214" t="str">
        <f>G2</f>
        <v>五级</v>
      </c>
      <c r="Y7" s="1214" t="s">
        <v>1956</v>
      </c>
      <c r="Z7" s="1215">
        <f>G3</f>
        <v>0</v>
      </c>
      <c r="AA7" s="1216"/>
      <c r="AB7" s="1216"/>
      <c r="AC7" s="1217"/>
      <c r="AD7" s="1218"/>
      <c r="AE7" s="1218"/>
      <c r="AF7" s="1218"/>
      <c r="AG7" s="1218"/>
      <c r="AH7" s="1218"/>
      <c r="AI7" s="1218"/>
      <c r="AJ7" s="1219"/>
    </row>
    <row r="8" spans="1:36" ht="25.5">
      <c r="A8" s="3300"/>
      <c r="B8" s="170" t="s">
        <v>1957</v>
      </c>
      <c r="C8" s="2026" t="s">
        <v>3376</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747"/>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747"/>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0.88249999999999995</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3263</v>
      </c>
      <c r="B20" s="167" t="s">
        <v>1994</v>
      </c>
      <c r="C20" s="3326">
        <f>ROUND(IF(F21="与级别开发程度一致",0,(G21-E21)/C21),0)</f>
        <v>0</v>
      </c>
      <c r="D20" s="3342" t="s">
        <v>1998</v>
      </c>
      <c r="E20" s="3343"/>
      <c r="F20" s="3758" t="s">
        <v>1995</v>
      </c>
      <c r="G20" s="3759"/>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3377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44937</v>
      </c>
      <c r="H23" s="3344" t="s">
        <v>3265</v>
      </c>
      <c r="I23" s="3345" t="str">
        <f>IF(H23="季度增幅（自定义）",SUMIF(N25:N28,E2,O25:O28),"")</f>
        <v/>
      </c>
      <c r="J23" s="3447" t="s">
        <v>3264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0.90569999999999995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30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1008</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252</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17403</v>
      </c>
      <c r="D33" s="2098"/>
      <c r="E33" s="773">
        <f>ROUND(C33*D33/10000,0)</f>
        <v>0</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448">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6952</v>
      </c>
      <c r="D37" s="2098">
        <v>742.29</v>
      </c>
      <c r="E37" s="171">
        <f>ROUND(C37*D37/10000,0)</f>
        <v>516</v>
      </c>
      <c r="F37" s="171">
        <f>SUMIF(修正!A57:A68,G2,修正!B57:B68)</f>
        <v>0.6</v>
      </c>
      <c r="G37" s="171">
        <f>ROUND(IF(E2="工业",C37*$M$42,C37*$M$41),0)</f>
        <v>1738</v>
      </c>
      <c r="H37" s="171">
        <f>D37</f>
        <v>742.29</v>
      </c>
      <c r="I37" s="171">
        <f>ROUND(G37*H37/10000,0)</f>
        <v>129</v>
      </c>
      <c r="J37" s="3012"/>
      <c r="K37" s="3360" t="s">
        <v>3275</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3476</v>
      </c>
      <c r="D38" s="2098">
        <v>1415.99</v>
      </c>
      <c r="E38" s="171">
        <f t="shared" ref="E38:E42" si="4">ROUND(C38*D38/10000,0)</f>
        <v>492</v>
      </c>
      <c r="F38" s="171">
        <f>SUMIF(修正!A57:A68,G2,修正!C57:C68)</f>
        <v>0.3</v>
      </c>
      <c r="G38" s="171">
        <f>ROUND(IF(E2="工业",C38*$M$42,C38*$M$41),0)</f>
        <v>869</v>
      </c>
      <c r="H38" s="171">
        <f t="shared" ref="H38:H42" si="5">D38</f>
        <v>1415.99</v>
      </c>
      <c r="I38" s="171">
        <f t="shared" ref="I38:I42" si="6">ROUND(G38*H38/10000,0)</f>
        <v>123</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57"/>
      <c r="B39" s="2041" t="s">
        <v>3268</v>
      </c>
      <c r="C39" s="175">
        <f>ROUND(D5*C22*C23*C24*C28*F39,0)</f>
        <v>2897</v>
      </c>
      <c r="D39" s="2098"/>
      <c r="E39" s="171">
        <f t="shared" si="4"/>
        <v>0</v>
      </c>
      <c r="F39" s="171">
        <f>SUMIF(修正!A57:A68,G2,修正!D57:D68)</f>
        <v>0.25</v>
      </c>
      <c r="G39" s="171">
        <f>ROUND(IF(E2="工业",C39*$M$42,C39*$M$41),0)</f>
        <v>724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2897</v>
      </c>
      <c r="D40" s="2098"/>
      <c r="E40" s="171">
        <f t="shared" si="4"/>
        <v>0</v>
      </c>
      <c r="F40" s="175">
        <f>SUMIF(修正!A57:A68,G2,修正!E57:E68)</f>
        <v>0.25</v>
      </c>
      <c r="G40" s="171">
        <f>ROUND(IF(E2="工业",C40*$M$42,C40*$M$41),0)</f>
        <v>724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2745</v>
      </c>
      <c r="D41" s="2098"/>
      <c r="E41" s="171">
        <f t="shared" si="4"/>
        <v>0</v>
      </c>
      <c r="F41" s="175">
        <f>SUMIF(修正!A57:A68,G2,修正!F57:F68)</f>
        <v>0.25</v>
      </c>
      <c r="G41" s="171">
        <f>ROUND(IF(E2="工业",C41*$M$42,C41*$M$41),0)</f>
        <v>686</v>
      </c>
      <c r="H41" s="171">
        <f t="shared" si="5"/>
        <v>0</v>
      </c>
      <c r="I41" s="171">
        <f t="shared" si="6"/>
        <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1647</v>
      </c>
      <c r="D42" s="2103"/>
      <c r="E42" s="187">
        <f t="shared" si="4"/>
        <v>0</v>
      </c>
      <c r="F42" s="767">
        <f>SUMIF(修正!A57:A68,G2,修正!G57:G68)</f>
        <v>0.15</v>
      </c>
      <c r="G42" s="187">
        <f>ROUND(IF(E2="工业",C42*$M$42,C42*$M$41),0)</f>
        <v>412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0.85840000000000005</v>
      </c>
      <c r="D44" s="171" t="s">
        <v>1999</v>
      </c>
      <c r="E44" s="2153">
        <f>G24</f>
        <v>5.5E-2</v>
      </c>
      <c r="F44" s="171" t="s">
        <v>2008</v>
      </c>
      <c r="G44" s="183">
        <f>项目基本情况!D15</f>
        <v>30</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3413</v>
      </c>
      <c r="D50" s="1065">
        <f t="shared" ref="D50:D58" si="7">SUMIF($J$49:$N$49,C50,J50:N50)</f>
        <v>-1.4999999999999999E-2</v>
      </c>
      <c r="E50" s="744">
        <f>ROUND(SUM(D50:D58),4)</f>
        <v>4.0000000000000001E-3</v>
      </c>
      <c r="F50" s="1814">
        <f>IF(E2="商业",SUMIF(L1:L12,G2,N1:N12),"——")</f>
        <v>0.1</v>
      </c>
      <c r="G50" s="1063">
        <f>H50</f>
        <v>1.4999999999999999E-2</v>
      </c>
      <c r="H50" s="1066">
        <f t="shared" ref="H50:H58" si="8">IFERROR(ROUNDDOWN($F$50*I50/2,4),"——")</f>
        <v>1.4999999999999999E-2</v>
      </c>
      <c r="I50" s="3368">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3414</v>
      </c>
      <c r="D51" s="1065">
        <f t="shared" si="7"/>
        <v>0</v>
      </c>
      <c r="E51" s="745"/>
      <c r="F51" s="1814"/>
      <c r="G51" s="1063">
        <f t="shared" ref="G51:G58" si="12">H51</f>
        <v>1.0999999999999999E-2</v>
      </c>
      <c r="H51" s="1066">
        <f t="shared" si="8"/>
        <v>1.0999999999999999E-2</v>
      </c>
      <c r="I51" s="3368">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70" t="s">
        <v>3278</v>
      </c>
      <c r="B52" s="2134">
        <f>估价对象房地状况!C19</f>
        <v>0</v>
      </c>
      <c r="C52" s="2044" t="s">
        <v>3415</v>
      </c>
      <c r="D52" s="1065">
        <f t="shared" si="7"/>
        <v>6.0000000000000001E-3</v>
      </c>
      <c r="E52" s="745"/>
      <c r="F52" s="1814"/>
      <c r="G52" s="1063">
        <f t="shared" si="12"/>
        <v>6.0000000000000001E-3</v>
      </c>
      <c r="H52" s="1066">
        <f t="shared" si="8"/>
        <v>6.0000000000000001E-3</v>
      </c>
      <c r="I52" s="3368">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3415</v>
      </c>
      <c r="D53" s="1065">
        <f t="shared" si="7"/>
        <v>2.5000000000000001E-3</v>
      </c>
      <c r="E53" s="745"/>
      <c r="F53" s="1814"/>
      <c r="G53" s="1063">
        <f t="shared" si="12"/>
        <v>2.5000000000000001E-3</v>
      </c>
      <c r="H53" s="1066">
        <f t="shared" si="8"/>
        <v>2.5000000000000001E-3</v>
      </c>
      <c r="I53" s="3368">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3415</v>
      </c>
      <c r="D54" s="1065">
        <f t="shared" si="7"/>
        <v>4.0000000000000001E-3</v>
      </c>
      <c r="E54" s="745"/>
      <c r="F54" s="1814"/>
      <c r="G54" s="1063">
        <f t="shared" si="12"/>
        <v>4.0000000000000001E-3</v>
      </c>
      <c r="H54" s="1066">
        <f t="shared" si="8"/>
        <v>4.0000000000000001E-3</v>
      </c>
      <c r="I54" s="3368">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3415</v>
      </c>
      <c r="D55" s="1065">
        <f t="shared" si="7"/>
        <v>2.5000000000000001E-3</v>
      </c>
      <c r="E55" s="745"/>
      <c r="F55" s="1814"/>
      <c r="G55" s="1063">
        <f t="shared" si="12"/>
        <v>2.5000000000000001E-3</v>
      </c>
      <c r="H55" s="1066">
        <f t="shared" si="8"/>
        <v>2.5000000000000001E-3</v>
      </c>
      <c r="I55" s="3368">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3414</v>
      </c>
      <c r="D56" s="1065">
        <f t="shared" si="7"/>
        <v>0</v>
      </c>
      <c r="E56" s="745"/>
      <c r="F56" s="1814"/>
      <c r="G56" s="1063">
        <f t="shared" si="12"/>
        <v>2.5000000000000001E-3</v>
      </c>
      <c r="H56" s="1066">
        <f t="shared" si="8"/>
        <v>2.5000000000000001E-3</v>
      </c>
      <c r="I56" s="3368">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3415</v>
      </c>
      <c r="D57" s="1065">
        <f t="shared" si="7"/>
        <v>4.0000000000000001E-3</v>
      </c>
      <c r="E57" s="745"/>
      <c r="F57" s="1814"/>
      <c r="G57" s="1063">
        <f t="shared" si="12"/>
        <v>4.0000000000000001E-3</v>
      </c>
      <c r="H57" s="1066">
        <f t="shared" si="8"/>
        <v>4.0000000000000001E-3</v>
      </c>
      <c r="I57" s="3368">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3414</v>
      </c>
      <c r="D58" s="1065">
        <f t="shared" si="7"/>
        <v>0</v>
      </c>
      <c r="E58" s="746"/>
      <c r="F58" s="1814"/>
      <c r="G58" s="1063">
        <f t="shared" si="12"/>
        <v>2.5000000000000001E-3</v>
      </c>
      <c r="H58" s="1066">
        <f t="shared" si="8"/>
        <v>2.5000000000000001E-3</v>
      </c>
      <c r="I58" s="3369">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8">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8">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70" t="s">
        <v>3278</v>
      </c>
      <c r="B63" s="2134">
        <f>估价对象房地状况!C19</f>
        <v>0</v>
      </c>
      <c r="C63" s="2044"/>
      <c r="D63" s="1065">
        <f t="shared" si="13"/>
        <v>0</v>
      </c>
      <c r="E63" s="745"/>
      <c r="F63" s="1814"/>
      <c r="G63" s="1063"/>
      <c r="H63" s="1066" t="str">
        <f t="shared" si="14"/>
        <v>——</v>
      </c>
      <c r="I63" s="3368">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8">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8">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8">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8">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8">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9">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8">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8">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70" t="s">
        <v>3278</v>
      </c>
      <c r="B74" s="2134">
        <f>估价对象房地状况!C19</f>
        <v>0</v>
      </c>
      <c r="C74" s="2044"/>
      <c r="D74" s="1065">
        <f t="shared" si="18"/>
        <v>0</v>
      </c>
      <c r="E74" s="747"/>
      <c r="F74" s="1814"/>
      <c r="G74" s="1063"/>
      <c r="H74" s="1066" t="str">
        <f t="shared" si="19"/>
        <v>——</v>
      </c>
      <c r="I74" s="3368">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8">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8">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8">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8">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8">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9">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8">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8">
        <v>0.3</v>
      </c>
      <c r="J84" s="1064">
        <f t="shared" si="25"/>
        <v>0</v>
      </c>
      <c r="K84" s="1064">
        <f t="shared" si="26"/>
        <v>0</v>
      </c>
      <c r="L84" s="1064">
        <v>0</v>
      </c>
      <c r="M84" s="1064">
        <f t="shared" si="27"/>
        <v>0</v>
      </c>
      <c r="N84" s="1064">
        <f t="shared" si="27"/>
        <v>0</v>
      </c>
      <c r="Z84" s="1998"/>
      <c r="AA84" s="2053"/>
      <c r="AG84" s="1121"/>
      <c r="AK84" s="2053"/>
    </row>
    <row r="85" spans="1:37" ht="36">
      <c r="A85" s="3370" t="s">
        <v>3279</v>
      </c>
      <c r="B85" s="2134">
        <f>估价对象房地状况!G17</f>
        <v>0</v>
      </c>
      <c r="C85" s="2044"/>
      <c r="D85" s="1065">
        <f t="shared" si="23"/>
        <v>0</v>
      </c>
      <c r="E85" s="747"/>
      <c r="F85" s="1814"/>
      <c r="G85" s="1063"/>
      <c r="H85" s="1066" t="str">
        <f t="shared" si="24"/>
        <v>——</v>
      </c>
      <c r="I85" s="3368">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8">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8">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8">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8">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9">
        <v>0.05</v>
      </c>
      <c r="J90" s="1064">
        <f t="shared" si="25"/>
        <v>0</v>
      </c>
      <c r="K90" s="1064">
        <f t="shared" si="26"/>
        <v>0</v>
      </c>
      <c r="L90" s="1064">
        <v>0</v>
      </c>
      <c r="M90" s="1064">
        <f t="shared" si="27"/>
        <v>0</v>
      </c>
      <c r="N90" s="1064">
        <f t="shared" si="27"/>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8">K93+$G93</f>
        <v>0</v>
      </c>
      <c r="K93" s="3346">
        <f t="shared" ref="K93:K101" si="29">$L93+$G93</f>
        <v>0</v>
      </c>
      <c r="L93" s="3346">
        <v>0</v>
      </c>
      <c r="M93" s="3346">
        <f t="shared" ref="M93:N101" si="30">L93-$G93</f>
        <v>0</v>
      </c>
      <c r="N93" s="3346">
        <f t="shared" si="30"/>
        <v>0</v>
      </c>
    </row>
    <row r="94" spans="1:37" ht="38.25">
      <c r="A94" s="3380" t="s">
        <v>3282</v>
      </c>
      <c r="B94" s="3371" t="str">
        <f>估价对象房地状况!C18</f>
        <v>估价对象周边道路状况、公共交通通达情况、停车便捷程度，综合评价交通便捷度较好</v>
      </c>
      <c r="C94" s="2044"/>
      <c r="D94" s="3367">
        <f t="shared" ref="D94:D101" si="31">SUMIF($J$60:$N$60,C94,J94:N94)</f>
        <v>0</v>
      </c>
      <c r="E94" s="3384"/>
      <c r="F94" s="1814"/>
      <c r="G94" s="3374"/>
      <c r="H94" s="3422" t="str">
        <f>IFERROR(ROUNDDOWN($F$93*I94/2,4),"——")</f>
        <v>——</v>
      </c>
      <c r="I94" s="3368">
        <v>0.26</v>
      </c>
      <c r="J94" s="3346">
        <f t="shared" si="28"/>
        <v>0</v>
      </c>
      <c r="K94" s="3346">
        <f t="shared" si="29"/>
        <v>0</v>
      </c>
      <c r="L94" s="3346">
        <v>0</v>
      </c>
      <c r="M94" s="3346">
        <f t="shared" si="30"/>
        <v>0</v>
      </c>
      <c r="N94" s="3346">
        <f t="shared" si="30"/>
        <v>0</v>
      </c>
    </row>
    <row r="95" spans="1:37" ht="36">
      <c r="A95" s="3370" t="s">
        <v>3278</v>
      </c>
      <c r="B95" s="3371">
        <f>估价对象房地状况!C19</f>
        <v>0</v>
      </c>
      <c r="C95" s="2044"/>
      <c r="D95" s="3367">
        <f t="shared" si="31"/>
        <v>0</v>
      </c>
      <c r="E95" s="3384"/>
      <c r="F95" s="1814"/>
      <c r="G95" s="3374"/>
      <c r="H95" s="3422" t="str">
        <f t="shared" ref="H95:H101" si="32">IFERROR(ROUNDDOWN($F$93*I95/2,4),"——")</f>
        <v>——</v>
      </c>
      <c r="I95" s="3368">
        <v>0.11</v>
      </c>
      <c r="J95" s="3346">
        <f t="shared" si="28"/>
        <v>0</v>
      </c>
      <c r="K95" s="3346">
        <f t="shared" si="29"/>
        <v>0</v>
      </c>
      <c r="L95" s="3346">
        <v>0</v>
      </c>
      <c r="M95" s="3346">
        <f t="shared" si="30"/>
        <v>0</v>
      </c>
      <c r="N95" s="3346">
        <f t="shared" si="30"/>
        <v>0</v>
      </c>
    </row>
    <row r="96" spans="1:37" ht="36.75">
      <c r="A96" s="3380" t="s">
        <v>3283</v>
      </c>
      <c r="B96" s="3386" t="s">
        <v>3294</v>
      </c>
      <c r="C96" s="2044"/>
      <c r="D96" s="3367">
        <f t="shared" si="31"/>
        <v>0</v>
      </c>
      <c r="E96" s="3384"/>
      <c r="F96" s="1814"/>
      <c r="G96" s="3374"/>
      <c r="H96" s="3422" t="str">
        <f t="shared" si="32"/>
        <v>——</v>
      </c>
      <c r="I96" s="3368">
        <v>0.05</v>
      </c>
      <c r="J96" s="3346">
        <f t="shared" si="28"/>
        <v>0</v>
      </c>
      <c r="K96" s="3346">
        <f t="shared" si="29"/>
        <v>0</v>
      </c>
      <c r="L96" s="3346">
        <v>0</v>
      </c>
      <c r="M96" s="3346">
        <f t="shared" si="30"/>
        <v>0</v>
      </c>
      <c r="N96" s="3346">
        <f t="shared" si="30"/>
        <v>0</v>
      </c>
    </row>
    <row r="97" spans="1:14" ht="24">
      <c r="A97" s="3380" t="s">
        <v>3284</v>
      </c>
      <c r="B97" s="3371">
        <f>估价对象房地状况!C24</f>
        <v>0</v>
      </c>
      <c r="C97" s="2044"/>
      <c r="D97" s="3367">
        <f t="shared" si="31"/>
        <v>0</v>
      </c>
      <c r="E97" s="3384"/>
      <c r="F97" s="1814"/>
      <c r="G97" s="3374"/>
      <c r="H97" s="3422" t="str">
        <f t="shared" si="32"/>
        <v>——</v>
      </c>
      <c r="I97" s="3368">
        <v>0.05</v>
      </c>
      <c r="J97" s="3346">
        <f t="shared" si="28"/>
        <v>0</v>
      </c>
      <c r="K97" s="3346">
        <f t="shared" si="29"/>
        <v>0</v>
      </c>
      <c r="L97" s="3346">
        <v>0</v>
      </c>
      <c r="M97" s="3346">
        <f t="shared" si="30"/>
        <v>0</v>
      </c>
      <c r="N97" s="3346">
        <f t="shared" si="30"/>
        <v>0</v>
      </c>
    </row>
    <row r="98" spans="1:14" ht="24">
      <c r="A98" s="3380" t="s">
        <v>3285</v>
      </c>
      <c r="B98" s="3387" t="s">
        <v>3295</v>
      </c>
      <c r="C98" s="2044"/>
      <c r="D98" s="3367">
        <f t="shared" si="31"/>
        <v>0</v>
      </c>
      <c r="E98" s="3384"/>
      <c r="F98" s="1814"/>
      <c r="G98" s="3374"/>
      <c r="H98" s="3422" t="str">
        <f t="shared" si="32"/>
        <v>——</v>
      </c>
      <c r="I98" s="3368">
        <v>0.06</v>
      </c>
      <c r="J98" s="3346">
        <f t="shared" si="28"/>
        <v>0</v>
      </c>
      <c r="K98" s="3346">
        <f t="shared" si="29"/>
        <v>0</v>
      </c>
      <c r="L98" s="3346">
        <v>0</v>
      </c>
      <c r="M98" s="3346">
        <f t="shared" si="30"/>
        <v>0</v>
      </c>
      <c r="N98" s="3346">
        <f t="shared" si="30"/>
        <v>0</v>
      </c>
    </row>
    <row r="99" spans="1:14" ht="25.5">
      <c r="A99" s="3380" t="s">
        <v>3286</v>
      </c>
      <c r="B99" s="3371" t="str">
        <f>估价对象房地状况!C21</f>
        <v>估价对象所在区域公共配套设施齐备情况</v>
      </c>
      <c r="C99" s="2044"/>
      <c r="D99" s="3367">
        <f t="shared" si="31"/>
        <v>0</v>
      </c>
      <c r="E99" s="3384"/>
      <c r="F99" s="1814"/>
      <c r="G99" s="3374"/>
      <c r="H99" s="3422" t="str">
        <f t="shared" si="32"/>
        <v>——</v>
      </c>
      <c r="I99" s="3368">
        <v>0.06</v>
      </c>
      <c r="J99" s="3346">
        <f t="shared" si="28"/>
        <v>0</v>
      </c>
      <c r="K99" s="3346">
        <f t="shared" si="29"/>
        <v>0</v>
      </c>
      <c r="L99" s="3346">
        <v>0</v>
      </c>
      <c r="M99" s="3346">
        <f t="shared" si="30"/>
        <v>0</v>
      </c>
      <c r="N99" s="3346">
        <f t="shared" si="30"/>
        <v>0</v>
      </c>
    </row>
    <row r="100" spans="1:14" ht="25.5">
      <c r="A100" s="3380" t="s">
        <v>3287</v>
      </c>
      <c r="B100" s="3371" t="str">
        <f>估价对象房地状况!C22</f>
        <v>估价对象所在区域基础设施水平</v>
      </c>
      <c r="C100" s="2044"/>
      <c r="D100" s="3367">
        <f t="shared" si="31"/>
        <v>0</v>
      </c>
      <c r="E100" s="3384"/>
      <c r="F100" s="1814"/>
      <c r="G100" s="3374"/>
      <c r="H100" s="3422" t="str">
        <f t="shared" si="32"/>
        <v>——</v>
      </c>
      <c r="I100" s="3368">
        <v>0.09</v>
      </c>
      <c r="J100" s="3346">
        <f t="shared" si="28"/>
        <v>0</v>
      </c>
      <c r="K100" s="3346">
        <f t="shared" si="29"/>
        <v>0</v>
      </c>
      <c r="L100" s="3346">
        <v>0</v>
      </c>
      <c r="M100" s="3346">
        <f t="shared" si="30"/>
        <v>0</v>
      </c>
      <c r="N100" s="3346">
        <f t="shared" si="30"/>
        <v>0</v>
      </c>
    </row>
    <row r="101" spans="1:14" ht="26.25" thickBot="1">
      <c r="A101" s="3381" t="s">
        <v>3288</v>
      </c>
      <c r="B101" s="3388" t="str">
        <f>估价对象房地状况!C20</f>
        <v>区域自然环境：；人文环境；综合评价环境状况一般</v>
      </c>
      <c r="C101" s="2044"/>
      <c r="D101" s="3367">
        <f t="shared" si="31"/>
        <v>0</v>
      </c>
      <c r="E101" s="3385"/>
      <c r="F101" s="1814"/>
      <c r="G101" s="3374"/>
      <c r="H101" s="3422" t="str">
        <f t="shared" si="32"/>
        <v>——</v>
      </c>
      <c r="I101" s="3369">
        <v>7.0000000000000007E-2</v>
      </c>
      <c r="J101" s="3346">
        <f t="shared" si="28"/>
        <v>0</v>
      </c>
      <c r="K101" s="3346">
        <f t="shared" si="29"/>
        <v>0</v>
      </c>
      <c r="L101" s="3346">
        <v>0</v>
      </c>
      <c r="M101" s="3346">
        <f t="shared" si="30"/>
        <v>0</v>
      </c>
      <c r="N101" s="3346">
        <f t="shared" si="30"/>
        <v>0</v>
      </c>
    </row>
    <row r="103" spans="1:14">
      <c r="A103" s="3754" t="s">
        <v>3303</v>
      </c>
      <c r="B103" s="3754"/>
      <c r="C103" s="3754"/>
      <c r="D103" s="3754"/>
      <c r="E103" s="3754"/>
      <c r="F103" s="3754"/>
      <c r="G103" s="3754"/>
      <c r="H103" s="3754"/>
      <c r="I103" s="3754"/>
      <c r="J103" s="3754"/>
      <c r="K103" s="3391"/>
      <c r="L103" s="3391"/>
      <c r="M103" s="3391"/>
      <c r="N103" s="3391"/>
    </row>
    <row r="104" spans="1:14">
      <c r="A104" s="3755" t="s">
        <v>3304</v>
      </c>
      <c r="B104" s="3755" t="s">
        <v>3305</v>
      </c>
      <c r="C104" s="3392" t="s">
        <v>3306</v>
      </c>
      <c r="D104" s="3393"/>
      <c r="E104" s="3393"/>
      <c r="F104" s="3393"/>
      <c r="G104" s="3393"/>
      <c r="H104" s="3393"/>
      <c r="I104" s="3393"/>
      <c r="J104" s="3394"/>
      <c r="K104" s="3395"/>
      <c r="L104" s="3395"/>
      <c r="M104" s="3395"/>
      <c r="N104" s="3395"/>
    </row>
    <row r="105" spans="1:14">
      <c r="A105" s="3755"/>
      <c r="B105" s="3755"/>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41"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42"/>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42"/>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42"/>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42"/>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42"/>
      <c r="B111" s="3396" t="s">
        <v>3277</v>
      </c>
      <c r="C111" s="3397">
        <f>$I$3</f>
        <v>1</v>
      </c>
      <c r="D111" s="3397">
        <f t="shared" ref="D111:M111" si="33">$I$3</f>
        <v>1</v>
      </c>
      <c r="E111" s="3397">
        <f t="shared" si="33"/>
        <v>1</v>
      </c>
      <c r="F111" s="3397">
        <f t="shared" si="33"/>
        <v>1</v>
      </c>
      <c r="G111" s="3397">
        <f t="shared" si="33"/>
        <v>1</v>
      </c>
      <c r="H111" s="3397">
        <f t="shared" si="33"/>
        <v>1</v>
      </c>
      <c r="I111" s="3397">
        <f t="shared" si="33"/>
        <v>1</v>
      </c>
      <c r="J111" s="3397">
        <f t="shared" si="33"/>
        <v>1</v>
      </c>
      <c r="K111" s="3397">
        <f t="shared" si="33"/>
        <v>1</v>
      </c>
      <c r="L111" s="3397">
        <f t="shared" si="33"/>
        <v>1</v>
      </c>
      <c r="M111" s="3397">
        <f t="shared" si="33"/>
        <v>1</v>
      </c>
      <c r="N111" s="3397">
        <f>$I$3</f>
        <v>1</v>
      </c>
    </row>
    <row r="112" spans="1:14">
      <c r="A112" s="3743"/>
      <c r="B112" s="3396">
        <v>6</v>
      </c>
      <c r="C112" s="3389">
        <f>(-0.5556*(C111^2)-0.2719*C111+8944)*(10^(-4))</f>
        <v>0.89431725000000006</v>
      </c>
      <c r="D112" s="3389">
        <f>(-0.5556*(D111^2)-0.2719*D111+8944)*(10^(-4))</f>
        <v>0.89431725000000006</v>
      </c>
      <c r="E112" s="3389">
        <f>(-0.7912*(E111^2)-11.3794*E111+8482)*(10^(-4))</f>
        <v>0.84698294000000007</v>
      </c>
      <c r="F112" s="3389">
        <f t="shared" ref="F112:I112" si="34">(-0.7912*(F111^2)-11.3794*F111+8482)*(10^(-4))</f>
        <v>0.84698294000000007</v>
      </c>
      <c r="G112" s="3389">
        <f t="shared" si="34"/>
        <v>0.84698294000000007</v>
      </c>
      <c r="H112" s="3389">
        <f t="shared" si="34"/>
        <v>0.84698294000000007</v>
      </c>
      <c r="I112" s="3389">
        <f t="shared" si="34"/>
        <v>0.84698294000000007</v>
      </c>
      <c r="J112" s="3389">
        <f>(-0.989*(J111^2)-63.78*J111+7771)*(10^(-4))</f>
        <v>0.77062310000000001</v>
      </c>
      <c r="K112" s="3389">
        <f t="shared" ref="K112:N112" si="35">(-0.989*(K111^2)-63.78*K111+7771)*(10^(-4))</f>
        <v>0.77062310000000001</v>
      </c>
      <c r="L112" s="3389">
        <f t="shared" si="35"/>
        <v>0.77062310000000001</v>
      </c>
      <c r="M112" s="3389">
        <f t="shared" si="35"/>
        <v>0.77062310000000001</v>
      </c>
      <c r="N112" s="3389">
        <f t="shared" si="35"/>
        <v>0.77062310000000001</v>
      </c>
    </row>
    <row r="113" spans="1:14">
      <c r="A113" s="3744" t="s">
        <v>3320</v>
      </c>
      <c r="B113" s="3744"/>
      <c r="C113" s="3744"/>
      <c r="D113" s="3744"/>
      <c r="E113" s="3744"/>
      <c r="F113" s="3744"/>
      <c r="G113" s="3744"/>
      <c r="H113" s="3744"/>
      <c r="I113" s="3744"/>
      <c r="J113" s="3744"/>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0.94899999999999995</v>
      </c>
      <c r="E116" s="2000" t="s">
        <v>3323</v>
      </c>
      <c r="F116" s="3403" t="str">
        <f>E2</f>
        <v>商业</v>
      </c>
      <c r="G116" s="2000" t="s">
        <v>3324</v>
      </c>
      <c r="H116" s="3403" t="str">
        <f>G2</f>
        <v>五级</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6">I118</f>
        <v>0.84860000000000002</v>
      </c>
      <c r="K118" s="3389">
        <f t="shared" si="36"/>
        <v>0.84860000000000002</v>
      </c>
      <c r="L118" s="3389">
        <f t="shared" si="36"/>
        <v>0.84860000000000002</v>
      </c>
      <c r="M118" s="3412">
        <f t="shared" si="36"/>
        <v>0.84860000000000002</v>
      </c>
      <c r="N118" s="3399"/>
    </row>
    <row r="119" spans="1:14">
      <c r="A119" s="3411" t="s">
        <v>3338</v>
      </c>
      <c r="B119" s="3389">
        <f>ROUND(0.993-0.0112*B116,4)</f>
        <v>0.99299999999999999</v>
      </c>
      <c r="C119" s="3389">
        <f>B119</f>
        <v>0.99299999999999999</v>
      </c>
      <c r="D119" s="3389">
        <f>ROUND(0.9415-0.0142*B116,4)</f>
        <v>0.9415</v>
      </c>
      <c r="E119" s="3389">
        <f t="shared" ref="E119:H120" si="37">D119</f>
        <v>0.9415</v>
      </c>
      <c r="F119" s="3389">
        <f t="shared" si="37"/>
        <v>0.9415</v>
      </c>
      <c r="G119" s="3389">
        <f t="shared" si="37"/>
        <v>0.9415</v>
      </c>
      <c r="H119" s="3389">
        <f t="shared" si="37"/>
        <v>0.9415</v>
      </c>
      <c r="I119" s="3389">
        <f>ROUND(0.838-0.0182*B116,4)</f>
        <v>0.83799999999999997</v>
      </c>
      <c r="J119" s="3389">
        <f t="shared" si="36"/>
        <v>0.83799999999999997</v>
      </c>
      <c r="K119" s="3389">
        <f t="shared" si="36"/>
        <v>0.83799999999999997</v>
      </c>
      <c r="L119" s="3389">
        <f t="shared" si="36"/>
        <v>0.83799999999999997</v>
      </c>
      <c r="M119" s="3412">
        <f t="shared" si="36"/>
        <v>0.83799999999999997</v>
      </c>
      <c r="N119" s="3399"/>
    </row>
    <row r="120" spans="1:14">
      <c r="A120" s="3411" t="s">
        <v>3339</v>
      </c>
      <c r="B120" s="3389">
        <f>ROUND(0.9448-0.0115*B116,4)</f>
        <v>0.94479999999999997</v>
      </c>
      <c r="C120" s="3389">
        <f>B120</f>
        <v>0.94479999999999997</v>
      </c>
      <c r="D120" s="3389">
        <f>ROUND(0.937-0.0145*B116,4)</f>
        <v>0.93700000000000006</v>
      </c>
      <c r="E120" s="3389">
        <f t="shared" si="37"/>
        <v>0.93700000000000006</v>
      </c>
      <c r="F120" s="3389">
        <f t="shared" si="37"/>
        <v>0.93700000000000006</v>
      </c>
      <c r="G120" s="3389">
        <f t="shared" si="37"/>
        <v>0.93700000000000006</v>
      </c>
      <c r="H120" s="3389">
        <f t="shared" si="37"/>
        <v>0.93700000000000006</v>
      </c>
      <c r="I120" s="3389">
        <f>ROUND(0.7965-0.0185*B116,4)</f>
        <v>0.79649999999999999</v>
      </c>
      <c r="J120" s="3389">
        <f t="shared" si="36"/>
        <v>0.79649999999999999</v>
      </c>
      <c r="K120" s="3389">
        <f t="shared" si="36"/>
        <v>0.79649999999999999</v>
      </c>
      <c r="L120" s="3389">
        <f t="shared" si="36"/>
        <v>0.79649999999999999</v>
      </c>
      <c r="M120" s="3412">
        <f t="shared" si="36"/>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6"/>
        <v>0.59050000000000002</v>
      </c>
      <c r="K121" s="3414">
        <f t="shared" si="36"/>
        <v>0.59050000000000002</v>
      </c>
      <c r="L121" s="3414">
        <f t="shared" si="36"/>
        <v>0.59050000000000002</v>
      </c>
      <c r="M121" s="3415">
        <f t="shared" si="36"/>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8">D122</f>
        <v>0.89549999999999996</v>
      </c>
      <c r="F122" s="3389">
        <f t="shared" si="38"/>
        <v>0.89549999999999996</v>
      </c>
      <c r="G122" s="3389">
        <f t="shared" si="38"/>
        <v>0.89549999999999996</v>
      </c>
      <c r="H122" s="3389">
        <f t="shared" si="38"/>
        <v>0.89549999999999996</v>
      </c>
      <c r="I122" s="3389">
        <f>ROUND(0.7632-0.0166*B116,4)</f>
        <v>0.76319999999999999</v>
      </c>
      <c r="J122" s="3389">
        <f t="shared" si="36"/>
        <v>0.76319999999999999</v>
      </c>
      <c r="K122" s="3389">
        <f t="shared" si="36"/>
        <v>0.76319999999999999</v>
      </c>
      <c r="L122" s="3389">
        <f t="shared" si="36"/>
        <v>0.76319999999999999</v>
      </c>
      <c r="M122" s="3412">
        <f t="shared" si="36"/>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2082.2645000000002</v>
      </c>
      <c r="C2" s="1387" t="s">
        <v>879</v>
      </c>
      <c r="D2" s="1471">
        <f ca="1">C40+J29+L46</f>
        <v>20822645</v>
      </c>
      <c r="E2" s="1388" t="s">
        <v>880</v>
      </c>
      <c r="F2" s="1389"/>
      <c r="G2" s="2706"/>
      <c r="H2" s="2695"/>
      <c r="I2" s="2695"/>
      <c r="J2" s="2695"/>
      <c r="K2" s="2696"/>
      <c r="L2" s="2695"/>
      <c r="M2" s="2695"/>
    </row>
    <row r="3" spans="1:37" ht="18" customHeight="1" thickBot="1">
      <c r="A3" s="1390" t="s">
        <v>881</v>
      </c>
      <c r="B3" s="1391">
        <f ca="1">IF(ISERROR(D2/F43),0,ROUND(D2/F43,0))</f>
        <v>9648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774912</v>
      </c>
      <c r="D5" s="1364" t="s">
        <v>889</v>
      </c>
      <c r="E5" s="1071"/>
      <c r="F5" s="1072"/>
      <c r="G5" s="1384"/>
      <c r="H5" s="299">
        <v>1</v>
      </c>
      <c r="I5" s="300" t="s">
        <v>888</v>
      </c>
      <c r="J5" s="1070">
        <f ca="1">J6+J10+J12</f>
        <v>2220359</v>
      </c>
      <c r="K5" s="1364" t="s">
        <v>889</v>
      </c>
      <c r="L5" s="1071"/>
      <c r="M5" s="1072"/>
    </row>
    <row r="6" spans="1:37" ht="18" customHeight="1">
      <c r="A6" s="1069" t="s">
        <v>398</v>
      </c>
      <c r="B6" s="3641" t="s">
        <v>694</v>
      </c>
      <c r="C6" s="1074">
        <f ca="1">ROUND(F6*F8*F7*(1-F9),0)</f>
        <v>772017</v>
      </c>
      <c r="D6" s="155" t="s">
        <v>2106</v>
      </c>
      <c r="E6" s="302" t="s">
        <v>696</v>
      </c>
      <c r="F6" s="303">
        <f ca="1">INDIRECT("'数据-取费表'!u"&amp;$G$1)</f>
        <v>0.98</v>
      </c>
      <c r="G6" s="1384"/>
      <c r="H6" s="1069" t="s">
        <v>398</v>
      </c>
      <c r="I6" s="3641" t="s">
        <v>694</v>
      </c>
      <c r="J6" s="301">
        <f ca="1">ROUND(M6*M8*M7*(1-M9),0)</f>
        <v>2212064</v>
      </c>
      <c r="K6" s="1376" t="s">
        <v>2107</v>
      </c>
      <c r="L6" s="302" t="s">
        <v>696</v>
      </c>
      <c r="M6" s="303">
        <f ca="1">INDIRECT("'数据-取费表'!z"&amp;$G$1)</f>
        <v>3.12</v>
      </c>
    </row>
    <row r="7" spans="1:37" ht="18" customHeight="1">
      <c r="A7" s="1073"/>
      <c r="B7" s="3642"/>
      <c r="C7" s="1075"/>
      <c r="D7" s="307"/>
      <c r="E7" s="1076" t="s">
        <v>697</v>
      </c>
      <c r="F7" s="303">
        <f ca="1">IF(INDIRECT("'数据-取费表'!ah"&amp;$G$1)="",INDIRECT("'数据-取费表'!k"&amp;$G$1),INDIRECT("'数据-取费表'!ah"&amp;$G$1))</f>
        <v>2158.2799999999997</v>
      </c>
      <c r="G7" s="1384"/>
      <c r="H7" s="304"/>
      <c r="I7" s="3642"/>
      <c r="J7" s="306"/>
      <c r="K7" s="307"/>
      <c r="L7" s="302" t="s">
        <v>697</v>
      </c>
      <c r="M7" s="303">
        <f ca="1">F7</f>
        <v>2158.2799999999997</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0.1</v>
      </c>
    </row>
    <row r="10" spans="1:37" ht="18" customHeight="1">
      <c r="A10" s="1069" t="s">
        <v>402</v>
      </c>
      <c r="B10" s="1365" t="s">
        <v>700</v>
      </c>
      <c r="C10" s="316">
        <f ca="1">ROUND(IF(F10="押一",C6/12*F11,IF(F10="押二",C6/12*2*F11,IF(F10="押三",C6/12*3*F11,C11*F11))),0)</f>
        <v>2895</v>
      </c>
      <c r="D10" s="1366" t="s">
        <v>2116</v>
      </c>
      <c r="E10" s="313" t="s">
        <v>701</v>
      </c>
      <c r="F10" s="1116" t="s">
        <v>3408</v>
      </c>
      <c r="G10" s="1384"/>
      <c r="H10" s="1069" t="s">
        <v>402</v>
      </c>
      <c r="I10" s="1365" t="s">
        <v>700</v>
      </c>
      <c r="J10" s="301">
        <f ca="1">ROUND(IF(M10="押一",J6/12*M11,IF(M10="押二",J6/12*2*M11,IF(M10="押三",J6/12*3*M11,J11*M11))),0)</f>
        <v>8295</v>
      </c>
      <c r="K10" s="1377" t="s">
        <v>2118</v>
      </c>
      <c r="L10" s="313" t="s">
        <v>701</v>
      </c>
      <c r="M10" s="1116" t="s">
        <v>3408</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13010610</v>
      </c>
      <c r="D13" s="1081" t="s">
        <v>705</v>
      </c>
      <c r="E13" s="1081" t="s">
        <v>706</v>
      </c>
      <c r="F13" s="1082">
        <f ca="1">INDIRECT("'数据-取费表'!y"&amp;$G$1)</f>
        <v>0.87</v>
      </c>
      <c r="G13" s="1384"/>
      <c r="H13" s="1079">
        <v>2</v>
      </c>
      <c r="I13" s="1080" t="s">
        <v>704</v>
      </c>
      <c r="J13" s="1068">
        <f ca="1">ROUND(J14*J15,0)</f>
        <v>10767401</v>
      </c>
      <c r="K13" s="1087" t="s">
        <v>705</v>
      </c>
      <c r="L13" s="1392"/>
      <c r="M13" s="1393"/>
    </row>
    <row r="14" spans="1:37" ht="18" customHeight="1">
      <c r="A14" s="982" t="s">
        <v>397</v>
      </c>
      <c r="B14" s="302" t="s">
        <v>707</v>
      </c>
      <c r="C14" s="318">
        <f ca="1">ROUND(INDIRECT("'数据-取费表'!l"&amp;$G$1)*F43+'数据-取费表'!L14*INDIRECT("'数据-取费表'!S"&amp;$G$1),0)</f>
        <v>9928088</v>
      </c>
      <c r="D14" s="1345" t="s">
        <v>708</v>
      </c>
      <c r="E14" s="1342"/>
      <c r="F14" s="319"/>
      <c r="G14" s="1384"/>
      <c r="H14" s="982" t="s">
        <v>398</v>
      </c>
      <c r="I14" s="302" t="s">
        <v>709</v>
      </c>
      <c r="J14" s="21">
        <f ca="1">C29</f>
        <v>14954724</v>
      </c>
      <c r="K14" s="12"/>
      <c r="L14" s="807"/>
      <c r="M14" s="808"/>
    </row>
    <row r="15" spans="1:37" s="1397" customFormat="1" ht="18" customHeight="1" thickBot="1">
      <c r="A15" s="982" t="s">
        <v>399</v>
      </c>
      <c r="B15" s="302" t="s">
        <v>710</v>
      </c>
      <c r="C15" s="21">
        <f ca="1">ROUND(C14*F15,0)</f>
        <v>496404</v>
      </c>
      <c r="D15" s="320" t="s">
        <v>711</v>
      </c>
      <c r="E15" s="320" t="s">
        <v>712</v>
      </c>
      <c r="F15" s="321">
        <f>'数据-取费表'!B33</f>
        <v>0.05</v>
      </c>
      <c r="G15" s="1396"/>
      <c r="H15" s="1089" t="s">
        <v>402</v>
      </c>
      <c r="I15" s="1090" t="s">
        <v>706</v>
      </c>
      <c r="J15" s="1099">
        <f ca="1">INDIRECT("'数据-取费表'!ad"&amp;$G$1)</f>
        <v>0.72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478529</v>
      </c>
      <c r="K16" s="1087" t="s">
        <v>715</v>
      </c>
      <c r="L16" s="1088"/>
      <c r="M16" s="1072"/>
    </row>
    <row r="17" spans="1:37" s="1397" customFormat="1" ht="18" customHeight="1">
      <c r="A17" s="982" t="s">
        <v>681</v>
      </c>
      <c r="B17" s="302" t="s">
        <v>716</v>
      </c>
      <c r="C17" s="21">
        <f ca="1">ROUND(F17*(F43+INDIRECT("'数据-取费表'!S"&amp;$G$1)),0)</f>
        <v>431656</v>
      </c>
      <c r="D17" s="302" t="s">
        <v>717</v>
      </c>
      <c r="E17" s="302" t="s">
        <v>718</v>
      </c>
      <c r="F17" s="23">
        <f>'数据-取费表'!B35</f>
        <v>200</v>
      </c>
      <c r="G17" s="1396"/>
      <c r="H17" s="982" t="s">
        <v>398</v>
      </c>
      <c r="I17" s="302" t="s">
        <v>719</v>
      </c>
      <c r="J17" s="2316">
        <f ca="1">ROUND(IF(AND(项目基本情况!B11="自然人",项目基本情况!B10="北京市"),J6*M17/(1+'数据-取费表'!C42),J18+J19+J20),0)</f>
        <v>370784</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148921</v>
      </c>
      <c r="D18" s="302" t="s">
        <v>711</v>
      </c>
      <c r="E18" s="302" t="s">
        <v>712</v>
      </c>
      <c r="F18" s="322">
        <f>'数据-取费表'!B36</f>
        <v>1.4999999999999999E-2</v>
      </c>
      <c r="G18" s="1396"/>
      <c r="H18" s="982" t="s">
        <v>397</v>
      </c>
      <c r="I18" s="302" t="s">
        <v>723</v>
      </c>
      <c r="J18" s="21">
        <f ca="1">ROUND(J6*M18/(1+'数据-取费表'!C42),0)</f>
        <v>117977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11005069</v>
      </c>
      <c r="D19" s="131" t="s">
        <v>726</v>
      </c>
      <c r="E19" s="1360"/>
      <c r="F19" s="23"/>
      <c r="G19" s="1384"/>
      <c r="H19" s="982" t="s">
        <v>399</v>
      </c>
      <c r="I19" s="302" t="s">
        <v>727</v>
      </c>
      <c r="J19" s="21">
        <f ca="1">IF(K19="按租金收入计税",ROUND(J6*M19/(1+'数据-取费表'!C42),0),ROUND(C29*M19*0.7,0))</f>
        <v>252807</v>
      </c>
      <c r="K19" s="1370" t="s">
        <v>3344</v>
      </c>
      <c r="L19" s="302" t="s">
        <v>712</v>
      </c>
      <c r="M19" s="322">
        <f>IF(K19="按租金收入计税",'数据-取费表'!B51,'数据-取费表'!B50)</f>
        <v>0.12</v>
      </c>
    </row>
    <row r="20" spans="1:37" s="1397" customFormat="1" ht="18" customHeight="1">
      <c r="A20" s="982" t="s">
        <v>402</v>
      </c>
      <c r="B20" s="302" t="s">
        <v>728</v>
      </c>
      <c r="C20" s="21">
        <f ca="1">ROUND(C19*F20,0)</f>
        <v>330152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74774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470411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10767</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22204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1741830</v>
      </c>
      <c r="K25" s="1095" t="s">
        <v>753</v>
      </c>
      <c r="L25" s="1096"/>
      <c r="M25" s="1097"/>
    </row>
    <row r="26" spans="1:37" ht="18" customHeight="1">
      <c r="A26" s="982" t="s">
        <v>397</v>
      </c>
      <c r="B26" s="302" t="s">
        <v>754</v>
      </c>
      <c r="C26" s="21">
        <f ca="1">ROUND((C19+C20)*F26,0)</f>
        <v>1813635</v>
      </c>
      <c r="D26" s="323" t="s">
        <v>755</v>
      </c>
      <c r="E26" s="313" t="s">
        <v>756</v>
      </c>
      <c r="F26" s="312">
        <f ca="1">INDIRECT("'数据-取费表'!q"&amp;$G$1)</f>
        <v>0.16</v>
      </c>
      <c r="G26" s="1384"/>
      <c r="H26" s="299" t="s">
        <v>395</v>
      </c>
      <c r="I26" s="300" t="s">
        <v>757</v>
      </c>
      <c r="J26" s="301">
        <f ca="1">IF(J5&lt;&gt;0,ROUND(J25*(1-((1+M28)/(1+M26))^M27)/(M26-M28),0),0)</f>
        <v>26399356</v>
      </c>
      <c r="K26" s="324" t="s">
        <v>758</v>
      </c>
      <c r="L26" s="302" t="s">
        <v>759</v>
      </c>
      <c r="M26" s="312">
        <f ca="1">INDIRECT("'数据-取费表'!I"&amp;$G$1)</f>
        <v>5.5E-2</v>
      </c>
    </row>
    <row r="27" spans="1:37" ht="18" customHeight="1">
      <c r="A27" s="982" t="s">
        <v>399</v>
      </c>
      <c r="B27" s="302" t="s">
        <v>760</v>
      </c>
      <c r="C27" s="21">
        <f ca="1">ROUND(F21*F26,4)</f>
        <v>4.7999999999999996E-3</v>
      </c>
      <c r="D27" s="323" t="s">
        <v>761</v>
      </c>
      <c r="E27" s="320"/>
      <c r="F27" s="321"/>
      <c r="G27" s="1384"/>
      <c r="H27" s="304"/>
      <c r="I27" s="305"/>
      <c r="J27" s="306"/>
      <c r="K27" s="332" t="s">
        <v>762</v>
      </c>
      <c r="L27" s="302" t="s">
        <v>763</v>
      </c>
      <c r="M27" s="333">
        <f ca="1">INDIRECT("'数据-取费表'!ag"&amp;$G$1)</f>
        <v>21.02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14954724</v>
      </c>
      <c r="D29" s="1092"/>
      <c r="E29" s="1090"/>
      <c r="F29" s="1093"/>
      <c r="G29" s="1396"/>
      <c r="H29" s="334" t="s">
        <v>396</v>
      </c>
      <c r="I29" s="335" t="s">
        <v>768</v>
      </c>
      <c r="J29" s="336">
        <f ca="1">ROUND(J26/(1+F40)^F41,0)</f>
        <v>16322484</v>
      </c>
      <c r="K29" s="337" t="s">
        <v>769</v>
      </c>
      <c r="L29" s="338"/>
      <c r="M29" s="339">
        <f ca="1">INDIRECT("'数据-取费表'!k"&amp;$G$1)</f>
        <v>2158.2799999999997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224939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129405</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41174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88231</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74774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13011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7749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549973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3816903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8.98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1768</v>
      </c>
      <c r="D43" s="337" t="s">
        <v>777</v>
      </c>
      <c r="E43" s="338" t="s">
        <v>778</v>
      </c>
      <c r="F43" s="339">
        <f ca="1">INDIRECT("'数据-取费表'!k"&amp;$G$1)</f>
        <v>2158.2799999999997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3360</v>
      </c>
      <c r="B45" s="1400"/>
      <c r="C45" s="1472">
        <f ca="1">ROUND((C68-C40)/10000,4)</f>
        <v>-442.61450000000002</v>
      </c>
      <c r="D45" s="3433" t="s">
        <v>3361</v>
      </c>
      <c r="E45" s="1400"/>
      <c r="F45" s="1400"/>
      <c r="O45" s="1403" t="s">
        <v>808</v>
      </c>
      <c r="P45" s="1461"/>
      <c r="Q45" s="1461"/>
      <c r="R45" s="1461"/>
    </row>
    <row r="46" spans="1:18" s="1384" customFormat="1" ht="13.5" thickBot="1">
      <c r="A46" s="1404" t="s">
        <v>809</v>
      </c>
      <c r="C46" s="1405">
        <f ca="1">ROUND(C45,0)</f>
        <v>-443</v>
      </c>
      <c r="D46" s="1406" t="str">
        <f>C2</f>
        <v>万元</v>
      </c>
      <c r="I46" s="1407" t="s">
        <v>810</v>
      </c>
      <c r="J46" s="1408"/>
      <c r="K46" s="1409"/>
      <c r="L46" s="1410">
        <f ca="1">IF(M47="住宅",0,IF(L48&gt;J51,L60,J60))</f>
        <v>683258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20139387</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30</v>
      </c>
      <c r="O48" s="1418" t="s">
        <v>404</v>
      </c>
      <c r="P48" s="1419" t="s">
        <v>821</v>
      </c>
      <c r="Q48" s="1420">
        <f ca="1">J60</f>
        <v>683258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14954724</v>
      </c>
      <c r="R49" s="1420" t="s">
        <v>818</v>
      </c>
    </row>
    <row r="50" spans="1:18" s="1384" customFormat="1" ht="13.5" thickBot="1">
      <c r="A50" s="976"/>
      <c r="B50" s="979"/>
      <c r="C50" s="980"/>
      <c r="D50" s="953"/>
      <c r="E50" s="1056" t="s">
        <v>697</v>
      </c>
      <c r="F50" s="1057">
        <f ca="1">F7</f>
        <v>2158.2799999999997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-7842834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v>
      </c>
      <c r="K53" s="3639" t="s">
        <v>837</v>
      </c>
      <c r="L53" s="3640"/>
      <c r="O53" s="1418" t="s">
        <v>409</v>
      </c>
      <c r="P53" s="1419" t="s">
        <v>838</v>
      </c>
      <c r="Q53" s="1420">
        <f ca="1">Q47+Q48</f>
        <v>20822645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13010610</v>
      </c>
      <c r="D56" s="1447"/>
      <c r="E56" s="1448"/>
      <c r="F56" s="1440"/>
      <c r="I56" s="1449" t="s">
        <v>842</v>
      </c>
      <c r="J56" s="1450" t="s">
        <v>3378</v>
      </c>
      <c r="K56" s="1421" t="s">
        <v>843</v>
      </c>
      <c r="L56" s="1424" t="str">
        <f ca="1">IF(L48&lt;J51,"——",L48-J51)</f>
        <v>——</v>
      </c>
      <c r="O56" s="1418" t="s">
        <v>403</v>
      </c>
      <c r="P56" s="1419" t="s">
        <v>817</v>
      </c>
      <c r="Q56" s="1420">
        <f ca="1">C40+J29</f>
        <v>20139387</v>
      </c>
      <c r="R56" s="1420" t="s">
        <v>818</v>
      </c>
    </row>
    <row r="57" spans="1:18" s="1384" customFormat="1" ht="24.75" thickBot="1">
      <c r="A57" s="1451"/>
      <c r="B57" s="950" t="s">
        <v>767</v>
      </c>
      <c r="C57" s="238">
        <f ca="1">C29</f>
        <v>14954724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87785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5981890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683258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20139387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74774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13011</v>
      </c>
      <c r="D65" s="964" t="s">
        <v>743</v>
      </c>
      <c r="E65" s="950" t="s">
        <v>744</v>
      </c>
      <c r="F65" s="330">
        <f t="shared" ca="1" si="0"/>
        <v>1E-3</v>
      </c>
      <c r="I65" s="1462" t="s">
        <v>867</v>
      </c>
      <c r="J65" s="1463">
        <v>40</v>
      </c>
      <c r="K65" s="1463">
        <v>30</v>
      </c>
      <c r="L65" s="1463">
        <v>50</v>
      </c>
      <c r="M65" s="1465">
        <v>0.02</v>
      </c>
      <c r="O65" s="1418" t="s">
        <v>403</v>
      </c>
      <c r="P65" s="1419" t="s">
        <v>868</v>
      </c>
      <c r="Q65" s="1420">
        <f ca="1">C40+J29</f>
        <v>20139387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-87785</v>
      </c>
      <c r="D67" s="963" t="s">
        <v>753</v>
      </c>
      <c r="E67" s="968"/>
      <c r="F67" s="969"/>
      <c r="O67" s="1428" t="s">
        <v>405</v>
      </c>
      <c r="P67" s="1419" t="s">
        <v>850</v>
      </c>
      <c r="Q67" s="1466">
        <f ca="1">L51</f>
        <v>-7842834</v>
      </c>
      <c r="R67" s="1420" t="s">
        <v>870</v>
      </c>
    </row>
    <row r="68" spans="1:18" s="1384" customFormat="1" ht="16.5" thickBot="1">
      <c r="A68" s="947" t="s">
        <v>395</v>
      </c>
      <c r="B68" s="948" t="s">
        <v>774</v>
      </c>
      <c r="C68" s="301">
        <f ca="1">ROUND(C67*(1-((1+F70)/(1+F68))^F69)/(F68-F70),0)</f>
        <v>-609242</v>
      </c>
      <c r="D68" s="965" t="s">
        <v>758</v>
      </c>
      <c r="E68" s="950" t="s">
        <v>759</v>
      </c>
      <c r="F68" s="312">
        <f ca="1">F40</f>
        <v>5.5E-2</v>
      </c>
      <c r="O68" s="1428" t="s">
        <v>406</v>
      </c>
      <c r="P68" s="1467" t="s">
        <v>871</v>
      </c>
      <c r="Q68" s="1420">
        <f ca="1">ROUND(Q69-Q70*Q71,0)</f>
        <v>-425823</v>
      </c>
      <c r="R68" s="1420" t="s">
        <v>414</v>
      </c>
    </row>
    <row r="69" spans="1:18" s="1384" customFormat="1" ht="13.5" thickBot="1">
      <c r="A69" s="951"/>
      <c r="B69" s="952"/>
      <c r="C69" s="306"/>
      <c r="D69" s="970" t="s">
        <v>762</v>
      </c>
      <c r="E69" s="950" t="s">
        <v>763</v>
      </c>
      <c r="F69" s="333">
        <f ca="1">F41</f>
        <v>8.98</v>
      </c>
      <c r="O69" s="1428" t="s">
        <v>411</v>
      </c>
      <c r="P69" s="1467" t="s">
        <v>872</v>
      </c>
      <c r="Q69" s="1420">
        <f ca="1">C39</f>
        <v>549973</v>
      </c>
      <c r="R69" s="1420" t="s">
        <v>818</v>
      </c>
    </row>
    <row r="70" spans="1:18" s="1384" customFormat="1" ht="13.5" thickBot="1">
      <c r="A70" s="954"/>
      <c r="B70" s="955"/>
      <c r="C70" s="310"/>
      <c r="D70" s="966"/>
      <c r="E70" s="950" t="s">
        <v>766</v>
      </c>
      <c r="F70" s="1054"/>
      <c r="O70" s="1428" t="s">
        <v>412</v>
      </c>
      <c r="P70" s="1467" t="s">
        <v>873</v>
      </c>
      <c r="Q70" s="1420">
        <f ca="1">C13</f>
        <v>13010610</v>
      </c>
      <c r="R70" s="1420" t="s">
        <v>818</v>
      </c>
    </row>
    <row r="71" spans="1:18" s="1384" customFormat="1" ht="13.5" thickBot="1">
      <c r="A71" s="971" t="s">
        <v>396</v>
      </c>
      <c r="B71" s="972" t="s">
        <v>776</v>
      </c>
      <c r="C71" s="336">
        <f ca="1">ROUND(C68/F71,0)</f>
        <v>-282</v>
      </c>
      <c r="D71" s="973" t="s">
        <v>777</v>
      </c>
      <c r="E71" s="974" t="s">
        <v>778</v>
      </c>
      <c r="F71" s="339">
        <f ca="1">F43</f>
        <v>2158.2799999999997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975796</v>
      </c>
      <c r="D75" s="1384"/>
      <c r="E75" s="1384"/>
      <c r="F75" s="1384"/>
      <c r="K75" s="1402"/>
      <c r="L75" s="1384"/>
      <c r="O75" s="1418" t="s">
        <v>409</v>
      </c>
      <c r="P75" s="1419" t="s">
        <v>838</v>
      </c>
      <c r="Q75" s="1420">
        <f ca="1">Q65+Q66</f>
        <v>20139387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-0.77400000000000002</v>
      </c>
    </row>
    <row r="80" spans="1:18">
      <c r="B80" s="340" t="s">
        <v>800</v>
      </c>
      <c r="C80" s="274">
        <f ca="1">ROUND(C75/C39,3)</f>
        <v>1.774</v>
      </c>
    </row>
    <row r="81" spans="2:3">
      <c r="B81" s="270" t="s">
        <v>801</v>
      </c>
      <c r="C81" s="238"/>
    </row>
    <row r="82" spans="2:3">
      <c r="B82" s="273" t="s">
        <v>802</v>
      </c>
      <c r="C82" s="275">
        <f ca="1">1-C83</f>
        <v>-2.4089999999999998</v>
      </c>
    </row>
    <row r="83" spans="2:3">
      <c r="B83" s="273" t="s">
        <v>803</v>
      </c>
      <c r="C83" s="274">
        <f ca="1">ROUND(C13/C40,3)</f>
        <v>3.4089999999999998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4" t="s">
        <v>3369</v>
      </c>
      <c r="E2" s="3445"/>
      <c r="F2" s="2846"/>
      <c r="G2" s="2847"/>
      <c r="H2" s="2848"/>
      <c r="I2" s="2849"/>
      <c r="J2" s="3644" t="s">
        <v>2320</v>
      </c>
      <c r="K2" s="364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6" t="s">
        <v>2330</v>
      </c>
      <c r="K3" s="364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6" t="s">
        <v>2332</v>
      </c>
      <c r="K4" s="364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8" t="s">
        <v>2336</v>
      </c>
      <c r="B6" s="3649"/>
      <c r="C6" s="3650"/>
      <c r="D6" s="2870"/>
      <c r="E6" s="2871"/>
      <c r="F6" s="2872"/>
      <c r="G6" s="2873"/>
      <c r="H6" s="2848"/>
      <c r="I6" s="2849"/>
      <c r="J6" s="3651">
        <v>1</v>
      </c>
      <c r="K6" s="365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1"/>
      <c r="K7" s="365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5" t="s">
        <v>2350</v>
      </c>
      <c r="C8" s="3656"/>
      <c r="D8" s="2889" t="s">
        <v>2351</v>
      </c>
      <c r="E8" s="2890" t="s">
        <v>2352</v>
      </c>
      <c r="F8" s="2891" t="s">
        <v>2353</v>
      </c>
      <c r="G8" s="2892"/>
      <c r="H8" s="2848"/>
      <c r="I8" s="2849"/>
      <c r="J8" s="3651"/>
      <c r="K8" s="365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5" t="s">
        <v>2356</v>
      </c>
      <c r="C9" s="3656"/>
      <c r="D9" s="2889">
        <f>ROUND(D6*E9,0)</f>
        <v>0</v>
      </c>
      <c r="E9" s="2893"/>
      <c r="F9" s="2894" t="s">
        <v>2357</v>
      </c>
      <c r="G9" s="2873"/>
      <c r="H9" s="2848"/>
      <c r="I9" s="2849"/>
      <c r="J9" s="3651"/>
      <c r="K9" s="3653"/>
      <c r="L9" s="2883" t="s">
        <v>2358</v>
      </c>
      <c r="M9" s="2884"/>
      <c r="N9" s="2860"/>
      <c r="O9" s="2885"/>
      <c r="P9" s="2885"/>
      <c r="Q9" s="2886">
        <v>365</v>
      </c>
      <c r="R9" s="2887">
        <f t="shared" si="0"/>
        <v>0</v>
      </c>
      <c r="S9" s="2841"/>
      <c r="T9" s="2841"/>
      <c r="U9" s="2841"/>
      <c r="V9" s="2849"/>
    </row>
    <row r="10" spans="1:22" s="2853" customFormat="1" ht="13.15" customHeight="1">
      <c r="A10" s="2888">
        <v>2</v>
      </c>
      <c r="B10" s="3655" t="s">
        <v>2359</v>
      </c>
      <c r="C10" s="3656"/>
      <c r="D10" s="2889">
        <f>ROUND(D6*E10,0)</f>
        <v>0</v>
      </c>
      <c r="E10" s="2893"/>
      <c r="F10" s="2894" t="s">
        <v>2360</v>
      </c>
      <c r="G10" s="2873"/>
      <c r="H10" s="2848"/>
      <c r="I10" s="2849"/>
      <c r="J10" s="3651"/>
      <c r="K10" s="3653"/>
      <c r="L10" s="2883" t="s">
        <v>2361</v>
      </c>
      <c r="M10" s="2884"/>
      <c r="N10" s="2860"/>
      <c r="O10" s="2885"/>
      <c r="P10" s="2885"/>
      <c r="Q10" s="2886">
        <v>365</v>
      </c>
      <c r="R10" s="2887">
        <f t="shared" si="0"/>
        <v>0</v>
      </c>
      <c r="S10" s="2841"/>
      <c r="T10" s="2841"/>
      <c r="U10" s="2841"/>
      <c r="V10" s="2849"/>
    </row>
    <row r="11" spans="1:22" s="2853" customFormat="1" ht="13.15" customHeight="1">
      <c r="A11" s="2888">
        <v>3</v>
      </c>
      <c r="B11" s="3655" t="s">
        <v>2362</v>
      </c>
      <c r="C11" s="3656"/>
      <c r="D11" s="2889">
        <f>D12+D14+D15+D16</f>
        <v>0</v>
      </c>
      <c r="E11" s="2895" t="e">
        <f>D11/D6</f>
        <v>#DIV/0!</v>
      </c>
      <c r="F11" s="2891"/>
      <c r="G11" s="2892"/>
      <c r="H11" s="2848"/>
      <c r="I11" s="2849"/>
      <c r="J11" s="3651"/>
      <c r="K11" s="365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7" t="s">
        <v>2365</v>
      </c>
      <c r="C12" s="3658"/>
      <c r="D12" s="2897">
        <f>ROUND(D13*1.2%*(1-30%),0)</f>
        <v>0</v>
      </c>
      <c r="E12" s="2898">
        <v>1.2E-2</v>
      </c>
      <c r="F12" s="2891" t="s">
        <v>2366</v>
      </c>
      <c r="G12" s="2892"/>
      <c r="H12" s="2848"/>
      <c r="I12" s="2849"/>
      <c r="J12" s="3651"/>
      <c r="K12" s="365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1"/>
      <c r="K13" s="365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7" t="s">
        <v>2371</v>
      </c>
      <c r="C14" s="3658"/>
      <c r="D14" s="2897">
        <f>ROUND(E14*B5/10000,0)</f>
        <v>0</v>
      </c>
      <c r="E14" s="2886"/>
      <c r="F14" s="2891" t="s">
        <v>2372</v>
      </c>
      <c r="G14" s="2892"/>
      <c r="H14" s="2848"/>
      <c r="I14" s="2849"/>
      <c r="J14" s="3651"/>
      <c r="K14" s="365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7" t="s">
        <v>2375</v>
      </c>
      <c r="C15" s="3658"/>
      <c r="D15" s="2897">
        <f>ROUND(D6*E15,0)</f>
        <v>0</v>
      </c>
      <c r="E15" s="2898">
        <v>5.5E-2</v>
      </c>
      <c r="F15" s="2891" t="s">
        <v>2376</v>
      </c>
      <c r="G15" s="2873"/>
      <c r="H15" s="2848"/>
      <c r="I15" s="2849"/>
      <c r="J15" s="3651">
        <v>2</v>
      </c>
      <c r="K15" s="365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7" t="s">
        <v>2384</v>
      </c>
      <c r="C16" s="3658"/>
      <c r="D16" s="2908">
        <f>D6*E16</f>
        <v>0</v>
      </c>
      <c r="E16" s="2909"/>
      <c r="F16" s="2894" t="s">
        <v>2385</v>
      </c>
      <c r="G16" s="2873"/>
      <c r="H16" s="2848"/>
      <c r="I16" s="2849"/>
      <c r="J16" s="3651"/>
      <c r="K16" s="365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2387</v>
      </c>
      <c r="C17" s="3660"/>
      <c r="D17" s="2911">
        <f>ROUND(D6*E17,0)</f>
        <v>0</v>
      </c>
      <c r="E17" s="2912"/>
      <c r="F17" s="2913" t="s">
        <v>2388</v>
      </c>
      <c r="G17" s="2873"/>
      <c r="H17" s="2848"/>
      <c r="I17" s="2849"/>
      <c r="J17" s="3651"/>
      <c r="K17" s="365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1"/>
      <c r="K18" s="365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1"/>
      <c r="K19" s="365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1"/>
      <c r="K21" s="365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1"/>
      <c r="K22" s="365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1"/>
      <c r="K23" s="365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1"/>
      <c r="K24" s="365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4" t="s">
        <v>2320</v>
      </c>
      <c r="K32" s="364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6" t="s">
        <v>2330</v>
      </c>
      <c r="K33" s="364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6" t="s">
        <v>2332</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1">
        <v>1</v>
      </c>
      <c r="K36" s="365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1"/>
      <c r="K40" s="365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2080</v>
      </c>
      <c r="C2" s="1872" t="s">
        <v>1651</v>
      </c>
      <c r="D2" s="1873" t="s">
        <v>1652</v>
      </c>
      <c r="E2" s="2607">
        <f>SUM(E6:E13)</f>
        <v>2158.2799999999997</v>
      </c>
      <c r="F2" s="2707"/>
      <c r="G2" s="1489"/>
      <c r="H2" s="1489"/>
      <c r="I2" s="1489"/>
      <c r="J2" s="1489"/>
      <c r="K2" s="1489"/>
      <c r="L2" s="1489"/>
      <c r="M2" s="1489"/>
      <c r="N2" s="1489"/>
      <c r="O2" s="1489"/>
      <c r="P2" s="1489"/>
      <c r="Q2" s="1489"/>
      <c r="R2" s="1489"/>
      <c r="S2" s="1489"/>
    </row>
    <row r="3" spans="1:22" ht="15.75">
      <c r="A3" s="1870" t="s">
        <v>686</v>
      </c>
      <c r="B3" s="2601">
        <f ca="1">ROUND(B2*10000/E2,0)</f>
        <v>9637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2080</v>
      </c>
      <c r="C6" s="1872" t="s">
        <v>1651</v>
      </c>
      <c r="D6" s="2709"/>
      <c r="E6" s="2606">
        <f>IF(OR(A6=0,F6="否"),0,'数据-取费表'!K6+'数据-取费表'!S6)</f>
        <v>2158.2799999999997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2158.2799999999997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2158.2799999999997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2158.2799999999997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44937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估价对象为房地产，为所有。根据《国有土地使用证》[]，估价对象（分摊）出让国有建设用地使用权面积为0平方米，建筑面积为2158.28平方米。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估价对象为房地产,属开发建设的，该项目尚在开发建设中。根据《国有土地使用证》[]，估价对象（分摊）出让国有建设用地使用权面积为0平方米，规划建筑面积为2158.28平方米。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2158.2799999999997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44937</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44937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00"/>
      <c r="Q10" s="1343" t="str">
        <f t="shared" si="6"/>
        <v>土地使用年限（年）</v>
      </c>
      <c r="R10" s="701" t="s">
        <v>14</v>
      </c>
      <c r="S10" s="702">
        <f t="shared" si="0"/>
        <v>112</v>
      </c>
      <c r="T10" s="701" t="s">
        <v>14</v>
      </c>
      <c r="U10" s="702">
        <f t="shared" si="1"/>
        <v>112</v>
      </c>
      <c r="V10" s="701" t="s">
        <v>14</v>
      </c>
      <c r="W10" s="702">
        <f t="shared" si="2"/>
        <v>112</v>
      </c>
      <c r="X10" s="703"/>
      <c r="Y10" s="3612"/>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五级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五级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五级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44937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00"/>
      <c r="Q10" s="1343" t="str">
        <f t="shared" si="6"/>
        <v>土地使用年限（年）</v>
      </c>
      <c r="R10" s="701" t="s">
        <v>14</v>
      </c>
      <c r="S10" s="702">
        <f t="shared" si="0"/>
        <v>112</v>
      </c>
      <c r="T10" s="701" t="s">
        <v>14</v>
      </c>
      <c r="U10" s="702">
        <f t="shared" si="1"/>
        <v>112</v>
      </c>
      <c r="V10" s="701" t="s">
        <v>14</v>
      </c>
      <c r="W10" s="702">
        <f t="shared" si="2"/>
        <v>112</v>
      </c>
      <c r="X10" s="703"/>
      <c r="Y10" s="3612"/>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五级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五级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五级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1008</v>
      </c>
      <c r="C2" s="2145" t="s">
        <v>2074</v>
      </c>
      <c r="D2" s="2145" t="s">
        <v>2075</v>
      </c>
      <c r="E2" s="2612">
        <f ca="1">SUMIF(E6:E13,"&lt;&gt;#ref!",E6:E13)</f>
        <v>2158.2799999999997</v>
      </c>
      <c r="F2" s="2793"/>
      <c r="G2" s="2793"/>
      <c r="H2" s="2793"/>
      <c r="I2" s="2793"/>
      <c r="J2" s="2793"/>
      <c r="K2" s="2793"/>
      <c r="L2" s="2793"/>
      <c r="M2" s="2793"/>
      <c r="N2" s="2793"/>
      <c r="O2" s="2793"/>
      <c r="P2" s="2793"/>
    </row>
    <row r="3" spans="1:16" ht="15.75">
      <c r="A3" s="2145" t="s">
        <v>2076</v>
      </c>
      <c r="B3" s="2602">
        <f ca="1">ROUND(B2*10000/E2,0)</f>
        <v>4670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1008</v>
      </c>
      <c r="C6" s="2145" t="s">
        <v>2074</v>
      </c>
      <c r="D6" s="2793"/>
      <c r="E6" s="2612">
        <f ca="1">SUMIF(INDIRECT("'"&amp;A6&amp;"'"&amp;"!C:C"),"建筑面积",INDIRECT("'"&amp;A6&amp;"'"&amp;"!D:D"))</f>
        <v>2158.2799999999997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0"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0" t="s">
        <v>2615</v>
      </c>
      <c r="C27" s="3103" t="s">
        <v>2455</v>
      </c>
      <c r="D27" s="3104"/>
      <c r="E27" s="3105">
        <v>1</v>
      </c>
      <c r="F27" s="3106" t="s">
        <v>2456</v>
      </c>
      <c r="G27" s="3106"/>
    </row>
    <row r="28" spans="1:13" ht="19.5" customHeight="1">
      <c r="A28" s="3764"/>
      <c r="B28" s="3761"/>
      <c r="C28" s="3107" t="s">
        <v>2457</v>
      </c>
      <c r="D28" s="3108"/>
      <c r="E28" s="3109">
        <v>1</v>
      </c>
      <c r="F28" s="3106" t="s">
        <v>2458</v>
      </c>
      <c r="G28" s="3106"/>
    </row>
    <row r="29" spans="1:13" ht="19.5" customHeight="1">
      <c r="A29" s="3764"/>
      <c r="B29" s="3761"/>
      <c r="C29" s="3107" t="s">
        <v>2459</v>
      </c>
      <c r="D29" s="3108"/>
      <c r="E29" s="3109">
        <v>0.8</v>
      </c>
      <c r="F29" s="3106" t="s">
        <v>2460</v>
      </c>
      <c r="G29" s="3106"/>
    </row>
    <row r="30" spans="1:13" ht="19.5" customHeight="1">
      <c r="A30" s="3764"/>
      <c r="B30" s="3761"/>
      <c r="C30" s="3107" t="s">
        <v>2461</v>
      </c>
      <c r="D30" s="3108"/>
      <c r="E30" s="3109">
        <v>0.8</v>
      </c>
      <c r="F30" s="3106" t="s">
        <v>2462</v>
      </c>
      <c r="G30" s="3106"/>
    </row>
    <row r="31" spans="1:13" ht="19.5" customHeight="1">
      <c r="A31" s="3764"/>
      <c r="B31" s="3761"/>
      <c r="C31" s="3107" t="s">
        <v>2463</v>
      </c>
      <c r="D31" s="3108"/>
      <c r="E31" s="3109">
        <v>0.8</v>
      </c>
      <c r="F31" s="3106" t="s">
        <v>2464</v>
      </c>
      <c r="G31" s="3106"/>
    </row>
    <row r="32" spans="1:13" ht="19.5" customHeight="1">
      <c r="A32" s="3764"/>
      <c r="B32" s="3761"/>
      <c r="C32" s="3107" t="s">
        <v>2465</v>
      </c>
      <c r="D32" s="3108"/>
      <c r="E32" s="3109">
        <v>0.7</v>
      </c>
      <c r="F32" s="3106" t="s">
        <v>2466</v>
      </c>
      <c r="G32" s="3106"/>
    </row>
    <row r="33" spans="1:7" ht="19.5" customHeight="1">
      <c r="A33" s="3764"/>
      <c r="B33" s="3761"/>
      <c r="C33" s="3107" t="s">
        <v>2467</v>
      </c>
      <c r="D33" s="3108"/>
      <c r="E33" s="3109">
        <v>0.8</v>
      </c>
      <c r="F33" s="3106" t="s">
        <v>2468</v>
      </c>
      <c r="G33" s="3106"/>
    </row>
    <row r="34" spans="1:7" ht="19.5" customHeight="1">
      <c r="A34" s="3764"/>
      <c r="B34" s="3761"/>
      <c r="C34" s="3107" t="s">
        <v>2469</v>
      </c>
      <c r="D34" s="3108"/>
      <c r="E34" s="3109">
        <v>0.6</v>
      </c>
      <c r="F34" s="3106" t="s">
        <v>2470</v>
      </c>
      <c r="G34" s="3106"/>
    </row>
    <row r="35" spans="1:7" ht="19.5" customHeight="1">
      <c r="A35" s="3764"/>
      <c r="B35" s="3761"/>
      <c r="C35" s="3107" t="s">
        <v>2471</v>
      </c>
      <c r="D35" s="3108"/>
      <c r="E35" s="3109">
        <v>0.2</v>
      </c>
      <c r="F35" s="3106" t="s">
        <v>2472</v>
      </c>
      <c r="G35" s="3106"/>
    </row>
    <row r="36" spans="1:7" ht="19.5" customHeight="1">
      <c r="A36" s="3764"/>
      <c r="B36" s="3761"/>
      <c r="C36" s="3107" t="s">
        <v>2473</v>
      </c>
      <c r="D36" s="3108"/>
      <c r="E36" s="3109">
        <v>0.2</v>
      </c>
      <c r="F36" s="3106" t="s">
        <v>2474</v>
      </c>
      <c r="G36" s="3106"/>
    </row>
    <row r="37" spans="1:7" ht="19.5" customHeight="1">
      <c r="A37" s="3764"/>
      <c r="B37" s="3766" t="s">
        <v>2635</v>
      </c>
      <c r="C37" s="3107" t="s">
        <v>2475</v>
      </c>
      <c r="D37" s="3108"/>
      <c r="E37" s="3109">
        <v>0.6</v>
      </c>
      <c r="F37" s="3106" t="s">
        <v>2476</v>
      </c>
      <c r="G37" s="3106"/>
    </row>
    <row r="38" spans="1:7" ht="19.5" customHeight="1">
      <c r="A38" s="3764"/>
      <c r="B38" s="3761"/>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0"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7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66"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6"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70"/>
      <c r="C89" s="3092" t="s">
        <v>2687</v>
      </c>
      <c r="D89" s="3092" t="s">
        <v>2688</v>
      </c>
      <c r="E89" s="3118">
        <v>0.1</v>
      </c>
      <c r="F89" s="3118">
        <v>15</v>
      </c>
    </row>
    <row r="90" spans="1:6" ht="13.5">
      <c r="A90" s="3118">
        <v>18</v>
      </c>
      <c r="B90" s="3766"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70"/>
      <c r="C106" s="3092" t="s">
        <v>2722</v>
      </c>
      <c r="D106" s="3092" t="s">
        <v>2723</v>
      </c>
      <c r="E106" s="3118">
        <v>0.1</v>
      </c>
      <c r="F106" s="3118">
        <v>15</v>
      </c>
    </row>
    <row r="107" spans="1:6" ht="24">
      <c r="A107" s="3118">
        <v>35</v>
      </c>
      <c r="B107" s="3766"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70"/>
      <c r="C112" s="3118" t="s">
        <v>2735</v>
      </c>
      <c r="D112" s="3092" t="s">
        <v>2736</v>
      </c>
      <c r="E112" s="3118">
        <v>0.1</v>
      </c>
      <c r="F112" s="3118">
        <v>15</v>
      </c>
    </row>
    <row r="113" spans="1:6" ht="13.5">
      <c r="A113" s="3118">
        <v>41</v>
      </c>
      <c r="B113" s="3771" t="s">
        <v>2737</v>
      </c>
      <c r="C113" s="3118" t="s">
        <v>2738</v>
      </c>
      <c r="D113" s="3092" t="s">
        <v>2739</v>
      </c>
      <c r="E113" s="3118">
        <v>0.1</v>
      </c>
      <c r="F113" s="3118">
        <v>15</v>
      </c>
    </row>
    <row r="114" spans="1:6" ht="13.5">
      <c r="A114" s="3118">
        <v>42</v>
      </c>
      <c r="B114" s="3771"/>
      <c r="C114" s="3118" t="s">
        <v>2740</v>
      </c>
      <c r="D114" s="3092" t="s">
        <v>2741</v>
      </c>
      <c r="E114" s="3118">
        <v>0.1</v>
      </c>
      <c r="F114" s="3118">
        <v>15</v>
      </c>
    </row>
    <row r="115" spans="1:6" ht="24">
      <c r="A115" s="3118">
        <v>43</v>
      </c>
      <c r="B115" s="3771"/>
      <c r="C115" s="3118" t="s">
        <v>2742</v>
      </c>
      <c r="D115" s="3092" t="s">
        <v>2743</v>
      </c>
      <c r="E115" s="3118">
        <v>0.1</v>
      </c>
      <c r="F115" s="3118">
        <v>15</v>
      </c>
    </row>
    <row r="116" spans="1:6" ht="13.5">
      <c r="A116" s="3118">
        <v>44</v>
      </c>
      <c r="B116" s="3766" t="s">
        <v>2744</v>
      </c>
      <c r="C116" s="3118" t="s">
        <v>2745</v>
      </c>
      <c r="D116" s="3092" t="s">
        <v>2746</v>
      </c>
      <c r="E116" s="3118">
        <v>0.1</v>
      </c>
      <c r="F116" s="3118">
        <v>15</v>
      </c>
    </row>
    <row r="117" spans="1:6" ht="24">
      <c r="A117" s="3118">
        <v>45</v>
      </c>
      <c r="B117" s="3770"/>
      <c r="C117" s="3092" t="s">
        <v>2747</v>
      </c>
      <c r="D117" s="3092" t="s">
        <v>2748</v>
      </c>
      <c r="E117" s="3118">
        <v>0.1</v>
      </c>
      <c r="F117" s="3118">
        <v>15</v>
      </c>
    </row>
    <row r="118" spans="1:6" ht="24">
      <c r="A118" s="3118">
        <v>46</v>
      </c>
      <c r="B118" s="3766" t="s">
        <v>2749</v>
      </c>
      <c r="C118" s="3118" t="s">
        <v>2750</v>
      </c>
      <c r="D118" s="3092" t="s">
        <v>2751</v>
      </c>
      <c r="E118" s="3118">
        <v>0.1</v>
      </c>
      <c r="F118" s="3118">
        <v>15</v>
      </c>
    </row>
    <row r="119" spans="1:6" ht="24">
      <c r="A119" s="3118">
        <v>47</v>
      </c>
      <c r="B119" s="3770"/>
      <c r="C119" s="3118" t="s">
        <v>2752</v>
      </c>
      <c r="D119" s="3092" t="s">
        <v>2753</v>
      </c>
      <c r="E119" s="3118">
        <v>0.1</v>
      </c>
      <c r="F119" s="3118">
        <v>15</v>
      </c>
    </row>
    <row r="120" spans="1:6" ht="13.5">
      <c r="A120" s="3118">
        <v>48</v>
      </c>
      <c r="B120" s="3766" t="s">
        <v>2754</v>
      </c>
      <c r="C120" s="3118" t="s">
        <v>2755</v>
      </c>
      <c r="D120" s="3092" t="s">
        <v>2756</v>
      </c>
      <c r="E120" s="3118">
        <v>0.1</v>
      </c>
      <c r="F120" s="3118">
        <v>15</v>
      </c>
    </row>
    <row r="121" spans="1:6" ht="13.5">
      <c r="A121" s="3118">
        <v>49</v>
      </c>
      <c r="B121" s="3770"/>
      <c r="C121" s="3118" t="s">
        <v>2757</v>
      </c>
      <c r="D121" s="3092" t="s">
        <v>2758</v>
      </c>
      <c r="E121" s="3118">
        <v>0.1</v>
      </c>
      <c r="F121" s="3118">
        <v>15</v>
      </c>
    </row>
    <row r="122" spans="1:6" ht="24">
      <c r="A122" s="3118">
        <v>50</v>
      </c>
      <c r="B122" s="3771" t="s">
        <v>2759</v>
      </c>
      <c r="C122" s="3118" t="s">
        <v>2760</v>
      </c>
      <c r="D122" s="3092" t="s">
        <v>2761</v>
      </c>
      <c r="E122" s="3118">
        <v>0.1</v>
      </c>
      <c r="F122" s="3118">
        <v>15</v>
      </c>
    </row>
    <row r="123" spans="1:6" ht="24">
      <c r="A123" s="3118">
        <v>51</v>
      </c>
      <c r="B123" s="3771"/>
      <c r="C123" s="3118" t="s">
        <v>2762</v>
      </c>
      <c r="D123" s="3092" t="s">
        <v>2763</v>
      </c>
      <c r="E123" s="3118">
        <v>0.1</v>
      </c>
      <c r="F123" s="3118">
        <v>15</v>
      </c>
    </row>
    <row r="124" spans="1:6" ht="24">
      <c r="A124" s="3118">
        <v>52</v>
      </c>
      <c r="B124" s="3771" t="s">
        <v>2764</v>
      </c>
      <c r="C124" s="3118" t="s">
        <v>2765</v>
      </c>
      <c r="D124" s="3092" t="s">
        <v>2766</v>
      </c>
      <c r="E124" s="3118">
        <v>0.1</v>
      </c>
      <c r="F124" s="3118">
        <v>15</v>
      </c>
    </row>
    <row r="125" spans="1:6" ht="24">
      <c r="A125" s="3118">
        <v>53</v>
      </c>
      <c r="B125" s="377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1" t="s">
        <v>2772</v>
      </c>
      <c r="C127" s="3118" t="s">
        <v>2773</v>
      </c>
      <c r="D127" s="3092" t="s">
        <v>2774</v>
      </c>
      <c r="E127" s="3118">
        <v>0.1</v>
      </c>
      <c r="F127" s="3118">
        <v>15</v>
      </c>
    </row>
    <row r="128" spans="1:6" ht="13.5">
      <c r="A128" s="3118">
        <v>56</v>
      </c>
      <c r="B128" s="3771"/>
      <c r="C128" s="3118" t="s">
        <v>2775</v>
      </c>
      <c r="D128" s="3092" t="s">
        <v>2776</v>
      </c>
      <c r="E128" s="3118">
        <v>0.1</v>
      </c>
      <c r="F128" s="3118">
        <v>15</v>
      </c>
    </row>
    <row r="129" spans="1:6" ht="24">
      <c r="A129" s="3118">
        <v>57</v>
      </c>
      <c r="B129" s="3771"/>
      <c r="C129" s="3118" t="s">
        <v>2777</v>
      </c>
      <c r="D129" s="3092" t="s">
        <v>2778</v>
      </c>
      <c r="E129" s="3118">
        <v>0.1</v>
      </c>
      <c r="F129" s="3118">
        <v>15</v>
      </c>
    </row>
    <row r="130" spans="1:6" ht="24">
      <c r="A130" s="3118">
        <v>58</v>
      </c>
      <c r="B130" s="3771" t="s">
        <v>2779</v>
      </c>
      <c r="C130" s="3118" t="s">
        <v>2780</v>
      </c>
      <c r="D130" s="3092" t="s">
        <v>2781</v>
      </c>
      <c r="E130" s="3118">
        <v>0.1</v>
      </c>
      <c r="F130" s="3118">
        <v>15</v>
      </c>
    </row>
    <row r="131" spans="1:6" ht="13.5">
      <c r="A131" s="3118">
        <v>59</v>
      </c>
      <c r="B131" s="3771"/>
      <c r="C131" s="3118" t="s">
        <v>2782</v>
      </c>
      <c r="D131" s="3092" t="s">
        <v>2783</v>
      </c>
      <c r="E131" s="3118">
        <v>0.1</v>
      </c>
      <c r="F131" s="3118">
        <v>15</v>
      </c>
    </row>
    <row r="132" spans="1:6" ht="13.5">
      <c r="A132" s="3118">
        <v>60</v>
      </c>
      <c r="B132" s="3766" t="s">
        <v>2784</v>
      </c>
      <c r="C132" s="3118" t="s">
        <v>2785</v>
      </c>
      <c r="D132" s="3092" t="s">
        <v>2786</v>
      </c>
      <c r="E132" s="3118">
        <v>0.1</v>
      </c>
      <c r="F132" s="3118">
        <v>15</v>
      </c>
    </row>
    <row r="133" spans="1:6" ht="13.5">
      <c r="A133" s="3118">
        <v>61</v>
      </c>
      <c r="B133" s="377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1" t="s">
        <v>2792</v>
      </c>
      <c r="C135" s="3118" t="s">
        <v>2793</v>
      </c>
      <c r="D135" s="3092" t="s">
        <v>2794</v>
      </c>
      <c r="E135" s="3118">
        <v>0.1</v>
      </c>
      <c r="F135" s="3118">
        <v>15</v>
      </c>
    </row>
    <row r="136" spans="1:6" ht="13.5">
      <c r="A136" s="3118">
        <v>64</v>
      </c>
      <c r="B136" s="377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30350</v>
      </c>
      <c r="C2" s="2" t="s">
        <v>106</v>
      </c>
      <c r="D2" s="199"/>
      <c r="E2" s="199"/>
      <c r="F2" s="199"/>
      <c r="G2" s="199"/>
    </row>
    <row r="3" spans="1:7" s="200" customFormat="1" ht="18" customHeight="1" thickBot="1">
      <c r="A3" s="203" t="s">
        <v>58</v>
      </c>
      <c r="B3" s="204">
        <f ca="1">ROUND(B2*10000/'数据-汇总表'!E3,0)</f>
        <v>140621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43</v>
      </c>
      <c r="D10" s="845">
        <f>'数据-汇总表'!E6</f>
        <v>2158.2799999999997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v>
      </c>
      <c r="D19" s="849">
        <f>'数据-汇总表'!E3</f>
        <v>2158.2799999999997</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1776</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3404</v>
      </c>
      <c r="D27" s="235">
        <f>C29</f>
        <v>4.7999999999999996E-3</v>
      </c>
      <c r="E27" s="236" t="s">
        <v>99</v>
      </c>
      <c r="F27" s="246">
        <f>'数据-取费表'!Q16</f>
        <v>0.16</v>
      </c>
      <c r="G27" s="247" t="s">
        <v>431</v>
      </c>
    </row>
    <row r="28" spans="1:7" s="214" customFormat="1" ht="13.5" customHeight="1">
      <c r="A28" s="780" t="s">
        <v>349</v>
      </c>
      <c r="B28" s="248" t="s">
        <v>424</v>
      </c>
      <c r="C28" s="249">
        <f>ROUND((C5+C19+C20)*F27*'数据-取费表'!B21/'数据-取费表'!B20,0)</f>
        <v>3404</v>
      </c>
      <c r="D28" s="235"/>
      <c r="E28" s="236"/>
      <c r="F28" s="246"/>
      <c r="G28" s="247"/>
    </row>
    <row r="29" spans="1:7" s="214" customFormat="1" ht="13.5" customHeight="1">
      <c r="A29" s="780" t="s">
        <v>347</v>
      </c>
      <c r="B29" s="248" t="s">
        <v>425</v>
      </c>
      <c r="C29" s="238">
        <f>ROUND(C21*F27*'数据-取费表'!B21/'数据-取费表'!B20,4)</f>
        <v>4.7999999999999996E-3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993</v>
      </c>
      <c r="D34" s="217"/>
      <c r="E34" s="220"/>
      <c r="F34" s="257">
        <f>IF('数据-取费表'!B24=0,1,'数据-取费表'!N16)</f>
        <v>1</v>
      </c>
      <c r="G34" s="219" t="s">
        <v>89</v>
      </c>
    </row>
    <row r="35" spans="1:7" ht="13.5" customHeight="1">
      <c r="A35" s="780" t="s">
        <v>351</v>
      </c>
      <c r="B35" s="215" t="s">
        <v>33</v>
      </c>
      <c r="C35" s="220">
        <f>ROUND(C34*F35,0)</f>
        <v>50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v>
      </c>
      <c r="D37" s="217">
        <f>'数据-汇总表'!E3</f>
        <v>2158.2799999999997</v>
      </c>
      <c r="E37" s="249">
        <f>'数据-取费表'!B35</f>
        <v>200</v>
      </c>
      <c r="F37" s="259"/>
      <c r="G37" s="261" t="s">
        <v>92</v>
      </c>
    </row>
    <row r="38" spans="1:7" ht="13.5" customHeight="1">
      <c r="A38" s="780" t="s">
        <v>354</v>
      </c>
      <c r="B38" s="215" t="s">
        <v>36</v>
      </c>
      <c r="C38" s="220">
        <f>ROUND(C34*F38,0)</f>
        <v>15</v>
      </c>
      <c r="D38" s="220"/>
      <c r="E38" s="220"/>
      <c r="F38" s="259">
        <f>'数据-取费表'!B36</f>
        <v>1.4999999999999999E-2</v>
      </c>
      <c r="G38" s="219" t="s">
        <v>90</v>
      </c>
    </row>
    <row r="39" spans="1:7" s="214" customFormat="1" ht="13.5" customHeight="1">
      <c r="A39" s="777" t="s">
        <v>338</v>
      </c>
      <c r="B39" s="210" t="s">
        <v>77</v>
      </c>
      <c r="C39" s="232">
        <f>ROUND(C33*F20,0)</f>
        <v>33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47</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46</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1.1999999999999999E-3</v>
      </c>
      <c r="D44" s="238"/>
      <c r="E44" s="238"/>
      <c r="F44" s="239"/>
      <c r="G44" s="3638"/>
    </row>
    <row r="45" spans="1:7" s="214" customFormat="1" ht="13.5" customHeight="1">
      <c r="A45" s="777" t="s">
        <v>341</v>
      </c>
      <c r="B45" s="244" t="s">
        <v>85</v>
      </c>
      <c r="C45" s="245">
        <f>C46</f>
        <v>181</v>
      </c>
      <c r="D45" s="235">
        <f>C47</f>
        <v>4.7999999999999996E-3</v>
      </c>
      <c r="E45" s="236" t="s">
        <v>102</v>
      </c>
      <c r="F45" s="246"/>
      <c r="G45" s="247" t="s">
        <v>434</v>
      </c>
    </row>
    <row r="46" spans="1:7" s="214" customFormat="1" ht="13.5" customHeight="1">
      <c r="A46" s="780" t="s">
        <v>349</v>
      </c>
      <c r="B46" s="248" t="s">
        <v>427</v>
      </c>
      <c r="C46" s="249">
        <f>ROUND((C33+C39)*F27,0)</f>
        <v>181</v>
      </c>
      <c r="D46" s="263"/>
      <c r="E46" s="236"/>
      <c r="F46" s="246"/>
      <c r="G46" s="247"/>
    </row>
    <row r="47" spans="1:7" s="214" customFormat="1" ht="13.5" customHeight="1">
      <c r="A47" s="780" t="s">
        <v>347</v>
      </c>
      <c r="B47" s="248" t="s">
        <v>429</v>
      </c>
      <c r="C47" s="238">
        <f>ROUND(C40*F27,4)</f>
        <v>4.7999999999999996E-3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1496</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1302</v>
      </c>
      <c r="D51" s="232"/>
      <c r="E51" s="232"/>
      <c r="F51" s="264"/>
      <c r="G51" s="234" t="s">
        <v>37</v>
      </c>
    </row>
    <row r="52" spans="1:7" s="208" customFormat="1" ht="16.5" thickBot="1">
      <c r="A52" s="265" t="s">
        <v>38</v>
      </c>
      <c r="B52" s="266"/>
      <c r="C52" s="267">
        <f ca="1">C31+C51</f>
        <v>30350</v>
      </c>
      <c r="D52" s="266"/>
      <c r="E52" s="266"/>
      <c r="F52" s="266"/>
      <c r="G52" s="268"/>
    </row>
    <row r="55" spans="1:7" ht="15">
      <c r="B55" s="270" t="s">
        <v>39</v>
      </c>
      <c r="C55" s="271"/>
    </row>
    <row r="56" spans="1:7">
      <c r="B56" s="273" t="s">
        <v>40</v>
      </c>
      <c r="C56" s="274">
        <f ca="1">ROUND(C51/C52,3)</f>
        <v>4.2999999999999997E-2</v>
      </c>
    </row>
    <row r="57" spans="1:7">
      <c r="B57" s="273" t="s">
        <v>41</v>
      </c>
      <c r="C57" s="275">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t="e">
        <f ca="1">结果表!H101</f>
        <v>#REF!</v>
      </c>
      <c r="E5" s="1491"/>
    </row>
    <row r="6" spans="1:5" ht="15.75">
      <c r="A6" s="1491"/>
      <c r="B6" s="3455"/>
      <c r="C6" s="1494" t="s">
        <v>911</v>
      </c>
      <c r="D6" s="850" t="e">
        <f ca="1">NUMBERSTRING(INT(D5*10000),2)&amp;"元整"</f>
        <v>#REF!</v>
      </c>
      <c r="E6" s="1491"/>
    </row>
    <row r="7" spans="1:5" ht="15.75">
      <c r="A7" s="1491"/>
      <c r="B7" s="3460"/>
      <c r="C7" s="1495" t="s">
        <v>912</v>
      </c>
      <c r="D7" s="851" t="e">
        <f ca="1">结果表!H102</f>
        <v>#REF!</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t="e">
        <f ca="1">结果表!H107</f>
        <v>#REF!</v>
      </c>
      <c r="E13" s="1491"/>
    </row>
    <row r="14" spans="1:5" ht="15.75">
      <c r="A14" s="1491"/>
      <c r="B14" s="3455"/>
      <c r="C14" s="1494" t="s">
        <v>911</v>
      </c>
      <c r="D14" s="850" t="e">
        <f ca="1">NUMBERSTRING(INT(D13*10000),2)&amp;"元整"</f>
        <v>#REF!</v>
      </c>
      <c r="E14" s="1491"/>
    </row>
    <row r="15" spans="1:5" ht="15">
      <c r="A15" s="1491"/>
      <c r="B15" s="3460"/>
      <c r="C15" s="1495" t="s">
        <v>921</v>
      </c>
      <c r="D15" s="859" t="e">
        <f ca="1">结果表!H108</f>
        <v>#REF!</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4" t="s">
        <v>2848</v>
      </c>
      <c r="B1" s="3774"/>
      <c r="C1" s="3774"/>
      <c r="D1" s="3774"/>
      <c r="E1" s="3774"/>
      <c r="F1" s="3774"/>
      <c r="G1" s="3775"/>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72"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73"/>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6" t="s">
        <v>3190</v>
      </c>
      <c r="B1" s="3776"/>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77" t="s">
        <v>3241</v>
      </c>
      <c r="B1" s="3777"/>
      <c r="C1" s="3777"/>
      <c r="D1" s="3777"/>
      <c r="E1" s="3777"/>
      <c r="F1" s="3778"/>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6" sqref="A6:I6"/>
    </sheetView>
  </sheetViews>
  <sheetFormatPr defaultRowHeight="13.5"/>
  <cols>
    <col min="1" max="1" width="13.875" customWidth="1"/>
  </cols>
  <sheetData>
    <row r="1" spans="1:30">
      <c r="A1" s="3222">
        <f>基准地价修正!G23</f>
        <v>44937</v>
      </c>
      <c r="B1" s="3211" t="s">
        <v>2847</v>
      </c>
      <c r="C1" s="3212"/>
      <c r="D1" s="3212"/>
      <c r="E1" s="3212"/>
      <c r="F1" s="3212"/>
      <c r="G1" s="3212"/>
      <c r="H1" s="3212"/>
      <c r="I1" s="3212"/>
      <c r="J1" s="3165"/>
      <c r="K1" s="3212" t="s">
        <v>454</v>
      </c>
      <c r="L1" s="3212"/>
      <c r="M1" s="3212"/>
      <c r="N1" s="3212"/>
      <c r="O1" s="3212"/>
      <c r="P1" s="3212"/>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9" t="s">
        <v>2833</v>
      </c>
      <c r="S18" s="3780"/>
      <c r="T18" s="3780"/>
      <c r="U18" s="3780"/>
      <c r="V18" s="3780"/>
      <c r="W18" s="3780"/>
      <c r="X18" s="3165"/>
      <c r="Y18" s="3779" t="s">
        <v>2834</v>
      </c>
      <c r="Z18" s="3780"/>
      <c r="AA18" s="3780"/>
      <c r="AB18" s="3780"/>
      <c r="AC18" s="3780"/>
      <c r="AD18" s="3780"/>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5" sqref="B5:F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D28" sqref="D28"/>
    </sheetView>
  </sheetViews>
  <sheetFormatPr defaultRowHeight="13.5"/>
  <cols>
    <col min="1" max="1" width="16.25" bestFit="1" customWidth="1"/>
    <col min="2" max="2" width="11.625" bestFit="1" customWidth="1"/>
    <col min="3" max="3" width="17.375" bestFit="1" customWidth="1"/>
  </cols>
  <sheetData>
    <row r="2" spans="1:4">
      <c r="B2" s="3450" t="s">
        <v>3384</v>
      </c>
    </row>
    <row r="3" spans="1:4">
      <c r="B3" s="3451">
        <v>44440</v>
      </c>
      <c r="C3" s="3451">
        <v>44561</v>
      </c>
      <c r="D3" s="3450" t="s">
        <v>3385</v>
      </c>
    </row>
    <row r="4" spans="1:4">
      <c r="A4" s="3450" t="s">
        <v>3386</v>
      </c>
      <c r="B4" s="3451">
        <f>项目基本情况!D3</f>
        <v>44937</v>
      </c>
      <c r="C4" s="3451"/>
      <c r="D4" s="3450"/>
    </row>
    <row r="5" spans="1:4">
      <c r="A5" s="3450" t="s">
        <v>3387</v>
      </c>
      <c r="B5" s="3451">
        <v>44440</v>
      </c>
      <c r="C5" s="3451">
        <v>48213</v>
      </c>
    </row>
    <row r="6" spans="1:4">
      <c r="A6" s="3450" t="s">
        <v>3388</v>
      </c>
      <c r="B6">
        <f>[3]项目基本情况!C12</f>
        <v>2158.2799999999997</v>
      </c>
    </row>
    <row r="7" spans="1:4">
      <c r="A7" s="3450" t="s">
        <v>3389</v>
      </c>
      <c r="B7">
        <f>C5-B5</f>
        <v>3773</v>
      </c>
    </row>
    <row r="8" spans="1:4">
      <c r="A8" s="3450" t="s">
        <v>3390</v>
      </c>
      <c r="B8">
        <f>80*10</f>
        <v>800</v>
      </c>
      <c r="C8" s="3450" t="s">
        <v>3391</v>
      </c>
    </row>
    <row r="9" spans="1:4">
      <c r="A9" s="3450" t="s">
        <v>3392</v>
      </c>
      <c r="B9">
        <f>ROUND(B8*10000/B7/B6,2)</f>
        <v>0.98</v>
      </c>
    </row>
    <row r="10" spans="1:4">
      <c r="A10" s="3450" t="s">
        <v>3393</v>
      </c>
      <c r="B10">
        <f>ROUND((C5-项目基本情况!D3)/365,2)</f>
        <v>8.98</v>
      </c>
    </row>
    <row r="11" spans="1:4">
      <c r="A11" s="3450" t="s">
        <v>3394</v>
      </c>
      <c r="B11" s="3452">
        <f>'[3]数据-取费表'!B38</f>
        <v>2.5000000000000001E-2</v>
      </c>
    </row>
    <row r="12" spans="1:4">
      <c r="A12" s="3450" t="s">
        <v>3395</v>
      </c>
      <c r="B12">
        <v>2.5</v>
      </c>
      <c r="D12">
        <f>B9*(1+B11)^B10</f>
        <v>1.2232814410568082</v>
      </c>
    </row>
    <row r="13" spans="1:4">
      <c r="A13" s="3450" t="s">
        <v>3396</v>
      </c>
      <c r="B13">
        <f>ROUND(B12*(1+B11)^B10,2)</f>
        <v>3.12</v>
      </c>
    </row>
    <row r="14" spans="1:4">
      <c r="A14" s="3450"/>
    </row>
    <row r="15" spans="1:4">
      <c r="A15" s="3450"/>
    </row>
    <row r="17" spans="1:11">
      <c r="B17" s="3450" t="s">
        <v>3397</v>
      </c>
      <c r="C17" s="3450" t="s">
        <v>3398</v>
      </c>
      <c r="D17" s="3450" t="s">
        <v>3399</v>
      </c>
      <c r="F17" s="3450" t="s">
        <v>3400</v>
      </c>
      <c r="G17" s="3450" t="s">
        <v>3397</v>
      </c>
      <c r="H17" s="3450" t="s">
        <v>3401</v>
      </c>
      <c r="I17" s="3450" t="s">
        <v>3402</v>
      </c>
    </row>
    <row r="18" spans="1:11">
      <c r="A18" s="3450" t="s">
        <v>3403</v>
      </c>
      <c r="B18">
        <v>85</v>
      </c>
      <c r="C18">
        <v>60</v>
      </c>
      <c r="D18">
        <f>ROUND(C18*10000/365/B18,0)</f>
        <v>19</v>
      </c>
      <c r="E18" s="3450" t="s">
        <v>3404</v>
      </c>
      <c r="F18">
        <v>17508</v>
      </c>
    </row>
    <row r="20" spans="1:11">
      <c r="E20" s="3450" t="s">
        <v>3405</v>
      </c>
      <c r="F20">
        <v>6994</v>
      </c>
      <c r="G20">
        <v>742.29</v>
      </c>
      <c r="H20">
        <f>F20/F18</f>
        <v>0.39947452593100297</v>
      </c>
      <c r="I20">
        <v>0.7</v>
      </c>
      <c r="J20">
        <f>H20*D18*I20</f>
        <v>5.3130111948823391</v>
      </c>
    </row>
    <row r="21" spans="1:11">
      <c r="E21" s="3450" t="s">
        <v>3406</v>
      </c>
      <c r="F21">
        <v>3497</v>
      </c>
      <c r="G21">
        <v>1415.99</v>
      </c>
      <c r="H21">
        <f>F21/F18</f>
        <v>0.19973726296550148</v>
      </c>
      <c r="I21">
        <v>0.7</v>
      </c>
      <c r="J21">
        <f>F21/F18*D18*I21</f>
        <v>2.6565055974411695</v>
      </c>
    </row>
    <row r="22" spans="1:11">
      <c r="K22">
        <f>(J21*G21+J20*G20)/(G20+G21)</f>
        <v>3.5701486557675248</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房地产</v>
      </c>
      <c r="B4" s="854">
        <f>项目基本情况!C17</f>
        <v>2158.2799999999997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6" t="s">
        <v>927</v>
      </c>
      <c r="B5" s="3466"/>
      <c r="C5" s="3466"/>
      <c r="D5" s="3466" t="e">
        <f ca="1">结果表!D119</f>
        <v>#REF!</v>
      </c>
      <c r="E5" s="3466"/>
      <c r="F5" s="3466" t="e">
        <f ca="1">结果表!F119</f>
        <v>#REF!</v>
      </c>
      <c r="G5" s="3466"/>
      <c r="H5" s="3466" t="e">
        <f ca="1">结果表!H119</f>
        <v>#REF!</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t="e">
        <f ca="1">结果表!D122</f>
        <v>#REF!</v>
      </c>
      <c r="E8" s="3467"/>
      <c r="F8" s="3467"/>
      <c r="G8" s="3467"/>
      <c r="H8" s="3467"/>
      <c r="I8" s="3467"/>
    </row>
    <row r="9" spans="1:9" ht="15">
      <c r="A9" s="3466" t="s">
        <v>927</v>
      </c>
      <c r="B9" s="3466"/>
      <c r="C9" s="3466"/>
      <c r="D9" s="3466" t="e">
        <f ca="1">结果表!D123</f>
        <v>#REF!</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2023-01-12T07:50:48Z</dcterms:modified>
</cp:coreProperties>
</file>