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47" i="33"/>
  <c r="G47" i="33"/>
  <c r="I36" i="33"/>
  <c r="G36" i="33"/>
  <c r="E36" i="33"/>
  <c r="C36" i="33"/>
  <c r="I7" i="33"/>
  <c r="G7" i="33"/>
  <c r="E7" i="33"/>
  <c r="Y6" i="1"/>
  <c r="N6" i="1"/>
  <c r="B21" i="1"/>
  <c r="F19" i="6"/>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D35" i="9"/>
  <c r="E13" i="76"/>
  <c r="L48" i="15"/>
  <c r="M8" i="67"/>
  <c r="B9" i="76"/>
  <c r="F7" i="67"/>
  <c r="B7" i="76"/>
  <c r="M28" i="15"/>
  <c r="F7" i="73"/>
  <c r="M24" i="67"/>
  <c r="F16" i="67"/>
  <c r="M26" i="15"/>
  <c r="F20" i="31"/>
  <c r="D7" i="73"/>
  <c r="M29" i="67"/>
  <c r="M9" i="15"/>
  <c r="E2" i="69"/>
  <c r="F4" i="73"/>
  <c r="F40" i="67"/>
  <c r="M26" i="67"/>
  <c r="F6" i="67"/>
  <c r="L47" i="67"/>
  <c r="F42" i="67"/>
  <c r="F5" i="73"/>
  <c r="M6" i="15"/>
  <c r="B8" i="76"/>
  <c r="J15" i="67"/>
  <c r="E8" i="76"/>
  <c r="E11" i="76"/>
  <c r="E10" i="76"/>
  <c r="F36" i="67"/>
  <c r="M29" i="15"/>
  <c r="F16" i="15"/>
  <c r="E12" i="76"/>
  <c r="D34" i="9"/>
  <c r="M22" i="15"/>
  <c r="M9" i="67"/>
  <c r="F37" i="67"/>
  <c r="E7" i="76"/>
  <c r="F43" i="15"/>
  <c r="F37" i="15"/>
  <c r="L47" i="15"/>
  <c r="E9" i="76"/>
  <c r="M6" i="67"/>
  <c r="F9" i="67"/>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C76" i="67"/>
  <c r="F38" i="15"/>
  <c r="B13" i="76"/>
  <c r="AB36" i="33" l="1"/>
  <c r="S36" i="33"/>
  <c r="C28" i="67"/>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40"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19" i="9"/>
  <c r="D2" i="37"/>
  <c r="D2" i="36"/>
  <c r="L51" i="15"/>
  <c r="D2" i="35"/>
  <c r="D2" i="34"/>
  <c r="C102" i="9" l="1"/>
  <c r="C21" i="9"/>
  <c r="B3" i="33"/>
  <c r="D102" i="9"/>
  <c r="G19" i="9"/>
  <c r="G21" i="9" s="1"/>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20" i="9"/>
  <c r="AO12" i="1"/>
  <c r="AO7" i="1"/>
  <c r="AO6" i="1"/>
  <c r="AO9" i="1"/>
  <c r="AO11" i="1"/>
  <c r="AO8" i="1"/>
  <c r="AO10" i="1"/>
  <c r="C103" i="9" l="1"/>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E118" i="9" l="1"/>
  <c r="H118" i="9"/>
  <c r="D14" i="74" s="1"/>
  <c r="F118" i="9"/>
  <c r="I4" i="52"/>
  <c r="H102" i="9"/>
  <c r="E14" i="74" l="1"/>
  <c r="F14" i="74"/>
  <c r="B5" i="74"/>
  <c r="D5" i="74" s="1"/>
  <c r="D7" i="53"/>
  <c r="B21" i="72" s="1"/>
  <c r="F4" i="52"/>
  <c r="B51" i="72" s="1"/>
  <c r="F119" i="9"/>
  <c r="F5" i="52" s="1"/>
  <c r="B53" i="72" s="1"/>
  <c r="E4" i="52"/>
  <c r="B48" i="72" s="1"/>
  <c r="D118" i="9"/>
  <c r="H4" i="52"/>
  <c r="H119" i="9"/>
  <c r="H5" i="52" s="1"/>
  <c r="H101" i="9"/>
  <c r="C104" i="9"/>
  <c r="C5" i="74" l="1"/>
  <c r="D4" i="52"/>
  <c r="B47" i="72" s="1"/>
  <c r="D119" i="9"/>
  <c r="D5" i="52" s="1"/>
  <c r="B49" i="72" s="1"/>
  <c r="M48" i="9"/>
  <c r="D5" i="53"/>
  <c r="D45" i="9"/>
  <c r="H107" i="9"/>
  <c r="D53" i="9" l="1"/>
  <c r="C72" i="9"/>
  <c r="D55" i="9"/>
  <c r="M53" i="9" s="1"/>
  <c r="D52" i="9"/>
  <c r="C78" i="9"/>
  <c r="C73" i="9" s="1"/>
  <c r="C85" i="9"/>
  <c r="C93" i="9"/>
  <c r="C86" i="9" s="1"/>
  <c r="C64" i="9"/>
  <c r="C63" i="9" s="1"/>
  <c r="C67" i="9" s="1"/>
  <c r="D13" i="53"/>
  <c r="D122" i="9"/>
  <c r="G14" i="74" s="1"/>
  <c r="B6" i="74" s="1"/>
  <c r="D6" i="74" s="1"/>
  <c r="H108" i="9"/>
  <c r="D6" i="53"/>
  <c r="B22" i="72" s="1"/>
  <c r="B20" i="72"/>
  <c r="D15" i="53" l="1"/>
  <c r="B31" i="72" s="1"/>
  <c r="C6" i="74"/>
  <c r="D8" i="52"/>
  <c r="D123" i="9"/>
  <c r="D9" i="52" s="1"/>
  <c r="D59" i="9"/>
  <c r="M55" i="9" s="1"/>
  <c r="C68" i="9"/>
  <c r="D54" i="9" s="1"/>
  <c r="C95" i="9"/>
  <c r="C79" i="9"/>
  <c r="D14" i="53"/>
  <c r="B32" i="72" s="1"/>
  <c r="B30" i="72"/>
  <c r="C80" i="9" l="1"/>
  <c r="E80" i="9" s="1"/>
  <c r="E81" i="9" s="1"/>
  <c r="C96" i="9"/>
  <c r="E96" i="9" s="1"/>
  <c r="E97"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<sst xmlns="http://schemas.openxmlformats.org/spreadsheetml/2006/main" count="7783" uniqueCount="3394">
  <si>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</si>
  <si>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</si>
  <si>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</si>
  <si>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</si>
  <si>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</si>
  <si>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</si>
  <si>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</si>
  <si>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</si>
  <si>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</si>
  <si>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</si>
  <si>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</si>
  <si>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</si>
  <si>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</si>
  <si>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</si>
  <si>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</si>
  <si>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</si>
  <si>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</si>
  <si>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</si>
  <si>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</si>
  <si>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</si>
  <si>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</si>
  <si>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</si>
  <si>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</si>
  <si>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</si>
  <si>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</si>
  <si>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</si>
  <si>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</si>
  <si>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</si>
  <si>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</si>
  <si>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</si>
  <si>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</si>
  <si>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</si>
  <si>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</si>
  <si>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</si>
  <si>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</si>
  <si>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</si>
  <si>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</si>
  <si>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</si>
  <si>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</si>
  <si>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</si>
  <si>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</si>
  <si>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</si>
  <si>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</si>
  <si>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</si>
  <si>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</si>
  <si>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</si>
  <si>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</si>
  <si>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</si>
  <si>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</si>
  <si>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</si>
  <si>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</si>
  <si>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</si>
  <si>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</si>
  <si>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</si>
  <si>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</si>
  <si>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</si>
  <si>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</si>
  <si>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</si>
  <si>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</si>
  <si>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</si>
  <si>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</si>
  <si>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</si>
  <si>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</si>
  <si>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</si>
  <si>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</si>
  <si>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</si>
  <si>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</si>
  <si>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</si>
  <si>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</si>
  <si>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</si>
  <si>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</si>
  <si>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</si>
  <si>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</si>
  <si>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</si>
  <si>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</si>
  <si>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</si>
  <si>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</si>
  <si>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</si>
  <si>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</si>
  <si>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</si>
  <si>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</si>
  <si>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</si>
  <si>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</si>
  <si>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</si>
  <si>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</si>
  <si>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</si>
  <si>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</si>
  <si>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</si>
  <si>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</si>
  <si>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</si>
  <si>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</si>
  <si>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</si>
  <si>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</si>
  <si>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</si>
  <si>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</si>
  <si>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</si>
  <si>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</si>
  <si>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</si>
  <si>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</si>
  <si>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</si>
  <si>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</si>
  <si>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</si>
  <si>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</si>
  <si>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</si>
  <si>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</si>
  <si>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</si>
  <si>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</si>
  <si>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</si>
  <si>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</si>
  <si>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</si>
  <si>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</si>
  <si>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</si>
  <si>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</si>
  <si>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</si>
  <si>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</si>
  <si>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</si>
  <si>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</si>
  <si>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</si>
  <si>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</si>
  <si>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</si>
  <si>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</si>
  <si>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</si>
  <si>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</si>
  <si>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</si>
  <si>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</si>
  <si>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</si>
  <si>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</si>
  <si>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</si>
  <si>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</si>
  <si>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</si>
  <si>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</si>
  <si>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</si>
  <si>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</si>
  <si>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</si>
  <si>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</si>
  <si>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</si>
  <si>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</si>
  <si>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</si>
  <si>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</si>
  <si>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</si>
  <si>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</si>
  <si>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</si>
  <si>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</si>
  <si>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</si>
  <si>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</si>
  <si>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</si>
  <si>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</si>
  <si>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</si>
  <si>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</si>
  <si>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</si>
  <si>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</si>
  <si>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</si>
  <si>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</si>
  <si>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</si>
  <si>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</si>
  <si>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</si>
  <si>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</si>
  <si>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</si>
  <si>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</si>
  <si>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</si>
  <si>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</si>
  <si>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</si>
  <si>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</si>
  <si>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</si>
  <si>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</si>
  <si>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</si>
  <si>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</si>
  <si>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</si>
  <si>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</si>
  <si>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</si>
  <si>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</si>
  <si>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</si>
  <si>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</si>
  <si>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</si>
  <si>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</si>
  <si>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</si>
  <si>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</si>
  <si>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</si>
  <si>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</si>
  <si>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</si>
  <si>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</si>
  <si>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</si>
  <si>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</si>
  <si>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</si>
  <si>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</si>
  <si>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</si>
  <si>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</si>
  <si>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</si>
  <si>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</si>
  <si>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</si>
  <si>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</si>
  <si>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</si>
  <si>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</si>
  <si>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</si>
  <si>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</si>
  <si>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</si>
  <si>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</si>
  <si>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</si>
  <si>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</si>
  <si>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</si>
  <si>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</si>
  <si>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</si>
  <si>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</si>
  <si>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</si>
  <si>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</si>
  <si>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</si>
  <si>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</si>
  <si>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</si>
  <si>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</si>
  <si>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</si>
  <si>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</si>
  <si>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</si>
  <si>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</si>
  <si>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</si>
  <si>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</si>
  <si>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</si>
  <si>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</si>
  <si>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</si>
  <si>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</si>
  <si>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</si>
  <si>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</si>
  <si>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</si>
  <si>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</si>
  <si>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</si>
  <si>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</si>
  <si>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</si>
  <si>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</si>
  <si>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</si>
  <si>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</si>
  <si>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</si>
  <si>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</si>
  <si>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</si>
  <si>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</si>
  <si>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</si>
  <si>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</si>
  <si>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</si>
  <si>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</si>
  <si>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</si>
  <si>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</si>
  <si>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</si>
  <si>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</si>
  <si>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</si>
  <si>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</si>
  <si>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</si>
  <si>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</si>
  <si>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</si>
  <si>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</si>
  <si>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</si>
  <si>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</si>
  <si>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</si>
  <si>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</si>
  <si>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</si>
  <si>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</si>
  <si>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</si>
  <si>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</si>
  <si>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</si>
  <si>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</si>
  <si>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</si>
  <si>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</si>
  <si>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</si>
  <si>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</si>
  <si>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</si>
  <si>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</si>
  <si>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</si>
  <si>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</si>
  <si>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</si>
  <si>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</si>
  <si>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</si>
  <si>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</si>
  <si>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</si>
  <si>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</si>
  <si>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</si>
  <si>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</si>
  <si>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</si>
  <si>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</si>
  <si>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</si>
  <si>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</si>
  <si>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</si>
  <si>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</si>
  <si>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</si>
  <si>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</si>
  <si>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</si>
  <si>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</si>
  <si>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</si>
  <si>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</si>
  <si>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</si>
  <si>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</si>
  <si>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</si>
  <si>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</si>
  <si>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</si>
  <si>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</si>
  <si>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</si>
  <si>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</si>
  <si>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</si>
  <si>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</si>
  <si>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</si>
  <si>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</si>
  <si>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</si>
  <si>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</si>
  <si>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</si>
  <si>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</si>
  <si>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</si>
  <si>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</si>
  <si>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</si>
  <si>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</si>
  <si>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</si>
  <si>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</si>
  <si>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</si>
  <si>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</si>
  <si>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</si>
  <si>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</si>
  <si>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</si>
  <si>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</si>
  <si>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</si>
  <si>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</si>
  <si>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</si>
  <si>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</si>
  <si>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</si>
  <si>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</si>
  <si>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</si>
  <si>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</si>
  <si>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</si>
  <si>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</si>
  <si>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</si>
  <si>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</si>
  <si>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</si>
  <si>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</si>
  <si>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</si>
  <si>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</si>
  <si>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</si>
  <si>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</si>
  <si>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</si>
  <si>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</si>
  <si>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</si>
  <si>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</si>
  <si>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</si>
  <si>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</si>
  <si>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</si>
  <si>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</si>
  <si>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</si>
  <si>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</si>
  <si>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</si>
  <si>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</si>
  <si>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</si>
  <si>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</si>
  <si>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</si>
  <si>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</si>
  <si>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</si>
  <si>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</si>
  <si>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</si>
  <si>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</si>
  <si>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</si>
  <si>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</si>
  <si>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</si>
  <si>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</si>
  <si>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</si>
  <si>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</si>
  <si>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</si>
  <si>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</si>
  <si>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</si>
  <si>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</si>
  <si>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</si>
  <si>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</si>
  <si>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</si>
  <si>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</si>
  <si>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</si>
  <si>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</si>
  <si>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</si>
  <si>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</si>
  <si>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</si>
  <si>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</si>
  <si>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</si>
  <si>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</si>
  <si>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</si>
  <si>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</si>
  <si>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</si>
  <si>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</si>
  <si>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</si>
  <si>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</si>
  <si>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</si>
  <si>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</si>
  <si>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</si>
  <si>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</si>
  <si>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</si>
  <si>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</si>
  <si>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</si>
  <si>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</si>
  <si>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</si>
  <si>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</si>
  <si>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</si>
  <si>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</si>
  <si>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</si>
  <si>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</si>
  <si>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</si>
  <si>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</si>
  <si>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</si>
  <si>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</si>
  <si>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</si>
  <si>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</si>
  <si>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</si>
  <si>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</si>
  <si>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</si>
  <si>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</si>
  <si>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</si>
  <si>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</si>
  <si>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</si>
  <si>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</si>
  <si>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</si>
  <si>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</si>
  <si>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</si>
  <si>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</si>
  <si>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</si>
  <si>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</si>
  <si>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</si>
  <si>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</si>
  <si>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</si>
  <si>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</si>
  <si>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</si>
  <si>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</si>
  <si>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</si>
  <si>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</si>
  <si>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</si>
  <si>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</si>
  <si>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</si>
  <si>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</si>
  <si>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</si>
  <si>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</si>
  <si>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</si>
  <si>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</si>
  <si>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</si>
  <si>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</si>
  <si>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</si>
  <si>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</si>
  <si>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</si>
  <si>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</si>
  <si>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</si>
  <si>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</si>
  <si>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</si>
  <si>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</si>
  <si>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</si>
  <si>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</si>
  <si>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</si>
  <si>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</si>
  <si>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</si>
  <si>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</si>
  <si>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</si>
  <si>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</si>
  <si>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</si>
  <si>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</si>
  <si>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</si>
  <si>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</si>
  <si>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</si>
  <si>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</si>
  <si>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</si>
  <si>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</si>
  <si>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</si>
  <si>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</si>
  <si>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</si>
  <si>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</si>
  <si>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</si>
  <si>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</si>
  <si>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</si>
  <si>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</si>
  <si>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</si>
  <si>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</si>
  <si>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</si>
  <si>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</si>
  <si>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</si>
  <si>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</si>
  <si>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</si>
  <si>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</si>
  <si>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</si>
  <si>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</si>
  <si>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</si>
  <si>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</si>
  <si>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</si>
  <si>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</si>
  <si>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</si>
  <si>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</si>
  <si>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</si>
  <si>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</si>
  <si>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</si>
  <si>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</si>
  <si>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</si>
  <si>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</si>
  <si>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</si>
  <si>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</si>
  <si>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</si>
  <si>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</si>
  <si>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</si>
  <si>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</si>
  <si>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</si>
  <si>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</si>
  <si>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</si>
  <si>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</si>
  <si>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</si>
  <si>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</si>
  <si>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</si>
  <si>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</si>
  <si>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</si>
  <si>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</si>
  <si>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</si>
  <si>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</si>
  <si>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</si>
  <si>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</si>
  <si>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</si>
  <si>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</si>
  <si>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</si>
  <si>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</si>
  <si>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</si>
  <si>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</si>
  <si>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</si>
  <si>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</si>
  <si>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</si>
  <si>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</si>
  <si>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</si>
  <si>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</si>
  <si>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</si>
  <si>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</si>
  <si>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</si>
  <si>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</si>
  <si>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</si>
  <si>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</si>
  <si>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</si>
  <si>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</si>
  <si>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</si>
  <si>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</si>
  <si>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</si>
  <si>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</si>
  <si>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</si>
  <si>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</si>
  <si>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</si>
  <si>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</si>
  <si>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</si>
  <si>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</si>
  <si>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</si>
  <si>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</si>
  <si>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</si>
  <si>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</si>
  <si>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</si>
  <si>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</si>
  <si>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</si>
  <si>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</si>
  <si>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</si>
  <si>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</si>
  <si>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</si>
  <si>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</si>
  <si>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</si>
  <si>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</si>
  <si>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</si>
  <si>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</si>
  <si>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</si>
  <si>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</si>
  <si>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</si>
  <si>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</si>
  <si>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</si>
  <si>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</si>
  <si>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</si>
  <si>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</si>
  <si>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</si>
  <si>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</si>
  <si>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</si>
  <si>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</si>
  <si>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</si>
  <si>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</si>
  <si>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</si>
  <si>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</si>
  <si>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</si>
  <si>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</si>
  <si>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</si>
  <si>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</si>
  <si>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</si>
  <si>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</si>
  <si>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</si>
  <si>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</si>
  <si>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</si>
  <si>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</si>
  <si>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</si>
  <si>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</si>
  <si>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</si>
  <si>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</si>
  <si>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</si>
  <si>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</si>
  <si>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</si>
  <si>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</si>
  <si>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</si>
  <si>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</si>
  <si>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</si>
  <si>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</si>
  <si>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</si>
  <si>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</si>
  <si>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</si>
  <si>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</si>
  <si>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</si>
  <si>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</si>
  <si>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</si>
  <si>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</si>
  <si>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</si>
  <si>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</si>
  <si>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</si>
  <si>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</si>
  <si>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</si>
  <si>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</si>
  <si>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</si>
  <si>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</si>
  <si>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</si>
  <si>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</si>
  <si>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</si>
  <si>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</si>
  <si>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</si>
  <si>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</si>
  <si>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</si>
  <si>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</si>
  <si>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</si>
  <si>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</si>
  <si>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</si>
  <si>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</si>
  <si>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</si>
  <si>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</si>
  <si>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</si>
  <si>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</si>
  <si>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</si>
  <si>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</si>
  <si>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</si>
  <si>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</si>
  <si>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</si>
  <si>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</si>
  <si>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</si>
  <si>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</si>
  <si>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</si>
  <si>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</si>
  <si>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</si>
  <si>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</si>
  <si>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</si>
  <si>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</si>
  <si>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</si>
  <si>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</si>
  <si>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</si>
  <si>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</si>
  <si>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</si>
  <si>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</si>
  <si>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</si>
  <si>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</si>
  <si>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</si>
  <si>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</si>
  <si>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</si>
  <si>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</si>
  <si>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</si>
  <si>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</si>
  <si>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</si>
  <si>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</si>
  <si>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</si>
  <si>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</si>
  <si>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</si>
  <si>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</si>
  <si>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</si>
  <si>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</si>
  <si>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</si>
  <si>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</si>
  <si>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</si>
  <si>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</si>
  <si>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</si>
  <si>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</si>
  <si>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</si>
  <si>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</si>
  <si>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</si>
  <si>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</si>
  <si>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</si>
  <si>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</si>
  <si>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</si>
  <si>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</si>
  <si>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</si>
  <si>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</si>
  <si>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</si>
  <si>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</si>
  <si>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</si>
  <si>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</si>
  <si>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</si>
  <si>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</si>
  <si>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</si>
  <si>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</si>
  <si>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</si>
  <si>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</si>
  <si>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</si>
  <si>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</si>
  <si>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</si>
  <si>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</si>
  <si>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</si>
  <si>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</si>
  <si>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</si>
  <si>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</si>
  <si>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</si>
  <si>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</si>
  <si>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</si>
  <si>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</si>
  <si>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</si>
  <si>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</si>
  <si>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</si>
  <si>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</si>
  <si>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</si>
  <si>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</si>
  <si>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</si>
  <si>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</si>
  <si>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</si>
  <si>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</si>
  <si>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</si>
  <si>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</si>
  <si>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</si>
  <si>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</si>
  <si>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</si>
  <si>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</si>
  <si>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</si>
  <si>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</si>
  <si>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</si>
  <si>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</si>
  <si>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</si>
  <si>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</si>
  <si>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</si>
  <si>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</si>
  <si>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</si>
  <si>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</si>
  <si>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</si>
  <si>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</si>
  <si>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</si>
  <si>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</si>
  <si>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</si>
  <si>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</si>
  <si>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</si>
  <si>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</si>
  <si>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</si>
  <si>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</si>
  <si>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</si>
  <si>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</si>
  <si>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</si>
  <si>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</si>
  <si>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</si>
  <si>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</si>
  <si>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</si>
  <si>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</si>
  <si>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</si>
  <si>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</si>
  <si>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</si>
  <si>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</si>
  <si>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</si>
  <si>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</si>
  <si>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</si>
  <si>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</si>
  <si>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</si>
  <si>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</si>
  <si>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</si>
  <si>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</si>
  <si>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</si>
  <si>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</si>
  <si>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</si>
  <si>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</si>
  <si>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</si>
  <si>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</si>
  <si>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</si>
  <si>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</si>
  <si>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</si>
  <si>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</si>
  <si>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</si>
  <si>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</si>
  <si>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</si>
  <si>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</si>
  <si>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</si>
  <si>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</si>
  <si>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</si>
  <si>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</si>
  <si>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</si>
  <si>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</si>
  <si>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</si>
  <si>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</si>
  <si>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</si>
  <si>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</si>
  <si>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</si>
  <si>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</si>
  <si>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</si>
  <si>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</si>
  <si>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</si>
  <si>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</si>
  <si>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</si>
  <si>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</si>
  <si>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</si>
  <si>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</si>
  <si>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</si>
  <si>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</si>
  <si>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</si>
  <si>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</si>
  <si>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</si>
  <si>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</si>
  <si>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</si>
  <si>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</si>
  <si>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</si>
  <si>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</si>
  <si>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</si>
  <si>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</si>
  <si>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</si>
  <si>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</si>
  <si>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</si>
  <si>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</si>
  <si>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</si>
  <si>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</si>
  <si>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</si>
  <si>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</si>
  <si>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</si>
  <si>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</si>
  <si>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</si>
  <si>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</si>
  <si>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</si>
  <si>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</si>
  <si>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</si>
  <si>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</si>
  <si>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</si>
  <si>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</si>
  <si>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</si>
  <si>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</si>
  <si>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</si>
  <si>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</si>
  <si>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</si>
  <si>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</si>
  <si>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</si>
  <si>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</si>
  <si>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</si>
  <si>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</si>
  <si>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</si>
  <si>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</si>
  <si>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</si>
  <si>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</si>
  <si>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</si>
  <si>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</si>
  <si>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</si>
  <si>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</si>
  <si>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</si>
  <si>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</si>
  <si>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</si>
  <si>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</si>
  <si>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</si>
  <si>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</si>
  <si>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</si>
  <si>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</si>
  <si>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</si>
  <si>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</si>
  <si>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</si>
  <si>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</si>
  <si>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</si>
  <si>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</si>
  <si>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</si>
  <si>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</si>
  <si>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</si>
  <si>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</si>
  <si>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</si>
  <si>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</si>
  <si>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</si>
  <si>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</si>
  <si>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</si>
  <si>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</si>
  <si>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</si>
  <si>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</si>
  <si>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</si>
  <si>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</si>
  <si>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</si>
  <si>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</si>
  <si>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</si>
  <si>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</si>
  <si>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</si>
  <si>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</si>
  <si>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</si>
  <si>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</si>
  <si>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</si>
  <si>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</si>
  <si>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</si>
  <si>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</si>
  <si>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</si>
  <si>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</si>
  <si>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</si>
  <si>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</si>
  <si>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</si>
  <si>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</si>
  <si>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</si>
  <si>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</si>
  <si>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</si>
  <si>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</si>
  <si>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</si>
  <si>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</si>
  <si>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</si>
  <si>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</si>
  <si>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</si>
  <si>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</si>
  <si>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</si>
  <si>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</si>
  <si>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</si>
  <si>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</si>
  <si>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</si>
  <si>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</si>
  <si>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</si>
  <si>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</si>
  <si>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</si>
  <si>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</si>
  <si>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</si>
  <si>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</si>
  <si>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</si>
  <si>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</si>
  <si>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</si>
  <si>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</si>
  <si>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</si>
  <si>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</si>
  <si>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</si>
  <si>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</si>
  <si>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</si>
  <si>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</si>
  <si>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</si>
  <si>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</si>
  <si>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</si>
  <si>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</si>
  <si>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</si>
  <si>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</si>
  <si>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</si>
  <si>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</si>
  <si>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</si>
  <si>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</si>
  <si>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</si>
  <si>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</si>
  <si>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</si>
  <si>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</si>
  <si>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</si>
  <si>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</si>
  <si>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</si>
  <si>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</si>
  <si>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</si>
  <si>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</si>
  <si>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</si>
  <si>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</si>
  <si>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</si>
  <si>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</si>
  <si>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</si>
  <si>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</si>
  <si>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</si>
  <si>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</si>
  <si>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</si>
  <si>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</si>
  <si>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</si>
  <si>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</si>
  <si>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</si>
  <si>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</si>
  <si>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</si>
  <si>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</si>
  <si>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</si>
  <si>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</si>
  <si>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</si>
  <si>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</si>
  <si>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</si>
  <si>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</si>
  <si>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</si>
  <si>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</si>
  <si>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</si>
  <si>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</si>
  <si>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</si>
  <si>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</si>
  <si>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</si>
  <si>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</si>
  <si>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</si>
  <si>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</si>
  <si>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</si>
  <si>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</si>
  <si>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</si>
  <si>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</si>
  <si>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</si>
  <si>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</si>
  <si>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</si>
  <si>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</si>
  <si>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</si>
  <si>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</si>
  <si>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</si>
  <si>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</si>
  <si>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</si>
  <si>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</si>
  <si>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</si>
  <si>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</si>
  <si>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</si>
  <si>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</si>
  <si>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</si>
  <si>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</si>
  <si>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</si>
  <si>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</si>
  <si>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</si>
  <si>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</si>
  <si>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</si>
  <si>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</si>
  <si>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</si>
  <si>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</si>
  <si>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</si>
  <si>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</si>
  <si>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</si>
  <si>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</si>
  <si>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</si>
  <si>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</si>
  <si>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</si>
  <si>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</si>
  <si>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</si>
  <si>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</si>
  <si>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</si>
  <si>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</si>
  <si>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</si>
  <si>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</si>
  <si>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</si>
  <si>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</si>
  <si>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</si>
  <si>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</si>
  <si>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</si>
  <si>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</si>
  <si>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</si>
  <si>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</si>
  <si>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</si>
  <si>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</si>
  <si>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</si>
  <si>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</si>
  <si>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</si>
  <si>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</si>
  <si>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</si>
  <si>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</si>
  <si>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</si>
  <si>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</si>
  <si>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</si>
  <si>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</si>
  <si>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</si>
  <si>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</si>
  <si>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</si>
  <si>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</si>
  <si>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</si>
  <si>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</si>
  <si>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</si>
  <si>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</si>
  <si>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</si>
  <si>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</si>
  <si>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</si>
  <si>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</si>
  <si>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</si>
  <si>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</si>
  <si>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</si>
  <si>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</si>
  <si>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</si>
  <si>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</si>
  <si>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</si>
  <si>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</si>
  <si>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</si>
  <si>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</si>
  <si>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</si>
  <si>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</si>
  <si>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</si>
  <si>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</si>
  <si>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</si>
  <si>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</si>
  <si>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</si>
  <si>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</si>
  <si>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</si>
  <si>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</si>
  <si>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</si>
  <si>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</si>
  <si>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</si>
  <si>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</si>
  <si>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</si>
  <si>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</si>
  <si>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</si>
  <si>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</si>
  <si>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</si>
  <si>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</si>
  <si>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</si>
  <si>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</si>
  <si>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</si>
  <si>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</si>
  <si>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</si>
  <si>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</si>
  <si>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</si>
  <si>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</si>
  <si>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</si>
  <si>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</si>
  <si>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</si>
  <si>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</si>
  <si>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</si>
  <si>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</si>
  <si>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</si>
  <si>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</si>
  <si>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</si>
  <si>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</si>
  <si>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</si>
  <si>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</si>
  <si>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</si>
  <si>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</si>
  <si>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</si>
  <si>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</si>
  <si>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</si>
  <si>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</si>
  <si>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</si>
  <si>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</si>
  <si>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</si>
  <si>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</si>
  <si>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</si>
  <si>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</si>
  <si>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</si>
  <si>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</si>
  <si>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</si>
  <si>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</si>
  <si>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</si>
  <si>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</si>
  <si>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</si>
  <si>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</si>
  <si>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</si>
  <si>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</si>
  <si>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</si>
  <si>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</si>
  <si>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</si>
  <si>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</si>
  <si>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</si>
  <si>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</si>
  <si>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</si>
  <si>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</si>
  <si>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</si>
  <si>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</si>
  <si>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</si>
  <si>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</si>
  <si>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</si>
  <si>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</si>
  <si>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</si>
  <si>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</si>
  <si>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</si>
  <si>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</si>
  <si>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</si>
  <si>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</si>
  <si>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</si>
  <si>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</si>
  <si>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</si>
  <si>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</si>
  <si>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</si>
  <si>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</si>
  <si>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</si>
  <si>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</si>
  <si>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</si>
  <si>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</si>
  <si>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</si>
  <si>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</si>
  <si>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</si>
  <si>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</si>
  <si>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</si>
  <si>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</si>
  <si>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</si>
  <si>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</si>
  <si>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</si>
  <si>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</si>
  <si>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</si>
  <si>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</si>
  <si>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</si>
  <si>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</si>
  <si>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</si>
  <si>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</si>
  <si>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</si>
  <si>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</si>
  <si>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</si>
  <si>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</si>
  <si>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</si>
  <si>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</si>
  <si>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</si>
  <si>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</si>
  <si>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</si>
  <si>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</si>
  <si>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</si>
  <si>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</si>
  <si>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</si>
  <si>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</si>
  <si>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</si>
  <si>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</si>
  <si>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</si>
  <si>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</si>
  <si>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</si>
  <si>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</si>
  <si>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</si>
  <si>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</si>
  <si>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</si>
  <si>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</si>
  <si>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</si>
  <si>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</si>
  <si>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</si>
  <si>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</si>
  <si>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</si>
  <si>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</si>
  <si>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</si>
  <si>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</si>
  <si>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</si>
  <si>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</si>
  <si>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</si>
  <si>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</si>
  <si>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</si>
  <si>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</si>
  <si>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</si>
  <si>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</si>
  <si>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</si>
  <si>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</si>
  <si>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</si>
  <si>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</si>
  <si>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</si>
  <si>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</si>
  <si>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</si>
  <si>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</si>
  <si>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</si>
  <si>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</si>
  <si>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</si>
  <si>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</si>
  <si>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</si>
  <si>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</si>
  <si>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</si>
  <si>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</si>
  <si>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</si>
  <si>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</si>
  <si>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</si>
  <si>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</si>
  <si>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</si>
  <si>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</si>
  <si>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</si>
  <si>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</si>
  <si>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</si>
  <si>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</si>
  <si>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</si>
  <si>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</si>
  <si>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</si>
  <si>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</si>
  <si>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</si>
  <si>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</si>
  <si>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</si>
  <si>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</si>
  <si>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</si>
  <si>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</si>
  <si>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</si>
  <si>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</si>
  <si>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</si>
  <si>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</si>
  <si>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</si>
  <si>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</si>
  <si>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</si>
  <si>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</si>
  <si>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</si>
  <si>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</si>
  <si>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</si>
  <si>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</si>
  <si>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</si>
  <si>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</si>
  <si>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</si>
  <si>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</si>
  <si>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</si>
  <si>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</si>
  <si>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</si>
  <si>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</si>
  <si>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</si>
  <si>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</si>
  <si>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</si>
  <si>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</si>
  <si>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</si>
  <si>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</si>
  <si>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</si>
  <si>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</si>
  <si>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</si>
  <si>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</si>
  <si>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</si>
  <si>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</si>
  <si>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</si>
  <si>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</si>
  <si>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</si>
  <si>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</si>
  <si>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</si>
  <si>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</si>
  <si>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</si>
  <si>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</si>
  <si>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</si>
  <si>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</si>
  <si>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</si>
  <si>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</si>
  <si>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</si>
  <si>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</si>
  <si>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</si>
  <si>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</si>
  <si>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</si>
  <si>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</si>
  <si>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</si>
  <si>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</si>
  <si>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</si>
  <si>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</si>
  <si>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</si>
  <si>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</si>
  <si>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</si>
  <si>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</si>
  <si>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</si>
  <si>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</si>
  <si>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</si>
  <si>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</si>
  <si>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</si>
  <si>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</si>
  <si>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</si>
  <si>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</si>
  <si>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</si>
  <si>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</si>
  <si>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</si>
  <si>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</si>
  <si>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</si>
  <si>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</si>
  <si>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</si>
  <si>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</si>
  <si>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</si>
  <si>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</si>
  <si>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</si>
  <si>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</si>
  <si>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</si>
  <si>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</si>
  <si>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</si>
  <si>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</si>
  <si>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</si>
  <si>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</si>
  <si>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</si>
  <si>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</si>
  <si>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</si>
  <si>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</si>
  <si>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</si>
  <si>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</si>
  <si>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</si>
  <si>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</si>
  <si>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</si>
  <si>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</si>
  <si>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</si>
  <si>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</si>
  <si>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</si>
  <si>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</si>
  <si>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</si>
  <si>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</si>
  <si>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</si>
  <si>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</si>
  <si>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</si>
  <si>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</si>
  <si>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</si>
  <si>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</si>
  <si>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</si>
  <si>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</si>
  <si>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</si>
  <si>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</si>
  <si>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</si>
  <si>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</si>
  <si>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</si>
  <si>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</si>
  <si>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</si>
  <si>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</si>
  <si>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</si>
  <si>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</si>
  <si>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</si>
  <si>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</si>
  <si>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</si>
  <si>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</si>
  <si>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</si>
  <si>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</si>
  <si>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</si>
  <si>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</si>
  <si>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</si>
  <si>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</si>
  <si>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</si>
  <si>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</si>
  <si>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</si>
  <si>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</si>
  <si>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</si>
  <si>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</si>
  <si>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</si>
  <si>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</si>
  <si>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</si>
  <si>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</si>
  <si>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</si>
  <si>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</si>
  <si>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</si>
  <si>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</si>
  <si>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</si>
  <si>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</si>
  <si>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</si>
  <si>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</si>
  <si>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</si>
  <si>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</si>
  <si>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</si>
  <si>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</si>
  <si>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</si>
  <si>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</si>
  <si>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</si>
  <si>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</si>
  <si>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</si>
  <si>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</si>
  <si>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</si>
  <si>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</si>
  <si>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</si>
  <si>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</si>
  <si>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</si>
  <si>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</si>
  <si>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</si>
  <si>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</si>
  <si>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</si>
  <si>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</si>
  <si>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</si>
  <si>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</si>
  <si>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</si>
  <si>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</si>
  <si>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</si>
  <si>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</si>
  <si>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</si>
  <si>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</si>
  <si>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</si>
  <si>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</si>
  <si>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</si>
  <si>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</si>
  <si>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</si>
  <si>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</si>
  <si>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</si>
  <si>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</si>
  <si>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</si>
  <si>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</si>
  <si>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</si>
  <si>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</si>
  <si>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</si>
  <si>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</si>
  <si>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</si>
  <si>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</si>
  <si>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</si>
  <si>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</si>
  <si>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</si>
  <si>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</si>
  <si>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</si>
  <si>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</si>
  <si>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</si>
  <si>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</si>
  <si>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</si>
  <si>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</si>
  <si>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</si>
  <si>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</si>
  <si>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</si>
  <si>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</si>
  <si>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</si>
  <si>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</si>
  <si>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</si>
  <si>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</si>
  <si>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</si>
  <si>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</si>
  <si>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</si>
  <si>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</si>
  <si>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</si>
  <si>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</si>
  <si>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</si>
  <si>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</si>
  <si>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</si>
  <si>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</si>
  <si>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</si>
  <si>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</si>
  <si>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</si>
  <si>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</si>
  <si>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</si>
  <si>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</si>
  <si>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</si>
  <si>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</si>
  <si>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</si>
  <si>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</si>
  <si>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</si>
  <si>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</si>
  <si>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</si>
  <si>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</si>
  <si>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</si>
  <si>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</si>
  <si>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</si>
  <si>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</si>
  <si>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</si>
  <si>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</si>
  <si>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</si>
  <si>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</si>
  <si>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</si>
  <si>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</si>
  <si>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</si>
  <si>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</si>
  <si>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</si>
  <si>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</si>
  <si>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</si>
  <si>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</si>
  <si>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</si>
  <si>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</si>
  <si>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</si>
  <si>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</si>
  <si>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</si>
  <si>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</si>
  <si>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</si>
  <si>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</si>
  <si>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</si>
  <si>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</si>
  <si>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</si>
  <si>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</si>
  <si>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</si>
  <si>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</si>
  <si>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</si>
  <si>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</si>
  <si>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</si>
  <si>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</si>
  <si>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</si>
  <si>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</si>
  <si>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</si>
  <si>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</si>
  <si>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</si>
  <si>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</si>
  <si>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</si>
  <si>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</si>
  <si>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</si>
  <si>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</si>
  <si>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</si>
  <si>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</si>
  <si>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</si>
  <si>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</si>
  <si>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</si>
  <si>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</si>
  <si>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</si>
  <si>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</si>
  <si>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</si>
  <si>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</si>
  <si>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</si>
  <si>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</si>
  <si>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</si>
  <si>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</si>
  <si>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</si>
  <si>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</si>
  <si>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</si>
  <si>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</si>
  <si>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</si>
  <si>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</si>
  <si>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</si>
  <si>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</si>
  <si>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</si>
  <si>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</si>
  <si>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</si>
  <si>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</si>
  <si>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</si>
  <si>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</si>
  <si>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</si>
  <si>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</si>
  <si>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</si>
  <si>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</si>
  <si>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</si>
  <si>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</si>
  <si>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</si>
  <si>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</si>
  <si>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</si>
  <si>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</si>
  <si>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</si>
  <si>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</si>
  <si>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</si>
  <si>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</si>
  <si>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</si>
  <si>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</si>
  <si>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</si>
  <si>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</si>
  <si>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</si>
  <si>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</si>
  <si>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</si>
  <si>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</si>
  <si>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</si>
  <si>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</si>
  <si>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</si>
  <si>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</si>
  <si>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</si>
  <si>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</si>
  <si>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</si>
  <si>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</si>
  <si>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</si>
  <si>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</si>
  <si>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</si>
  <si>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</si>
  <si>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</si>
  <si>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</si>
  <si>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</si>
  <si>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</si>
  <si>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</si>
  <si>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</si>
  <si>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</si>
  <si>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</si>
  <si>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</si>
  <si>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</si>
  <si>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</si>
  <si>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</si>
  <si>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</si>
  <si>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</si>
  <si>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</si>
  <si>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</si>
  <si>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</si>
  <si>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</si>
  <si>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</si>
  <si>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</si>
  <si>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</si>
  <si>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</si>
  <si>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</si>
  <si>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</si>
  <si>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</si>
  <si>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</si>
  <si>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</si>
  <si>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</si>
  <si>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</si>
  <si>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</si>
  <si>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</si>
  <si>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</si>
  <si>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</si>
  <si>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</si>
  <si>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</si>
  <si>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</si>
  <si>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</si>
  <si>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</si>
  <si>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</si>
  <si>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</si>
  <si>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</si>
  <si>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</si>
  <si>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</si>
  <si>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</si>
  <si>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</si>
  <si>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</si>
  <si>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</si>
  <si>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</si>
  <si>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</si>
  <si>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</si>
  <si>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</si>
  <si>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</si>
  <si>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</si>
  <si>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</si>
  <si>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</si>
  <si>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</si>
  <si>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</si>
  <si>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</si>
  <si>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</si>
  <si>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</si>
  <si>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</si>
  <si>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</si>
  <si>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</si>
  <si>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</si>
  <si>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</si>
  <si>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</si>
  <si>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</si>
  <si>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</si>
  <si>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</si>
  <si>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</si>
  <si>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</si>
  <si>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</si>
  <si>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</si>
  <si>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</si>
  <si>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</si>
  <si>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</si>
  <si>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</si>
  <si>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</si>
  <si>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</si>
  <si>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</si>
  <si>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</si>
  <si>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</si>
  <si>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</si>
  <si>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</si>
  <si>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</si>
  <si>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</si>
  <si>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</si>
  <si>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</si>
  <si>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</si>
  <si>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</si>
  <si>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</si>
  <si>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</si>
  <si>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</si>
  <si>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</si>
  <si>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</si>
  <si>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</si>
  <si>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</si>
  <si>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</si>
  <si>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</si>
  <si>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</si>
  <si>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</si>
  <si>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</si>
  <si>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</si>
  <si>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</si>
  <si>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</si>
  <si>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</si>
  <si>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</si>
  <si>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</si>
  <si>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</si>
  <si>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</si>
  <si>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</si>
  <si>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</si>
  <si>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</si>
  <si>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</si>
  <si>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</si>
  <si>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</si>
  <si>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</si>
  <si>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</si>
  <si>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</si>
  <si>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</si>
  <si>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</si>
  <si>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</si>
  <si>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</si>
  <si>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</si>
  <si>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</si>
  <si>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</si>
  <si>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</si>
  <si>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</si>
  <si>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</si>
  <si>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</si>
  <si>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</si>
  <si>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</si>
  <si>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</si>
  <si>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</si>
  <si>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</si>
  <si>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</si>
  <si>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</si>
  <si>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</si>
  <si>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</si>
  <si>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</si>
  <si>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</si>
  <si>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</si>
  <si>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</si>
  <si>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</si>
  <si>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</si>
  <si>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</si>
  <si>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</si>
  <si>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</si>
  <si>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</si>
  <si>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</si>
  <si>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</si>
  <si>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</si>
  <si>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</si>
  <si>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</si>
  <si>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</si>
  <si>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</si>
  <si>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</si>
  <si>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</si>
  <si>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</si>
  <si>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</si>
  <si>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</si>
  <si>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</si>
  <si>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</si>
  <si>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</si>
  <si>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</si>
  <si>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</si>
  <si>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</si>
  <si>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</si>
  <si>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</si>
  <si>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</si>
  <si>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</si>
  <si>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</si>
  <si>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</si>
  <si>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</si>
  <si>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</si>
  <si>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</si>
  <si>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</si>
  <si>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</si>
  <si>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</si>
  <si>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</si>
  <si>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</si>
  <si>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</si>
  <si>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</si>
  <si>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</si>
  <si>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</si>
  <si>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</si>
  <si>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</si>
  <si>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</si>
  <si>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</si>
  <si>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</si>
  <si>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</si>
  <si>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</si>
  <si>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</si>
  <si>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</si>
  <si>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</si>
  <si>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</si>
  <si>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</si>
  <si>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</si>
  <si>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</si>
  <si>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</si>
  <si>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</si>
  <si>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</si>
  <si>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</si>
  <si>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</si>
  <si>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</si>
  <si>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</si>
  <si>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</si>
  <si>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</si>
  <si>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</si>
  <si>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</si>
  <si>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</si>
  <si>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</si>
  <si>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</si>
  <si>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</si>
  <si>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</si>
  <si>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</si>
  <si>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</si>
  <si>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</si>
  <si>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</si>
  <si>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</si>
  <si>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</si>
  <si>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</si>
  <si>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</si>
  <si>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</si>
  <si>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</si>
  <si>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</si>
  <si>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</si>
  <si>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</si>
  <si>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</si>
  <si>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</si>
  <si>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</si>
  <si>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</si>
  <si>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</si>
  <si>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</si>
  <si>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</si>
  <si>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</si>
  <si>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</si>
  <si>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</si>
  <si>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</si>
  <si>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</si>
  <si>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</si>
  <si>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</si>
  <si>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</si>
  <si>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</si>
  <si>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</si>
  <si>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</si>
  <si>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</si>
  <si>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</si>
  <si>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</si>
  <si>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</si>
  <si>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</si>
  <si>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</si>
  <si>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</si>
  <si>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</si>
  <si>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</si>
  <si>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</si>
  <si>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</si>
  <si>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</si>
  <si>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</si>
  <si>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</si>
  <si>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</si>
  <si>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</si>
  <si>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</si>
  <si>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</si>
  <si>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</si>
  <si>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</si>
  <si>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</si>
  <si>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</si>
  <si>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</si>
  <si>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</si>
  <si>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</si>
  <si>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</si>
  <si>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</si>
  <si>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</si>
  <si>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</si>
  <si>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</si>
  <si>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</si>
  <si>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</si>
  <si>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</si>
  <si>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</si>
  <si>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</si>
  <si>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</si>
  <si>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</si>
  <si>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</si>
  <si>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</si>
  <si>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</si>
  <si>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</si>
  <si>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</si>
  <si>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</si>
  <si>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</si>
  <si>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</si>
  <si>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</si>
  <si>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</si>
  <si>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</si>
  <si>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</si>
  <si>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</si>
  <si>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</si>
  <si>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</si>
  <si>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</si>
  <si>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</si>
  <si>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</si>
  <si>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</si>
  <si>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</si>
  <si>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</si>
  <si>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</si>
  <si>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</si>
  <si>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</si>
  <si>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</si>
  <si>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</si>
  <si>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</si>
  <si>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</si>
  <si>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</si>
  <si>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</si>
  <si>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</si>
  <si>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</si>
  <si>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</si>
  <si>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</si>
  <si>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</si>
  <si>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</si>
  <si>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</si>
  <si>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</si>
  <si>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</si>
  <si>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</si>
  <si>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</si>
  <si>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</si>
  <si>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</si>
  <si>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</si>
  <si>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</si>
  <si>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</si>
  <si>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</si>
  <si>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</si>
  <si>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</si>
  <si>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</si>
  <si>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</si>
  <si>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</si>
  <si>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</si>
  <si>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</si>
  <si>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</si>
  <si>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</si>
  <si>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</si>
  <si>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</si>
  <si>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</si>
  <si>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</si>
  <si>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</si>
  <si>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</si>
  <si>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</si>
  <si>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</si>
  <si>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</si>
  <si>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</si>
  <si>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</si>
  <si>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</si>
  <si>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</si>
  <si>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</si>
  <si>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</si>
  <si>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</si>
  <si>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</si>
  <si>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</si>
  <si>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</si>
  <si>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</si>
  <si>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</si>
  <si>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</si>
  <si>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</si>
  <si>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</si>
  <si>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</si>
  <si>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</si>
  <si>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</si>
  <si>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</si>
  <si>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</si>
  <si>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</si>
  <si>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</si>
  <si>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</si>
  <si>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</si>
  <si>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</si>
  <si>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</si>
  <si>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</si>
  <si>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</si>
  <si>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</si>
  <si>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</si>
  <si>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</si>
  <si>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</si>
  <si>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</si>
  <si>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</si>
  <si>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</si>
  <si>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</si>
  <si>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</si>
  <si>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</si>
  <si>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</si>
  <si>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</si>
  <si>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</si>
  <si>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</si>
  <si>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</si>
  <si>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</si>
  <si>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</si>
  <si>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</si>
  <si>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</si>
  <si>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</si>
  <si>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</si>
  <si>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</si>
  <si>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</si>
  <si>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</si>
  <si>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</si>
  <si>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</si>
  <si>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</si>
  <si>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</si>
  <si>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</si>
  <si>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</si>
  <si>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</si>
  <si>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</si>
  <si>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</si>
  <si>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</si>
  <si>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</si>
  <si>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</si>
  <si>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</si>
  <si>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</si>
  <si>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</si>
  <si>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</si>
  <si>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</si>
  <si>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</si>
  <si>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</si>
  <si>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</si>
  <si>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</si>
  <si>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</si>
  <si>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</si>
  <si>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</si>
  <si>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</si>
  <si>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</si>
  <si>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</si>
  <si>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</si>
  <si>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</si>
  <si>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</si>
  <si>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</si>
  <si>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</si>
  <si>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</si>
  <si>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</si>
  <si>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</si>
  <si>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</si>
  <si>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</si>
  <si>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</si>
  <si>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</si>
  <si>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</si>
  <si>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</si>
  <si>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</si>
  <si>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</si>
  <si>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</si>
  <si>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</si>
  <si>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</si>
  <si>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</si>
  <si>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</si>
  <si>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</si>
  <si>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</si>
  <si>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</si>
  <si>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</si>
  <si>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</si>
  <si>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</si>
  <si>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</si>
  <si>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</si>
  <si>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</si>
  <si>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</si>
  <si>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</si>
  <si>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</si>
  <si>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</si>
  <si>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</si>
  <si>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</si>
  <si>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</si>
  <si>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</si>
  <si>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</si>
  <si>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</si>
  <si>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</si>
  <si>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</si>
  <si>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</si>
  <si>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</si>
  <si>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</si>
  <si>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</si>
  <si>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</si>
  <si>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</si>
  <si>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</si>
  <si>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</si>
  <si>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</si>
  <si>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</si>
  <si>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</si>
  <si>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</si>
  <si>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</si>
  <si>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</si>
  <si>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</si>
  <si>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</si>
  <si>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</si>
  <si>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</si>
  <si>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</si>
  <si>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</si>
  <si>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</si>
  <si>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</si>
  <si>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</si>
  <si>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</si>
  <si>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</si>
  <si>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</si>
  <si>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</si>
  <si>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</si>
  <si>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</si>
  <si>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</si>
  <si>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</si>
  <si>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</si>
  <si>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</si>
  <si>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</si>
  <si>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</si>
  <si>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</si>
  <si>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</si>
  <si>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</si>
  <si>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</si>
  <si>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</si>
  <si>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</si>
  <si>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</si>
  <si>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</si>
  <si>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</si>
  <si>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</si>
  <si>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</si>
  <si>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</si>
  <si>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</si>
  <si>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</si>
  <si>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</si>
  <si>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</si>
  <si>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</si>
  <si>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</si>
  <si>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</si>
  <si>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</si>
  <si>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</si>
  <si>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</si>
  <si>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</si>
  <si>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</si>
  <si>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</si>
  <si>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</si>
  <si>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</si>
  <si>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</si>
  <si>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</si>
  <si>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</si>
  <si>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</si>
  <si>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</si>
  <si>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</si>
  <si>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</si>
  <si>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</si>
  <si>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</si>
  <si>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</si>
  <si>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</si>
  <si>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</si>
  <si>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</si>
  <si>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</si>
  <si>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</si>
  <si>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</si>
  <si>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</si>
  <si>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</si>
  <si>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</si>
  <si>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</si>
  <si>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</si>
  <si>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</si>
  <si>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</si>
  <si>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</si>
  <si>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</si>
  <si>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</si>
  <si>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</si>
  <si>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</si>
  <si>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</si>
  <si>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</si>
  <si>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</si>
  <si>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</si>
  <si>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</si>
  <si>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</si>
  <si>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</si>
  <si>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</si>
  <si>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</si>
  <si>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</si>
  <si>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</si>
  <si>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</si>
  <si>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</si>
  <si>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</si>
  <si>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</si>
  <si>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</si>
  <si>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</si>
  <si>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</si>
  <si>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</si>
  <si>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</si>
  <si>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</si>
  <si>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</si>
  <si>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</si>
  <si>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</si>
  <si>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</si>
  <si>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</si>
  <si>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</si>
  <si>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</si>
  <si>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</si>
  <si>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</si>
  <si>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</si>
  <si>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</si>
  <si>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</si>
  <si>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</si>
  <si>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</si>
  <si>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</si>
  <si>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</si>
  <si>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</si>
  <si>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</si>
  <si>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</si>
  <si>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</si>
  <si>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</si>
  <si>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</si>
  <si>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</si>
  <si>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</si>
  <si>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</si>
  <si>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</si>
  <si>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</si>
  <si>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</si>
  <si>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</si>
  <si>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</si>
  <si>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</si>
  <si>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</si>
  <si>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</si>
  <si>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</si>
  <si>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</si>
  <si>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</si>
  <si>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</si>
  <si>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</si>
  <si>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</si>
  <si>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</si>
  <si>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</si>
  <si>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</si>
  <si>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</si>
  <si>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</si>
  <si>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</si>
  <si>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</si>
  <si>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</si>
  <si>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</si>
  <si>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</si>
  <si>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</si>
  <si>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</si>
  <si>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</si>
  <si>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</si>
  <si>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</si>
  <si>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</si>
  <si>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</si>
  <si>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</si>
  <si>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</si>
  <si>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</si>
  <si>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</si>
  <si>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</si>
  <si>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</si>
  <si>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</si>
  <si>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</si>
  <si>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</si>
  <si>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</si>
  <si>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</si>
  <si>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</si>
  <si>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</si>
  <si>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</si>
  <si>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</si>
  <si>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</si>
  <si>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</si>
  <si>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</si>
  <si>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</si>
  <si>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</si>
  <si>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</si>
  <si>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</si>
  <si>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</si>
  <si>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</si>
  <si>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</si>
  <si>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</si>
  <si>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</si>
  <si>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</si>
  <si>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</si>
  <si>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</si>
  <si>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</si>
  <si>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</si>
  <si>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</si>
  <si>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</si>
  <si>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</si>
  <si>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</si>
  <si>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</si>
  <si>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</si>
  <si>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</si>
  <si>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</si>
  <si>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</si>
  <si>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</si>
  <si>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</si>
  <si>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</si>
  <si>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</si>
  <si>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</si>
  <si>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</si>
  <si>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</si>
  <si>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</si>
  <si>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</si>
  <si>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</si>
  <si>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</si>
  <si>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</si>
  <si>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</si>
  <si>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</si>
  <si>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</si>
  <si>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</si>
  <si>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</si>
  <si>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</si>
  <si>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</si>
  <si>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</si>
  <si>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</si>
  <si>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</si>
  <si>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</si>
  <si>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</si>
  <si>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</si>
  <si>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</si>
  <si>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</si>
  <si>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</si>
  <si>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</si>
  <si>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</si>
  <si>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</si>
  <si>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</si>
  <si>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</si>
  <si>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</si>
  <si>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</si>
  <si>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</si>
  <si>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</si>
  <si>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</si>
  <si>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</si>
  <si>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</si>
  <si>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</si>
  <si>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</si>
  <si>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</si>
  <si>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</si>
  <si>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</si>
  <si>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</si>
  <si>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</si>
  <si>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</si>
  <si>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</si>
  <si>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</si>
  <si>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</si>
  <si>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</si>
  <si>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</si>
  <si>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</si>
  <si>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</si>
  <si>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</si>
  <si>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</si>
  <si>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</si>
  <si>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</si>
  <si>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</si>
  <si>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</si>
  <si>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</si>
  <si>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</si>
  <si>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</si>
  <si>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</si>
  <si>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</si>
  <si>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</si>
  <si>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</si>
  <si>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</si>
  <si>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</si>
  <si>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</si>
  <si>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</si>
  <si>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</si>
  <si>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</si>
  <si>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</si>
  <si>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</si>
  <si>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</si>
  <si>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</si>
  <si>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</si>
  <si>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</si>
  <si>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</si>
  <si>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</si>
  <si>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</si>
  <si>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</si>
  <si>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</si>
  <si>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</si>
  <si>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</si>
  <si>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</si>
  <si>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</si>
  <si>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</si>
  <si>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</si>
  <si>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</si>
  <si>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</si>
  <si>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</si>
  <si>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</si>
  <si>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</si>
  <si>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</si>
  <si>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</si>
  <si>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</si>
  <si>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</si>
  <si>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</si>
  <si>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</si>
  <si>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</si>
  <si>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</si>
  <si>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</si>
  <si>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</si>
  <si>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</si>
  <si>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</si>
  <si>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</si>
  <si>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</si>
  <si>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</si>
  <si>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</si>
  <si>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</si>
  <si>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</si>
  <si>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</si>
  <si>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</si>
  <si>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</si>
  <si>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</si>
  <si>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</si>
  <si>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</si>
  <si>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</si>
  <si>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</si>
  <si>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</si>
  <si>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</si>
  <si>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</si>
  <si>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</si>
  <si>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</si>
  <si>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</si>
  <si>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</si>
  <si>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</si>
  <si>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</si>
  <si>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</si>
  <si>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</si>
  <si>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</si>
  <si>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</si>
  <si>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</si>
  <si>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</si>
  <si>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</si>
  <si>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</si>
  <si>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</si>
  <si>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</si>
  <si>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</si>
  <si>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</si>
  <si>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</si>
  <si>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</si>
  <si>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</si>
  <si>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</si>
  <si>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</si>
  <si>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</si>
  <si>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</si>
  <si>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</si>
  <si>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</si>
  <si>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</si>
  <si>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</si>
  <si>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</si>
  <si>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</si>
  <si>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</si>
  <si>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</si>
  <si>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</si>
  <si>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</si>
  <si>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</si>
  <si>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</si>
  <si>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</si>
  <si>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</si>
  <si>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</si>
  <si>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</si>
  <si>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</si>
  <si>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</si>
  <si>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</si>
  <si>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</si>
  <si>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</si>
  <si>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</si>
  <si>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</si>
  <si>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</si>
  <si>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</si>
  <si>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</si>
  <si>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</si>
  <si>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</si>
  <si>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</si>
  <si>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</si>
  <si>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</si>
  <si>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</si>
  <si>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</si>
  <si>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</si>
  <si>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</si>
  <si>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</si>
  <si>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</si>
  <si>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</si>
  <si>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</si>
  <si>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</si>
  <si>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</si>
  <si>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</si>
  <si>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</si>
  <si>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</si>
  <si>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</si>
  <si>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</si>
  <si>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</si>
  <si>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</si>
  <si>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</si>
  <si>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</si>
  <si>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</si>
  <si>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</si>
  <si>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</si>
  <si>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</si>
  <si>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</si>
  <si>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</si>
  <si>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</si>
  <si>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</si>
  <si>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</si>
  <si>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</si>
  <si>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</si>
  <si>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</si>
  <si>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</si>
  <si>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</si>
  <si>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</si>
  <si>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</si>
  <si>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</si>
  <si>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</si>
  <si>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</si>
  <si>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</si>
  <si>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</si>
  <si>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</si>
  <si>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</si>
  <si>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</si>
  <si>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</si>
  <si>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</si>
  <si>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</si>
  <si>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</si>
  <si>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</si>
  <si>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</si>
  <si>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</si>
  <si>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</si>
  <si>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</si>
  <si>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</si>
  <si>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</si>
  <si>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</si>
  <si>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</si>
  <si>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</si>
  <si>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</si>
  <si>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</si>
  <si>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</si>
  <si>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</si>
  <si>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</si>
  <si>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</si>
  <si>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</si>
  <si>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</si>
  <si>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</si>
  <si>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</si>
  <si>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</si>
  <si>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</si>
  <si>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</si>
  <si>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</si>
  <si>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</si>
  <si>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</si>
  <si>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</si>
  <si>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</si>
  <si>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</si>
  <si>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</si>
  <si>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</si>
  <si>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</si>
  <si>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</si>
  <si>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</si>
  <si>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</si>
  <si>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</si>
  <si>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</si>
  <si>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</si>
  <si>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</si>
  <si>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</si>
  <si>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</si>
  <si>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</si>
  <si>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</si>
  <si>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</si>
  <si>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</si>
  <si>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</si>
  <si>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</si>
  <si>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</si>
  <si>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</si>
  <si>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</si>
  <si>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</si>
  <si>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</si>
  <si>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</si>
  <si>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</si>
  <si>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</si>
  <si>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</si>
  <si>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</si>
  <si>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</si>
  <si>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</si>
  <si>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</si>
  <si>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</si>
  <si>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</si>
  <si>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</si>
  <si>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</si>
  <si>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</si>
  <si>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</si>
  <si>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</si>
  <si>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</si>
  <si>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</si>
  <si>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</si>
  <si>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</si>
  <si>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</si>
  <si>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</si>
  <si>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</si>
  <si>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</si>
  <si>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</si>
  <si>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</si>
  <si>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</si>
  <si>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</si>
  <si>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</si>
  <si>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</si>
  <si>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</si>
  <si>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</si>
  <si>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</si>
  <si>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</si>
  <si>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</si>
  <si>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</si>
  <si>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</si>
  <si>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</si>
  <si>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</si>
  <si>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</si>
  <si>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</si>
  <si>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</si>
  <si>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</si>
  <si>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</si>
  <si>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</si>
  <si>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</si>
  <si>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</si>
  <si>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</si>
  <si>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</si>
  <si>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</si>
  <si>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</si>
  <si>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</si>
  <si>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</si>
  <si>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</si>
  <si>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</si>
  <si>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</si>
  <si>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</si>
  <si>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</si>
  <si>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</si>
  <si>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</si>
  <si>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</si>
  <si>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</si>
  <si>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</si>
  <si>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</si>
  <si>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</si>
  <si>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</si>
  <si>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</si>
  <si>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</si>
  <si>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</si>
  <si>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</si>
  <si>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</si>
  <si>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</si>
  <si>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</si>
  <si>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</si>
  <si>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</si>
  <si>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</si>
  <si>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</si>
  <si>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</si>
  <si>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</si>
  <si>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</si>
  <si>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</si>
  <si>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</si>
  <si>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</si>
  <si>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</si>
  <si>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</si>
  <si>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</si>
  <si>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</si>
  <si>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</si>
  <si>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</si>
  <si>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</si>
  <si>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</si>
  <si>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</si>
  <si>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</si>
  <si>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</si>
  <si>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</si>
  <si>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</si>
  <si>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</si>
  <si>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</si>
  <si>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</si>
  <si>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</si>
  <si>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</si>
  <si>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</si>
  <si>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</si>
  <si>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</si>
  <si>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</si>
  <si>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</si>
  <si>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</si>
  <si>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</si>
  <si>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</si>
  <si>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</si>
  <si>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</si>
  <si>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</si>
  <si>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</si>
  <si>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</si>
  <si>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</si>
  <si>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</si>
  <si>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</si>
  <si>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</si>
  <si>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</si>
  <si>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</si>
  <si>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</si>
  <si>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</si>
  <si>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</si>
  <si>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</si>
  <si>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</si>
  <si>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</si>
  <si>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</si>
  <si>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</si>
  <si>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</si>
  <si>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</si>
  <si>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</si>
  <si>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</si>
  <si>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</si>
  <si>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</si>
  <si>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</si>
  <si>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</si>
  <si>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</si>
  <si>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</si>
  <si>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</si>
  <si>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</si>
  <si>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</si>
  <si>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</si>
  <si>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</si>
  <si>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</si>
  <si>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</si>
  <si>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</si>
  <si>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</si>
  <si>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</si>
  <si>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</si>
  <si>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</si>
  <si>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</si>
  <si>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</si>
  <si>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</si>
  <si>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</si>
  <si>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</si>
  <si>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</si>
  <si>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</si>
  <si>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</si>
  <si>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</si>
  <si>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</si>
  <si>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</si>
  <si>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</si>
  <si>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</si>
  <si>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</si>
  <si>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</si>
  <si>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</si>
  <si>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</si>
  <si>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</si>
  <si>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</si>
  <si>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</si>
  <si>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</si>
  <si>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</si>
  <si>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</si>
  <si>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</si>
  <si>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</si>
  <si>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</si>
  <si>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</si>
  <si>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</si>
  <si>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</si>
  <si>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</si>
  <si>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</si>
  <si>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</si>
  <si>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</si>
  <si>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</si>
  <si>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</si>
  <si>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</si>
  <si>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</si>
  <si>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</si>
  <si>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</si>
  <si>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</si>
  <si>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</si>
  <si>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</si>
  <si>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</si>
  <si>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</si>
  <si>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</si>
  <si>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</si>
  <si>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</si>
  <si>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</si>
  <si>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</si>
  <si>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</si>
  <si>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</si>
  <si>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</si>
  <si>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</si>
  <si>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</si>
  <si>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</si>
  <si>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</si>
  <si>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</si>
  <si>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</si>
  <si>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</si>
  <si>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</si>
  <si>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</si>
  <si>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</si>
  <si>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</si>
  <si>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</si>
  <si>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</si>
  <si>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</si>
  <si>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</si>
  <si>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</si>
  <si>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</si>
  <si>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</si>
  <si>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</si>
  <si>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</si>
  <si>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</si>
  <si>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</si>
  <si>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</si>
  <si>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</si>
  <si>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</si>
  <si>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</si>
  <si>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</si>
  <si>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</si>
  <si>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</si>
  <si>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</si>
  <si>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</si>
  <si>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</si>
  <si>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</si>
  <si>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</si>
  <si>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</si>
  <si>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</si>
  <si>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</si>
  <si>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</si>
  <si>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</si>
  <si>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</si>
  <si>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</si>
  <si>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</si>
  <si>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</si>
  <si>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</si>
  <si>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</si>
  <si>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</si>
  <si>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</si>
  <si>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</si>
  <si>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</si>
  <si>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</si>
  <si>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</si>
  <si>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</si>
  <si>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</si>
  <si>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</si>
  <si>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</si>
  <si>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</si>
  <si>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</si>
  <si>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</si>
  <si>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</si>
  <si>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</si>
  <si>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</si>
  <si>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</si>
  <si>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</si>
  <si>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</si>
  <si>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</si>
  <si>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</si>
  <si>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</si>
  <si>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</si>
  <si>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</si>
  <si>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</si>
  <si>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</si>
  <si>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</si>
  <si>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</si>
  <si>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</si>
  <si>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</si>
  <si>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</si>
  <si>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</si>
  <si>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</si>
  <si>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</si>
  <si>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</si>
  <si>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</si>
  <si>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</si>
  <si>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</si>
  <si>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</si>
  <si>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</si>
  <si>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</si>
  <si>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</si>
  <si>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</si>
  <si>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</si>
  <si>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</si>
  <si>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</si>
  <si>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</si>
  <si>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</si>
  <si>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</si>
  <si>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</si>
  <si>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</si>
  <si>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</si>
  <si>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</si>
  <si>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</si>
  <si>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</si>
  <si>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</si>
  <si>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</si>
  <si>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</si>
  <si>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</si>
  <si>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</si>
  <si>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</si>
  <si>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</si>
  <si>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</si>
  <si>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</si>
  <si>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</si>
  <si>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</si>
  <si>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</si>
  <si>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</si>
  <si>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</si>
  <si>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</si>
  <si>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</si>
  <si>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</si>
  <si>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</si>
  <si>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</si>
  <si>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</si>
  <si>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</si>
  <si>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</si>
  <si>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</si>
  <si>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</si>
  <si>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</si>
  <si>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</si>
  <si>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</si>
  <si>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</si>
  <si>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</si>
  <si>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</si>
  <si>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</si>
  <si>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</si>
  <si>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</si>
  <si>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</si>
  <si>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</si>
  <si>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</si>
  <si>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</si>
  <si>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</si>
  <si>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</si>
  <si>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</si>
  <si>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</si>
  <si>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</si>
  <si>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</si>
  <si>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</si>
  <si>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</si>
  <si>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</si>
  <si>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</si>
  <si>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</si>
  <si>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</si>
  <si>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</si>
  <si>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</si>
  <si>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</si>
  <si>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</si>
  <si>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</si>
  <si>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</si>
  <si>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</si>
  <si>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</si>
  <si>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</si>
  <si>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</si>
  <si>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</si>
  <si>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</si>
  <si>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</si>
  <si>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</si>
  <si>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</si>
  <si>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</si>
  <si>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</si>
  <si>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</si>
  <si>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</si>
  <si>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</si>
  <si>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</si>
  <si>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</si>
  <si>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</si>
  <si>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</si>
  <si>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</si>
  <si>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</si>
  <si>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</si>
  <si>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</si>
  <si>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</si>
  <si>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</si>
  <si>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</si>
  <si>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</si>
  <si>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</si>
  <si>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</si>
  <si>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</si>
  <si>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</si>
  <si>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</si>
  <si>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</si>
  <si>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</si>
  <si>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</si>
  <si>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</si>
  <si>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</si>
  <si>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</si>
  <si>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</si>
  <si>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</si>
  <si>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</si>
  <si>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</si>
  <si>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</si>
  <si>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</si>
  <si>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</si>
  <si>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</si>
  <si>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</si>
  <si>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</si>
  <si>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</si>
  <si>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</si>
  <si>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</si>
  <si>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</si>
  <si>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</si>
  <si>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</si>
  <si>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</si>
  <si>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</si>
  <si>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</si>
  <si>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</si>
  <si>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</si>
  <si>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</si>
  <si>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</si>
  <si>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</si>
  <si>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</si>
  <si>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</si>
  <si>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</si>
  <si>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</si>
  <si>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</si>
  <si>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</si>
  <si>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</si>
  <si>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</si>
  <si>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</si>
  <si>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</si>
  <si>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</si>
  <si>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</si>
  <si>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</si>
  <si>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</si>
  <si>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</si>
  <si>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</si>
  <si>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</si>
  <si>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</si>
  <si>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</si>
  <si>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</si>
  <si>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</si>
  <si>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</si>
  <si>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</si>
  <si>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</si>
  <si>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</si>
  <si>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</si>
  <si>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</si>
  <si>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</si>
  <si>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</si>
  <si>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</si>
  <si>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</si>
  <si>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</si>
  <si>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</si>
  <si>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</si>
  <si>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</si>
  <si>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</si>
  <si>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</si>
  <si>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</si>
  <si>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</si>
  <si>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</si>
  <si>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</si>
  <si>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</si>
  <si>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</si>
  <si>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</si>
  <si>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</si>
  <si>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</si>
  <si>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</si>
  <si>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</si>
  <si>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</si>
  <si>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</si>
  <si>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</si>
  <si>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</si>
  <si>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</si>
  <si>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</si>
  <si>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</si>
  <si>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</si>
  <si>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</si>
  <si>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</si>
  <si>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</si>
  <si>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</si>
  <si>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</si>
  <si>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</si>
  <si>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</si>
  <si>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</si>
  <si>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</si>
  <si>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</si>
  <si>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</si>
  <si>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</si>
  <si>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</si>
  <si>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</si>
  <si>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</si>
  <si>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</si>
  <si>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</si>
  <si>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</si>
  <si>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</si>
  <si>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</si>
  <si>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</si>
  <si>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</si>
  <si>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</si>
  <si>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</si>
  <si>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</si>
  <si>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</si>
  <si>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</si>
  <si>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</si>
  <si>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</si>
  <si>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</si>
  <si>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</si>
  <si>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</si>
  <si>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</si>
  <si>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</si>
  <si>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</si>
  <si>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</si>
  <si>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</si>
  <si>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</si>
  <si>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</si>
  <si>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</si>
  <si>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</si>
  <si>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</si>
  <si>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</si>
  <si>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</si>
  <si>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</si>
  <si>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</si>
  <si>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</si>
  <si>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</si>
  <si>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</si>
  <si>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</si>
  <si>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</si>
  <si>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</si>
  <si>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</si>
  <si>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</si>
  <si>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</si>
  <si>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</si>
  <si>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</si>
  <si>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</si>
  <si>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</si>
  <si>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</si>
  <si>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</si>
  <si>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</si>
  <si>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</si>
  <si>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</si>
  <si>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</si>
  <si>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</si>
  <si>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</si>
  <si>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</si>
  <si>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</si>
  <si>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</si>
  <si>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</si>
  <si>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</si>
  <si>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</si>
  <si>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</si>
  <si>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</si>
  <si>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</si>
  <si>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</si>
  <si>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</si>
  <si>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</si>
  <si>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</si>
  <si>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</si>
  <si>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</si>
  <si>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</si>
  <si>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</si>
  <si>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</si>
  <si>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</si>
  <si>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</si>
  <si>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</si>
  <si>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</si>
  <si>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</si>
  <si>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</si>
  <si>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</si>
  <si>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</si>
  <si>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</si>
  <si>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</si>
  <si>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</si>
  <si>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</si>
  <si>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</si>
  <si>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</si>
  <si>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</si>
  <si>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</si>
  <si>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</si>
  <si>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</si>
  <si>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</si>
  <si>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</si>
  <si>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</si>
  <si>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</si>
  <si>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</si>
  <si>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</si>
  <si>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</si>
  <si>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</si>
  <si>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</si>
  <si>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</si>
  <si>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</si>
  <si>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</si>
  <si>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</si>
  <si>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</si>
  <si>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</si>
  <si>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</si>
  <si>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</si>
  <si>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</si>
  <si>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</si>
  <si>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</si>
  <si>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</si>
  <si>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</si>
  <si>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</si>
  <si>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</si>
  <si>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</si>
  <si>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</si>
  <si>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</si>
  <si>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</si>
  <si>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</si>
  <si>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</si>
  <si>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</si>
  <si>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</si>
  <si>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</si>
  <si>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</si>
  <si>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</si>
  <si>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</si>
  <si>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</si>
  <si>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</si>
  <si>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</si>
  <si>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</si>
  <si>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</si>
  <si>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</si>
  <si>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</si>
  <si>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</si>
  <si>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</si>
  <si>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</si>
  <si>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</si>
  <si>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</si>
  <si>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</si>
  <si>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</si>
  <si>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</si>
  <si>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</si>
  <si>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</si>
  <si>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</si>
  <si>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</si>
  <si>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</si>
  <si>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</si>
  <si>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</si>
  <si>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</si>
  <si>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</si>
  <si>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</si>
  <si>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</si>
  <si>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</si>
  <si>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</si>
  <si>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</si>
  <si>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</si>
  <si>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</si>
  <si>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</si>
  <si>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</si>
  <si>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</si>
  <si>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</si>
  <si>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</si>
  <si>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</si>
  <si>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</si>
  <si>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</si>
  <si>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</si>
  <si>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</si>
  <si>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</si>
  <si>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</si>
  <si>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</si>
  <si>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</si>
  <si>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</si>
  <si>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</si>
  <si>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</si>
  <si>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</si>
  <si>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</si>
  <si>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</si>
  <si>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</si>
  <si>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</si>
  <si>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</si>
  <si>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</si>
  <si>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</si>
  <si>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</si>
  <si>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</si>
  <si>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</si>
  <si>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</si>
  <si>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</si>
  <si>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</si>
  <si>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</si>
  <si>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</si>
  <si>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</si>
  <si>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</si>
  <si>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</si>
  <si>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</si>
  <si>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</si>
  <si>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</si>
  <si>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</si>
  <si>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</si>
  <si>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</si>
  <si>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</si>
  <si>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</si>
  <si>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</si>
  <si>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</si>
  <si>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</si>
  <si>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</si>
  <si>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</si>
  <si>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</si>
  <si>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</si>
  <si>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</si>
  <si>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</si>
  <si>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</si>
  <si>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</si>
  <si>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</si>
  <si>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</si>
  <si>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</si>
  <si>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</si>
  <si>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</si>
  <si>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</si>
  <si>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</si>
  <si>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</si>
  <si>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</si>
  <si>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</si>
  <si>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</si>
  <si>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</si>
  <si>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</si>
  <si>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</si>
  <si>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</si>
  <si>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</si>
  <si>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</si>
  <si>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</si>
  <si>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</si>
  <si>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</si>
  <si>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</si>
  <si>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</si>
  <si>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</si>
  <si>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</si>
  <si>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</si>
  <si>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</si>
  <si>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</si>
  <si>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</si>
  <si>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</si>
  <si>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</si>
  <si>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</si>
  <si>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</si>
  <si>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</si>
  <si>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</si>
  <si>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</si>
  <si>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</si>
  <si>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</si>
  <si>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</si>
  <si>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</si>
  <si>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</si>
  <si>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</si>
  <si>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</si>
  <si>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</si>
  <si>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</si>
  <si>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</si>
  <si>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</si>
  <si>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</si>
  <si>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</si>
  <si>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</si>
  <si>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</si>
  <si>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</si>
  <si>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</si>
  <si>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</si>
  <si>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</si>
  <si>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</si>
  <si>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</si>
  <si>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</si>
  <si>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</si>
  <si>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</si>
  <si>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</si>
  <si>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</si>
  <si>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</si>
  <si>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</si>
  <si>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</si>
  <si>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</si>
  <si>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</si>
  <si>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</si>
  <si>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</si>
  <si>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</si>
  <si>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</si>
  <si>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</si>
  <si>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</si>
  <si>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</si>
  <si>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</si>
  <si>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</si>
  <si>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</si>
  <si>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</si>
  <si>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</si>
  <si>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</si>
  <si>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</si>
  <si>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</si>
  <si>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</si>
  <si>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</si>
  <si>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</si>
  <si>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</si>
  <si>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</si>
  <si>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</si>
  <si>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</si>
  <si>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</si>
  <si>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</si>
  <si>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</si>
  <si>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</si>
  <si>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</si>
  <si>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</si>
  <si>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</si>
  <si>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</si>
  <si>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</si>
  <si>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</si>
  <si>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</si>
  <si>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</si>
  <si>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</si>
  <si>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</si>
  <si>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</si>
  <si>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</si>
  <si>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</si>
  <si>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</si>
  <si>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</si>
  <si>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</si>
  <si>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</si>
  <si>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</si>
  <si>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</si>
  <si>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</si>
  <si>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</si>
  <si>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</si>
  <si>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</si>
  <si>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</si>
  <si>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</si>
  <si>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</si>
  <si>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</si>
  <si>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</si>
  <si>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</si>
  <si>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</si>
  <si>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</si>
  <si>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</si>
  <si>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</si>
  <si>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</si>
  <si>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</si>
  <si>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</si>
  <si>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</si>
  <si>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</si>
  <si>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</si>
  <si>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</si>
  <si>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</si>
  <si>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</si>
  <si>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</si>
  <si>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</si>
  <si>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</si>
  <si>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</si>
  <si>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</si>
  <si>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</si>
  <si>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</si>
  <si>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</si>
  <si>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</si>
  <si>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</si>
  <si>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</si>
  <si>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</si>
  <si>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</si>
  <si>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</si>
  <si>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</si>
  <si>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</si>
  <si>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</si>
  <si>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</si>
  <si>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</si>
  <si>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</si>
  <si>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</si>
  <si>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是</t>
  </si>
  <si>
    <t>商业</t>
    <phoneticPr fontId="7" type="noConversion"/>
  </si>
  <si>
    <t>利息：取LPR加浮动点数</t>
  </si>
  <si>
    <t>成新度</t>
  </si>
  <si>
    <t>收益法 (元)</t>
  </si>
  <si>
    <t>自然人</t>
  </si>
  <si>
    <t>押一</t>
  </si>
  <si>
    <t>北京市</t>
  </si>
  <si>
    <t>钢混</t>
  </si>
  <si>
    <t>非生产用房</t>
  </si>
  <si>
    <t>否</t>
  </si>
  <si>
    <t>单套模式</t>
  </si>
  <si>
    <t>售价</t>
  </si>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</sst>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4" fillId="16"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估价对象为北京市房地产，为所有。根据《国有土地使用证》[]，估价对象（分摊）出让国有建设用地使用权面积为0平方米，建筑面积为261.59平方米。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估价对象为北京市房地产,属开发建设的，该项目尚在开发建设中。根据《国有土地使用证》[]，估价对象（分摊）出让国有建设用地使用权面积为0平方米，规划建筑面积为261.59平方米。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2023年5月29日</v>
      </c>
    </row>
    <row r="13" spans="1:2" s="1203" customFormat="1">
      <c r="A13" s="1201" t="s">
        <v>529</v>
      </c>
      <c r="B13" s="1202" t="str">
        <f>'预评函-1'!A18</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1092</v>
      </c>
    </row>
    <row r="21" spans="1:2" s="1203" customFormat="1">
      <c r="A21" s="1201" t="s">
        <v>537</v>
      </c>
      <c r="B21" s="1202">
        <f ca="1">'预评函-2'!D7</f>
        <v>41729</v>
      </c>
    </row>
    <row r="22" spans="1:2" s="1203" customFormat="1">
      <c r="A22" s="1201" t="s">
        <v>538</v>
      </c>
      <c r="B22" s="1202" t="str">
        <f ca="1">'预评函-2'!D6</f>
        <v>壹仟零玖拾贰万元整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1092</v>
      </c>
    </row>
    <row r="31" spans="1:2" s="1203" customFormat="1">
      <c r="A31" s="1201" t="s">
        <v>576</v>
      </c>
      <c r="B31" s="1202">
        <f ca="1">'预评函-2'!D15</f>
        <v>41729</v>
      </c>
    </row>
    <row r="32" spans="1:2" s="1203" customFormat="1">
      <c r="A32" s="1201" t="s">
        <v>543</v>
      </c>
      <c r="B32" s="1202" t="str">
        <f ca="1">'预评函-2'!D14</f>
        <v>壹仟零玖拾贰万元整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261.58999999999997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45075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3.56</v>
      </c>
      <c r="D5" s="3025">
        <f>IF(ISERROR(ROUND(POWER(1+E5,A5-C5)*(POWER(1+E5,C5)-1)/(POWER(1+E5,A5)-1),3)),0,ROUND(POWER(1+E5,A5-C5)*(POWER(1+E5,C5)-1)/(POWER(1+E5,A5)-1),4))</f>
        <v>0.1646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0" sqref="B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3" t="s">
        <v>2177</v>
      </c>
      <c r="E8" s="2391"/>
      <c r="F8" s="2392"/>
      <c r="G8" s="2663"/>
      <c r="H8" s="2663"/>
      <c r="I8" s="2663"/>
      <c r="J8" s="2439"/>
      <c r="K8" s="2614"/>
      <c r="L8" s="2613"/>
      <c r="M8" s="2613"/>
      <c r="N8" s="2439"/>
      <c r="O8" s="2450"/>
      <c r="P8" s="2439"/>
      <c r="Q8" s="2439"/>
      <c r="R8" s="2439"/>
    </row>
    <row r="9" spans="1:30" ht="13.5" thickBot="1">
      <c r="A9" s="2393" t="s">
        <v>2178</v>
      </c>
      <c r="B9" s="2394"/>
      <c r="C9" s="2395"/>
      <c r="D9" s="3504"/>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52375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261.58999999999997</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261.58999999999997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261.58999999999997</v>
      </c>
      <c r="H5" s="13">
        <f t="shared" ref="H5:AT5" si="0">SUM(H13:H656)</f>
        <v>261.58999999999997</v>
      </c>
      <c r="I5" s="13">
        <f t="shared" si="0"/>
        <v>261.58999999999997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261.58999999999997</v>
      </c>
      <c r="BA5" s="15">
        <f t="shared" si="1"/>
        <v>261.58999999999997</v>
      </c>
      <c r="BB5" s="15">
        <f t="shared" si="1"/>
        <v>261.58999999999997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261.58999999999997</v>
      </c>
      <c r="H13" s="17">
        <f>SUMIF(I$12:AB$12,"总值",I13:AB13)</f>
        <v>261.58999999999997</v>
      </c>
      <c r="I13" s="1626">
        <v>261.58999999999997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261.58999999999997</v>
      </c>
      <c r="BA13" s="13">
        <f>SUM(BB13:BK13)</f>
        <v>261.58999999999997</v>
      </c>
      <c r="BB13" s="13">
        <f>IF($D13="是",I13-J13,0)</f>
        <v>261.58999999999997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261.58999999999997</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261.58999999999997</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261.58999999999997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261.58999999999997</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3380</v>
      </c>
      <c r="D19" s="45">
        <f>ROUND($D$3*E19/$E$3,2)</f>
        <v>0</v>
      </c>
      <c r="E19" s="53">
        <f t="shared" ref="E19:E26" si="1">SUM(F19:G19)</f>
        <v>261.58999999999997</v>
      </c>
      <c r="F19" s="2795">
        <f>'数据-基础表'!I13</f>
        <v>261.58999999999997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261.58999999999997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261.58999999999997</v>
      </c>
      <c r="F27" s="1140">
        <f>IF(SUM(F19:F26)=E8,SUM(F19:F26),"地上面积有误")</f>
        <v>261.58999999999997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261.58999999999997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261.58999999999997</v>
      </c>
      <c r="F31" s="677">
        <f>F27+F30</f>
        <v>261.58999999999997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52375</v>
      </c>
      <c r="F6" s="64">
        <f>SUMIF(项目基本情况!C$12:I$12,C6,项目基本情况!C$15:I$15)</f>
        <v>20</v>
      </c>
      <c r="G6" s="65">
        <f>IF(ISERROR(ROUND(POWER(1+H6,D6-F6)*(POWER(1+H6,F6)-1)/(POWER(1+H6,D6)-1),3)),0,ROUND(POWER(1+H6,D6-F6)*(POWER(1+H6,F6)-1)/(POWER(1+H6,D6)-1),3))</f>
        <v>0.72599999999999998</v>
      </c>
      <c r="H6" s="732">
        <v>0.05</v>
      </c>
      <c r="I6" s="732">
        <v>5.5E-2</v>
      </c>
      <c r="J6" s="66">
        <v>7.4999999999999997E-2</v>
      </c>
      <c r="K6" s="1030">
        <f>SUMIF('数据-汇总表'!C$19:C$33,A6,'数据-汇总表'!E$19:E$33)</f>
        <v>261.58999999999997</v>
      </c>
      <c r="L6" s="733">
        <v>4000</v>
      </c>
      <c r="M6" s="67">
        <f t="shared" ref="M6:M14" si="0">ROUND(K6*L6/10000,0)</f>
        <v>105</v>
      </c>
      <c r="N6" s="731">
        <f>ROUND((1-(2023-2005)/60+80%)/2,2)</f>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789">
        <v>4</v>
      </c>
      <c r="V6" s="70">
        <v>2.5000000000000001E-2</v>
      </c>
      <c r="W6" s="70">
        <v>0.1</v>
      </c>
      <c r="X6" s="1040"/>
      <c r="Y6" s="71">
        <f>N6</f>
        <v>0.75</v>
      </c>
      <c r="Z6" s="72"/>
      <c r="AA6" s="66"/>
      <c r="AB6" s="66"/>
      <c r="AC6" s="1040"/>
      <c r="AD6" s="73"/>
      <c r="AE6" s="1041">
        <f ca="1">IF(AN6="",0,SUMIF(INDIRECT("'"&amp;AN6&amp;"'"&amp;"!E:E"),$AE$5,INDIRECT("'"&amp;AN6&amp;"'"&amp;"!F:F")))</f>
        <v>20</v>
      </c>
      <c r="AF6" s="1348"/>
      <c r="AG6" s="138">
        <f>IF(AF6="",0,AE6-AF6)</f>
        <v>0</v>
      </c>
      <c r="AH6" s="74"/>
      <c r="AI6" s="76">
        <v>365</v>
      </c>
      <c r="AJ6" s="77"/>
      <c r="AK6" s="78">
        <v>5.0000000000000001E-3</v>
      </c>
      <c r="AL6" s="79">
        <v>1E-3</v>
      </c>
      <c r="AM6" s="80">
        <v>0.01</v>
      </c>
      <c r="AN6" s="1715" t="s">
        <v>3383</v>
      </c>
      <c r="AO6" s="52">
        <f ca="1">SUMIF(INDIRECT("'"&amp;AN6&amp;"'"&amp;"!A:A"),"总价",INDIRECT("'"&amp;AN6&amp;"'"&amp;"!B:B"))</f>
        <v>464.68329999999997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261.58999999999997</v>
      </c>
      <c r="L16" s="93">
        <f>ROUND(M16*10000/SUM(K6:K14),0)</f>
        <v>4014</v>
      </c>
      <c r="M16" s="93">
        <f>SUM(M6:M14)</f>
        <v>105</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8" sqref="G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261.58999999999997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1092</v>
      </c>
      <c r="C5" s="2512">
        <f ca="1">IF(B5=D14,结果表!H102,ROUND(B5*10000/$B$1,0))</f>
        <v>41729</v>
      </c>
      <c r="D5" s="2512" t="e">
        <f ca="1">ROUND(B5*10000/$B$2,0)</f>
        <v>#DIV/0!</v>
      </c>
      <c r="E5" s="2686"/>
      <c r="F5" s="2687"/>
      <c r="G5" s="2687"/>
      <c r="H5" s="2688"/>
      <c r="I5" s="2688"/>
      <c r="J5" s="2688"/>
      <c r="K5" s="2688"/>
    </row>
    <row r="6" spans="1:11" ht="16.5">
      <c r="A6" s="2512" t="s">
        <v>656</v>
      </c>
      <c r="B6" s="2512">
        <f ca="1">SUM(G14:G23)</f>
        <v>1092</v>
      </c>
      <c r="C6" s="2512">
        <f ca="1">IF(B6=G14,结果表!H108,ROUND(B6*10000/$B$1,0))</f>
        <v>41729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261.58999999999997</v>
      </c>
      <c r="C14" s="2518"/>
      <c r="D14" s="2518">
        <f ca="1">结果表!H118</f>
        <v>1092</v>
      </c>
      <c r="E14" s="2518">
        <f ca="1">ROUND(D14*10000/B14,0)</f>
        <v>41745</v>
      </c>
      <c r="F14" s="2518" t="e">
        <f ca="1">ROUND(D14*10000/C14,0)</f>
        <v>#DIV/0!</v>
      </c>
      <c r="G14" s="2518">
        <f ca="1">结果表!D122</f>
        <v>1092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5" zoomScaleNormal="100" zoomScaleSheetLayoutView="85" zoomScalePageLayoutView="80" workbookViewId="0">
      <selection activeCell="F28" sqref="F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3392</v>
      </c>
      <c r="D4" s="1756" t="s">
        <v>3383</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7</v>
      </c>
      <c r="D14" s="3576">
        <v>3</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3" t="s">
        <v>2131</v>
      </c>
      <c r="F18" s="3564"/>
      <c r="G18" s="3564"/>
      <c r="H18" s="3564"/>
      <c r="I18" s="3564"/>
      <c r="K18" s="302" t="s">
        <v>1289</v>
      </c>
      <c r="L18" s="302">
        <f>IF(C1="",'数据-汇总表'!E3,SUMIF(项目类型,C1,'数据-汇总表'!E17:E26)+SUMIF(项目类型,C1,'数据-汇总表'!I17:I26))</f>
        <v>261.58999999999997</v>
      </c>
      <c r="M18" s="302">
        <f>IF(C1="",'数据-汇总表'!E3,SUMIF(项目类型,C1,'数据-汇总表'!E17:E26))</f>
        <v>261.58999999999997</v>
      </c>
    </row>
    <row r="19" spans="1:36" ht="15">
      <c r="A19" s="1761" t="s">
        <v>1290</v>
      </c>
      <c r="B19" s="1762" t="s">
        <v>1291</v>
      </c>
      <c r="C19" s="134">
        <f ca="1">SUMIF(INDIRECT("'"&amp;C4&amp;"'"&amp;"!A:A"),结果表!B19,INDIRECT("'"&amp;C4&amp;"'"&amp;"!B:B"))</f>
        <v>1360.268</v>
      </c>
      <c r="D19" s="135">
        <f ca="1">SUMIF(INDIRECT("'"&amp;D4&amp;"'"&amp;"!A:A"),结果表!B19,INDIRECT("'"&amp;D4&amp;"'"&amp;"!B:B"))</f>
        <v>464.68329999999997</v>
      </c>
      <c r="E19" s="1761" t="s">
        <v>1292</v>
      </c>
      <c r="F19" s="1762" t="s">
        <v>1291</v>
      </c>
      <c r="G19" s="136">
        <f ca="1">ROUND(C19*$C$18+D19*$D$18,0)</f>
        <v>1092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52000</v>
      </c>
      <c r="D20" s="138">
        <f ca="1">SUMIF(INDIRECT("'"&amp;D4&amp;"'"&amp;"!A:A"),结果表!B20,INDIRECT("'"&amp;D4&amp;"'"&amp;"!B:B"))</f>
        <v>17764</v>
      </c>
      <c r="E20" s="1764"/>
      <c r="F20" s="1026" t="s">
        <v>1295</v>
      </c>
      <c r="G20" s="139">
        <f ca="1">ROUND(C20*$C$18+D20*$D$18,0)</f>
        <v>41729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1.9273012393602267</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41729</v>
      </c>
      <c r="D32" s="1775" t="s">
        <v>3393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1092</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45075</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1092</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58</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58</v>
      </c>
      <c r="E53" s="2334" t="s">
        <v>1354</v>
      </c>
      <c r="F53" s="2554">
        <f>'数据-取费表'!B41</f>
        <v>5.6000000000000001E-2</v>
      </c>
      <c r="G53" s="2555"/>
      <c r="H53" s="2544"/>
      <c r="I53" s="1807"/>
      <c r="J53" s="2523">
        <v>2</v>
      </c>
      <c r="K53" s="3604" t="s">
        <v>1357</v>
      </c>
      <c r="L53" s="3604"/>
      <c r="M53" s="2525">
        <f t="shared" ref="M53:O54" ca="1" si="0">D55</f>
        <v>1</v>
      </c>
      <c r="N53" s="2523" t="str">
        <f t="shared" si="0"/>
        <v>销售额×税（费）率</v>
      </c>
      <c r="O53" s="2526" t="str">
        <f t="shared" si="0"/>
        <v>免征</v>
      </c>
    </row>
    <row r="54" spans="1:35" ht="12" customHeight="1">
      <c r="A54" s="2335" t="s">
        <v>1358</v>
      </c>
      <c r="B54" s="3565" t="s">
        <v>2292</v>
      </c>
      <c r="C54" s="3566"/>
      <c r="D54" s="1087">
        <f ca="1">C68</f>
        <v>58</v>
      </c>
      <c r="E54" s="327" t="s">
        <v>1359</v>
      </c>
      <c r="F54" s="2554">
        <f>'数据-取费表'!B41</f>
        <v>5.6000000000000001E-2</v>
      </c>
      <c r="G54" s="2555"/>
      <c r="H54" s="2556"/>
      <c r="I54" s="1807"/>
      <c r="J54" s="2523">
        <v>3</v>
      </c>
      <c r="K54" s="3604" t="s">
        <v>1360</v>
      </c>
      <c r="L54" s="3604"/>
      <c r="M54" s="2525">
        <f t="shared" ca="1" si="0"/>
        <v>618</v>
      </c>
      <c r="N54" s="2523" t="str">
        <f t="shared" si="0"/>
        <v>增值额×税（费）率</v>
      </c>
      <c r="O54" s="2527" t="str">
        <f t="shared" si="0"/>
        <v>免征</v>
      </c>
    </row>
    <row r="55" spans="1:35" ht="24" customHeight="1">
      <c r="A55" s="3554" t="s">
        <v>1361</v>
      </c>
      <c r="B55" s="3555"/>
      <c r="C55" s="3555"/>
      <c r="D55" s="2324">
        <f ca="1">IF(H55="个人住宅",0,ROUND(D45*I55,0))</f>
        <v>1</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10</v>
      </c>
      <c r="N55" s="2040" t="str">
        <f>E59</f>
        <v>差额计税</v>
      </c>
      <c r="O55" s="2529">
        <f>F59</f>
        <v>0.01</v>
      </c>
    </row>
    <row r="56" spans="1:35" ht="24.75">
      <c r="A56" s="3554" t="s">
        <v>1363</v>
      </c>
      <c r="B56" s="3555"/>
      <c r="C56" s="3555"/>
      <c r="D56" s="2324">
        <f ca="1">IF(H56="个人住宅",D57,D58)</f>
        <v>618</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629</v>
      </c>
      <c r="O57" s="2533"/>
      <c r="P57" s="2690" t="e">
        <f ca="1">N57/M49</f>
        <v>#VALUE!</v>
      </c>
    </row>
    <row r="58" spans="1:35" ht="24.75">
      <c r="A58" s="2335" t="s">
        <v>1352</v>
      </c>
      <c r="B58" s="3565" t="s">
        <v>1369</v>
      </c>
      <c r="C58" s="3539"/>
      <c r="D58" s="2324">
        <f ca="1">IF(H58="转让取得",C81,C97)</f>
        <v>618</v>
      </c>
      <c r="E58" s="2334" t="s">
        <v>1364</v>
      </c>
      <c r="F58" s="302" t="s">
        <v>28</v>
      </c>
      <c r="G58" s="2555"/>
      <c r="H58" s="2558"/>
      <c r="I58" s="1808"/>
      <c r="J58" s="3604"/>
      <c r="K58" s="3604"/>
      <c r="L58" s="2530" t="s">
        <v>1370</v>
      </c>
      <c r="M58" s="2534"/>
      <c r="N58" s="2535" t="str">
        <f ca="1">NUMBERSTRING(INT(N57*10000),2)&amp;"元整"</f>
        <v>陆佰贰拾玖万元整</v>
      </c>
      <c r="O58" s="2536"/>
    </row>
    <row r="59" spans="1:35" ht="24.75" thickBot="1">
      <c r="A59" s="3607" t="s">
        <v>1371</v>
      </c>
      <c r="B59" s="3608"/>
      <c r="C59" s="3608"/>
      <c r="D59" s="2560">
        <f ca="1">IF(H59="非个人房产","——",IF(H59="个人住宅（满五唯一有凭证）",0,IF(H59="个人其他（无凭证）",ROUND(D45*F59,0),ROUND(C67*F59,0))))</f>
        <v>10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1040</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1092</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1040</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58</v>
      </c>
      <c r="D68" s="2570">
        <f>'数据-取费表'!B41</f>
        <v>5.6000000000000001E-2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1040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1034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172.33333333333334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618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1040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1034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172.33333333333334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618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比较法-商业</v>
      </c>
      <c r="D101" s="2586" t="str">
        <f>D4</f>
        <v>收益法 (元)</v>
      </c>
      <c r="E101" s="3626" t="s">
        <v>1431</v>
      </c>
      <c r="F101" s="3583"/>
      <c r="G101" s="1827" t="s">
        <v>1432</v>
      </c>
      <c r="H101" s="2595">
        <f ca="1">H118</f>
        <v>1092</v>
      </c>
      <c r="I101" s="129"/>
    </row>
    <row r="102" spans="1:35" ht="18.75" customHeight="1">
      <c r="A102" s="3585" t="s">
        <v>1433</v>
      </c>
      <c r="B102" s="2584" t="s">
        <v>1432</v>
      </c>
      <c r="C102" s="2585">
        <f ca="1">IF(D32="楼面单价",ROUND(C19,0),C19)</f>
        <v>1360</v>
      </c>
      <c r="D102" s="2586">
        <f ca="1">IF(D32="楼面单价",ROUND(D19,0),D19)</f>
        <v>465</v>
      </c>
      <c r="E102" s="3626"/>
      <c r="F102" s="3583"/>
      <c r="G102" s="1827" t="s">
        <v>1434</v>
      </c>
      <c r="H102" s="2555">
        <f ca="1">I118</f>
        <v>41729</v>
      </c>
      <c r="I102" s="129"/>
    </row>
    <row r="103" spans="1:35" ht="42.75" customHeight="1">
      <c r="A103" s="3585"/>
      <c r="B103" s="2584" t="s">
        <v>1434</v>
      </c>
      <c r="C103" s="2587">
        <f ca="1">C20</f>
        <v>52000</v>
      </c>
      <c r="D103" s="2588">
        <f ca="1">D20</f>
        <v>17764</v>
      </c>
      <c r="E103" s="3620" t="s">
        <v>1435</v>
      </c>
      <c r="F103" s="3621"/>
      <c r="G103" s="1828" t="s">
        <v>1436</v>
      </c>
      <c r="H103" s="2595">
        <f>IF(D36="正常操作",H104+H105+H106,H105+H106)</f>
        <v>0</v>
      </c>
      <c r="I103" s="129"/>
    </row>
    <row r="104" spans="1:35" ht="18.75" customHeight="1">
      <c r="A104" s="3585" t="s">
        <v>1437</v>
      </c>
      <c r="B104" s="2589" t="s">
        <v>1432</v>
      </c>
      <c r="C104" s="2590">
        <f ca="1">H118</f>
        <v>1092</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41729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1092</v>
      </c>
      <c r="I107" s="129"/>
    </row>
    <row r="108" spans="1:35" ht="18.75" customHeight="1">
      <c r="A108" s="129"/>
      <c r="B108" s="129"/>
      <c r="C108" s="129"/>
      <c r="D108" s="129"/>
      <c r="E108" s="3582"/>
      <c r="F108" s="3583"/>
      <c r="G108" s="1827" t="s">
        <v>1434</v>
      </c>
      <c r="H108" s="2555">
        <f ca="1">IF(H107=H101,H102,ROUND(H107*10000/'数据-汇总表'!E3,0))</f>
        <v>41729</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261.58999999999997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1092</v>
      </c>
      <c r="I118" s="2329">
        <f ca="1">ROUND(IF(D32="楼面单价",C32,H118*10000/B118),0)</f>
        <v>41729</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壹仟零玖拾贰万元整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1092</v>
      </c>
      <c r="E122" s="3618"/>
      <c r="F122" s="3618"/>
      <c r="G122" s="3618"/>
      <c r="H122" s="3618"/>
      <c r="I122" s="3619"/>
      <c r="AA122" s="725"/>
    </row>
    <row r="123" spans="1:27" ht="18.75" customHeight="1">
      <c r="A123" s="3553" t="s">
        <v>1452</v>
      </c>
      <c r="B123" s="3553"/>
      <c r="C123" s="3553"/>
      <c r="D123" s="3593" t="str">
        <f ca="1">NUMBERSTRING(INT(D122*10000),2)&amp;"元整"</f>
        <v>壹仟零玖拾贰万元整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4626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261.58999999999997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261.58999999999997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105</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261.58999999999997</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18</v>
      </c>
      <c r="D45" s="235">
        <f ca="1">C47</f>
        <v>3.0000000000000001E-3</v>
      </c>
      <c r="E45" s="236" t="s">
        <v>1539</v>
      </c>
      <c r="F45" s="246">
        <f ca="1">F27</f>
        <v>0.15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152</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114</v>
      </c>
      <c r="D51" s="232"/>
      <c r="E51" s="232"/>
      <c r="F51" s="264"/>
      <c r="G51" s="234" t="s">
        <v>1560</v>
      </c>
    </row>
    <row r="52" spans="1:7" s="208" customFormat="1" ht="16.5" thickBot="1">
      <c r="A52" s="265" t="s">
        <v>1561</v>
      </c>
      <c r="B52" s="266"/>
      <c r="C52" s="267">
        <f ca="1">C31+C51</f>
        <v>121</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 sqref="C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127.4298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4871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52318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52318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52318</v>
      </c>
      <c r="D10" s="845">
        <f ca="1">IF(B1="",'数据-汇总表'!E6,IF(INDIRECT("'数据-取费表'!c"&amp;$G$1)="住宅",INDIRECT("'数据-取费表'!s"&amp;$G$1),INDIRECT("'数据-取费表'!k"&amp;$G$1)+INDIRECT("'数据-取费表'!s"&amp;$G$1)))</f>
        <v>261.58999999999997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52318</v>
      </c>
      <c r="D19" s="849">
        <f ca="1">D9+D10</f>
        <v>261.58999999999997</v>
      </c>
      <c r="E19" s="211">
        <f>'数据-取费表'!B31</f>
        <v>200</v>
      </c>
      <c r="F19" s="231"/>
      <c r="G19" s="1856"/>
    </row>
    <row r="20" spans="1:7" s="214" customFormat="1" ht="13.5" customHeight="1">
      <c r="A20" s="255" t="s">
        <v>1574</v>
      </c>
      <c r="B20" s="210" t="s">
        <v>1575</v>
      </c>
      <c r="C20" s="232">
        <f ca="1">ROUND((C5+C19)*F20,0)</f>
        <v>2093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8951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4432</v>
      </c>
      <c r="D24" s="238"/>
      <c r="E24" s="238"/>
      <c r="F24" s="239"/>
      <c r="G24" s="240" t="s">
        <v>1586</v>
      </c>
    </row>
    <row r="25" spans="1:7" s="214" customFormat="1" ht="24">
      <c r="A25" s="780" t="s">
        <v>1476</v>
      </c>
      <c r="B25" s="215" t="s">
        <v>1587</v>
      </c>
      <c r="C25" s="1128">
        <f ca="1">ROUND(IF('数据-取费表'!B22&lt;=1,C20*F22*'数据-取费表'!B22/2,C20*(POWER((1+F22),'数据-取费表'!B22/2)-1)),0)</f>
        <v>87</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16009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16009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142690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1145764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1046360</v>
      </c>
      <c r="D34" s="217"/>
      <c r="E34" s="220"/>
      <c r="F34" s="257"/>
      <c r="G34" s="219"/>
    </row>
    <row r="35" spans="1:7" ht="13.5" customHeight="1">
      <c r="A35" s="780" t="s">
        <v>351</v>
      </c>
      <c r="B35" s="215" t="s">
        <v>1527</v>
      </c>
      <c r="C35" s="220">
        <f ca="1">ROUND(C34*F35,0)</f>
        <v>31391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52318</v>
      </c>
      <c r="D37" s="217">
        <f ca="1">D19</f>
        <v>261.58999999999997</v>
      </c>
      <c r="E37" s="249">
        <f>'数据-取费表'!B35</f>
        <v>200</v>
      </c>
      <c r="F37" s="259"/>
      <c r="G37" s="261"/>
    </row>
    <row r="38" spans="1:7" ht="13.5" customHeight="1">
      <c r="A38" s="780" t="s">
        <v>354</v>
      </c>
      <c r="B38" s="215" t="s">
        <v>1533</v>
      </c>
      <c r="C38" s="220">
        <f ca="1">ROUND(C34*F38,0)</f>
        <v>15695</v>
      </c>
      <c r="D38" s="220"/>
      <c r="E38" s="220"/>
      <c r="F38" s="259">
        <f>'数据-取费表'!B36</f>
        <v>1.4999999999999999E-2</v>
      </c>
      <c r="G38" s="219" t="s">
        <v>1528</v>
      </c>
    </row>
    <row r="39" spans="1:7" s="214" customFormat="1" ht="13.5" customHeight="1">
      <c r="A39" s="255" t="s">
        <v>1534</v>
      </c>
      <c r="B39" s="210" t="s">
        <v>1535</v>
      </c>
      <c r="C39" s="232">
        <f ca="1">ROUND(C33*F20,0)</f>
        <v>22915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48500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47549</v>
      </c>
      <c r="D42" s="238"/>
      <c r="E42" s="238"/>
      <c r="F42" s="239"/>
      <c r="G42" s="3633" t="s">
        <v>1591</v>
      </c>
    </row>
    <row r="43" spans="1:7" ht="13.5" customHeight="1">
      <c r="A43" s="780" t="s">
        <v>347</v>
      </c>
      <c r="B43" s="215" t="s">
        <v>1545</v>
      </c>
      <c r="C43" s="238">
        <f ca="1">ROUND(IF('数据-取费表'!B22&lt;=1,C39*F22*'数据-取费表'!B20/2,C39*(POWER((1+F22),'数据-取费表'!B20/2)-1)),0)</f>
        <v>951</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175302</v>
      </c>
      <c r="D45" s="235">
        <f ca="1">C47</f>
        <v>3.0000000000000001E-3</v>
      </c>
      <c r="E45" s="236" t="s">
        <v>1539</v>
      </c>
      <c r="F45" s="246">
        <f ca="1">F27</f>
        <v>0.15</v>
      </c>
      <c r="G45" s="247" t="s">
        <v>1548</v>
      </c>
    </row>
    <row r="46" spans="1:7" s="214" customFormat="1" ht="13.5" customHeight="1">
      <c r="A46" s="780" t="s">
        <v>346</v>
      </c>
      <c r="B46" s="248" t="s">
        <v>1549</v>
      </c>
      <c r="C46" s="249">
        <f ca="1">ROUND((C33+C39)*F27,0)</f>
        <v>175302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1508810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1131608</v>
      </c>
      <c r="D51" s="232"/>
      <c r="E51" s="232"/>
      <c r="F51" s="264"/>
      <c r="G51" s="234" t="s">
        <v>1560</v>
      </c>
    </row>
    <row r="52" spans="1:7" s="208" customFormat="1" ht="16.5" thickBot="1">
      <c r="A52" s="265" t="s">
        <v>1561</v>
      </c>
      <c r="B52" s="266"/>
      <c r="C52" s="267">
        <f ca="1">C31+C51</f>
        <v>1274298</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-6</v>
      </c>
      <c r="C2" s="276" t="s">
        <v>1595</v>
      </c>
      <c r="D2" s="276"/>
      <c r="E2" s="2806"/>
      <c r="F2" s="2806"/>
      <c r="G2" s="2806"/>
      <c r="H2" s="2806"/>
      <c r="I2" s="2806"/>
      <c r="J2" s="2806"/>
      <c r="K2" s="2806"/>
    </row>
    <row r="3" spans="1:33" ht="18" customHeight="1" thickBot="1">
      <c r="A3" s="203" t="s">
        <v>1464</v>
      </c>
      <c r="B3" s="204">
        <f ca="1">ROUND(B2*10000/IF(C1="",'数据-汇总表'!E3,INDIRECT("'数据-取费表'!K"&amp;$K$1)),0)</f>
        <v>-229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261.58999999999997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261.58999999999997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261.58999999999997</v>
      </c>
      <c r="E20" s="21">
        <f>'数据-取费表'!B28</f>
        <v>200</v>
      </c>
      <c r="F20" s="804"/>
      <c r="G20" s="12"/>
      <c r="H20" s="809"/>
      <c r="I20" s="809"/>
      <c r="J20" s="809"/>
      <c r="K20" s="810"/>
    </row>
    <row r="21" spans="1:33" s="803" customFormat="1" ht="13.5" customHeight="1">
      <c r="A21" s="790" t="s">
        <v>357</v>
      </c>
      <c r="B21" s="813" t="s">
        <v>1628</v>
      </c>
      <c r="C21" s="814">
        <f ca="1">C16+C17+C18</f>
        <v>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3390</v>
      </c>
      <c r="F1" s="1879" t="s">
        <v>3391</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1360.268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52000</v>
      </c>
      <c r="C3" s="354" t="s">
        <v>1768</v>
      </c>
      <c r="D3" s="353">
        <f>IF(D1="",'数据-汇总表'!E3,SUMIF('数据-汇总表'!$C19:$C33,D1,'数据-汇总表'!$E19:$E33))</f>
        <v>261.58999999999997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45075</v>
      </c>
      <c r="D7" s="365">
        <v>100</v>
      </c>
      <c r="E7" s="366">
        <f>C7</f>
        <v>45075</v>
      </c>
      <c r="F7" s="367">
        <f>SUMIF(58:58,YEAR(E7)&amp;"-"&amp;MONTH(E7),59:59)</f>
        <v>100</v>
      </c>
      <c r="G7" s="366">
        <f>C7</f>
        <v>45075</v>
      </c>
      <c r="H7" s="365">
        <f>SUMIF(58:58,YEAR(G7)&amp;"-"&amp;MONTH(G7),59:59)</f>
        <v>100</v>
      </c>
      <c r="I7" s="366">
        <f>C7</f>
        <v>45075</v>
      </c>
      <c r="J7" s="365">
        <f>SUMIF(58:58,YEAR(I7)&amp;"-"&amp;MONTH(I7),59:59)</f>
        <v>100</v>
      </c>
      <c r="K7" s="560"/>
      <c r="L7" s="2717"/>
      <c r="M7" s="2718"/>
      <c r="N7" s="2718"/>
      <c r="O7" s="2718"/>
      <c r="P7" s="370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70"/>
      <c r="Q33" s="707" t="str">
        <f t="shared" si="11"/>
        <v>项目建筑规模</v>
      </c>
      <c r="R33" s="708" t="s">
        <v>14</v>
      </c>
      <c r="S33" s="709">
        <f t="shared" si="12"/>
        <v>100</v>
      </c>
      <c r="T33" s="708" t="s">
        <v>14</v>
      </c>
      <c r="U33" s="709">
        <f t="shared" si="13"/>
        <v>100</v>
      </c>
      <c r="V33" s="708" t="s">
        <v>14</v>
      </c>
      <c r="W33" s="709">
        <f t="shared" si="14"/>
        <v>100</v>
      </c>
      <c r="X33" s="710"/>
      <c r="Y33" s="3672"/>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f>'数据-取费表'!N6</f>
        <v>0.75</v>
      </c>
      <c r="D36" s="386">
        <v>100</v>
      </c>
      <c r="E36" s="425">
        <f>C36</f>
        <v>0.75</v>
      </c>
      <c r="F36" s="412">
        <f>LOOKUP(E36,110:110,111:111)-LOOKUP(C36,110:110,111:111)+100</f>
        <v>100</v>
      </c>
      <c r="G36" s="425">
        <f>C36</f>
        <v>0.75</v>
      </c>
      <c r="H36" s="412">
        <f>LOOKUP(G36,110:110,111:111)-LOOKUP(C36,110:110,111:111)+100</f>
        <v>100</v>
      </c>
      <c r="I36" s="425">
        <f>C36</f>
        <v>0.75</v>
      </c>
      <c r="J36" s="386">
        <f>LOOKUP(I36,110:110,111:111)-LOOKUP(C36,110:110,111:111)+100</f>
        <v>100</v>
      </c>
      <c r="K36" s="561"/>
      <c r="L36" s="2722"/>
      <c r="M36" s="2716"/>
      <c r="N36" s="2716"/>
      <c r="O36" s="2716"/>
      <c r="P36" s="3670"/>
      <c r="Q36" s="1352" t="str">
        <f t="shared" si="11"/>
        <v>成新度</v>
      </c>
      <c r="R36" s="705" t="s">
        <v>14</v>
      </c>
      <c r="S36" s="706">
        <f t="shared" si="12"/>
        <v>100</v>
      </c>
      <c r="T36" s="705" t="s">
        <v>14</v>
      </c>
      <c r="U36" s="706">
        <f t="shared" si="13"/>
        <v>100</v>
      </c>
      <c r="V36" s="705" t="s">
        <v>14</v>
      </c>
      <c r="W36" s="706">
        <f t="shared" si="14"/>
        <v>100</v>
      </c>
      <c r="X36" s="1355"/>
      <c r="Y36" s="3672"/>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v>52000</v>
      </c>
      <c r="F47" s="1157"/>
      <c r="G47" s="1158">
        <f>E47</f>
        <v>52000</v>
      </c>
      <c r="H47" s="1159"/>
      <c r="I47" s="1156">
        <f>E47</f>
        <v>52000</v>
      </c>
      <c r="J47" s="1159"/>
      <c r="K47" s="714"/>
      <c r="L47" s="2724"/>
      <c r="M47" s="2725"/>
      <c r="N47" s="2716"/>
      <c r="O47" s="2725"/>
      <c r="P47" s="3665" t="str">
        <f>A47</f>
        <v>成交单价（元/平方米）</v>
      </c>
      <c r="Q47" s="3665"/>
      <c r="R47" s="3696">
        <f>E47</f>
        <v>52000</v>
      </c>
      <c r="S47" s="3696"/>
      <c r="T47" s="3696">
        <f>G47</f>
        <v>52000</v>
      </c>
      <c r="U47" s="3696"/>
      <c r="V47" s="3696">
        <f>I47</f>
        <v>52000</v>
      </c>
      <c r="W47" s="3696"/>
      <c r="X47" s="690"/>
      <c r="Y47" s="712"/>
      <c r="Z47" s="690"/>
      <c r="AA47" s="690"/>
      <c r="AB47" s="690"/>
      <c r="AC47" s="690"/>
    </row>
    <row r="48" spans="1:29" ht="15.75" thickBot="1">
      <c r="A48" s="437" t="s">
        <v>1793</v>
      </c>
      <c r="B48" s="438"/>
      <c r="C48" s="1160">
        <f>R49</f>
        <v>52000</v>
      </c>
      <c r="D48" s="2317" t="s">
        <v>2138</v>
      </c>
      <c r="E48" s="1161">
        <f>R48</f>
        <v>52000</v>
      </c>
      <c r="F48" s="2318"/>
      <c r="G48" s="1160">
        <f>T48</f>
        <v>52000</v>
      </c>
      <c r="H48" s="2318"/>
      <c r="I48" s="1161">
        <f>V48</f>
        <v>52000</v>
      </c>
      <c r="J48" s="2318"/>
      <c r="K48" s="2320">
        <f>F48+H48+J48</f>
        <v>0</v>
      </c>
      <c r="L48" s="2724"/>
      <c r="M48" s="2725"/>
      <c r="N48" s="2716"/>
      <c r="O48" s="2725"/>
      <c r="P48" s="3665" t="str">
        <f>A48</f>
        <v>比较价值（元/平方米）</v>
      </c>
      <c r="Q48" s="3665"/>
      <c r="R48" s="3666">
        <f>IF(F1="售价",ROUND(PRODUCT(R47,AA7:AA46),0),ROUND(PRODUCT(R47,AA7:AA46),1))</f>
        <v>52000</v>
      </c>
      <c r="S48" s="3666"/>
      <c r="T48" s="3666">
        <f>IF(F1="售价",ROUND(PRODUCT(T47,AB7:AB46),0),ROUND(PRODUCT(T47,AB7:AB46),1))</f>
        <v>52000</v>
      </c>
      <c r="U48" s="3666"/>
      <c r="V48" s="3666">
        <f>IF(F1="售价",ROUND(PRODUCT(V47,AC7:AC46),0),ROUND(PRODUCT(V47,AC7:AC46),1))</f>
        <v>52000</v>
      </c>
      <c r="W48" s="3666"/>
      <c r="X48" s="690"/>
      <c r="Y48" s="690"/>
      <c r="Z48" s="690"/>
      <c r="AA48" s="690"/>
      <c r="AB48" s="690"/>
      <c r="AC48" s="690"/>
    </row>
    <row r="49" spans="1:29" ht="15.75" thickBot="1">
      <c r="A49" s="441" t="s">
        <v>1794</v>
      </c>
      <c r="B49" s="442"/>
      <c r="C49" s="1163">
        <f>R49</f>
        <v>52000</v>
      </c>
      <c r="D49" s="1163"/>
      <c r="E49" s="1163"/>
      <c r="F49" s="1163"/>
      <c r="G49" s="1163"/>
      <c r="H49" s="1163"/>
      <c r="I49" s="1163"/>
      <c r="J49" s="1163"/>
      <c r="K49" s="715"/>
      <c r="L49" s="2724"/>
      <c r="M49" s="2725"/>
      <c r="N49" s="2716"/>
      <c r="O49" s="2725"/>
      <c r="P49" s="3662" t="str">
        <f>A49</f>
        <v>估价对象XX用房的比较价值（楼面单价，元/平方米）</v>
      </c>
      <c r="Q49" s="3663"/>
      <c r="R49" s="3664">
        <f>IF(F1="售价",ROUND(IF(D48="简单平均",AVERAGE(R48:V48),R48*F48+T48*H48+V48*J48),0),ROUND(IF(D48="简单平均",AVERAGE(R48:V48),R48*F48+T48*H48+V48*J48),1))</f>
        <v>52000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7" zoomScale="85" zoomScaleNormal="70" zoomScaleSheetLayoutView="85"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464.68329999999997</v>
      </c>
      <c r="C2" s="1387" t="s">
        <v>879</v>
      </c>
      <c r="D2" s="1471">
        <f ca="1">C40+J29+L46</f>
        <v>4646833</v>
      </c>
      <c r="E2" s="1388" t="s">
        <v>880</v>
      </c>
      <c r="F2" s="1389"/>
      <c r="G2" s="2706"/>
      <c r="H2" s="2695"/>
      <c r="I2" s="2695"/>
      <c r="J2" s="2695"/>
      <c r="K2" s="2696"/>
      <c r="L2" s="2695"/>
      <c r="M2" s="2695"/>
    </row>
    <row r="3" spans="1:37" ht="18" customHeight="1" thickBot="1">
      <c r="A3" s="1390" t="s">
        <v>881</v>
      </c>
      <c r="B3" s="1391">
        <f ca="1">IF(ISERROR(D2/F43),0,ROUND(D2/F43,0))</f>
        <v>17764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344159</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343729</v>
      </c>
      <c r="D6" s="155" t="s">
        <v>2106</v>
      </c>
      <c r="E6" s="302" t="s">
        <v>696</v>
      </c>
      <c r="F6" s="303">
        <f ca="1">INDIRECT("'数据-取费表'!u"&amp;$G$1)</f>
        <v>4</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261.58999999999997</v>
      </c>
      <c r="G7" s="1384"/>
      <c r="H7" s="304"/>
      <c r="I7" s="3639"/>
      <c r="J7" s="306"/>
      <c r="K7" s="307"/>
      <c r="L7" s="302" t="s">
        <v>697</v>
      </c>
      <c r="M7" s="303">
        <f ca="1">F7</f>
        <v>261.58999999999997</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430</v>
      </c>
      <c r="D10" s="1366" t="s">
        <v>2116</v>
      </c>
      <c r="E10" s="313" t="s">
        <v>701</v>
      </c>
      <c r="F10" s="1116" t="s">
        <v>3385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1131608</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1046360</v>
      </c>
      <c r="D14" s="1345" t="s">
        <v>708</v>
      </c>
      <c r="E14" s="1342"/>
      <c r="F14" s="319"/>
      <c r="G14" s="1384"/>
      <c r="H14" s="982" t="s">
        <v>398</v>
      </c>
      <c r="I14" s="302" t="s">
        <v>709</v>
      </c>
      <c r="J14" s="21">
        <f ca="1">C29</f>
        <v>1508810</v>
      </c>
      <c r="K14" s="12"/>
      <c r="L14" s="807"/>
      <c r="M14" s="808"/>
    </row>
    <row r="15" spans="1:37" s="1397" customFormat="1" ht="18" customHeight="1" thickBot="1">
      <c r="A15" s="982" t="s">
        <v>399</v>
      </c>
      <c r="B15" s="302" t="s">
        <v>710</v>
      </c>
      <c r="C15" s="21">
        <f ca="1">ROUND(C14*F15,0)</f>
        <v>31391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7544</v>
      </c>
      <c r="K16" s="1087" t="s">
        <v>715</v>
      </c>
      <c r="L16" s="1088"/>
      <c r="M16" s="1072"/>
    </row>
    <row r="17" spans="1:37" s="1397" customFormat="1" ht="18" customHeight="1">
      <c r="A17" s="982" t="s">
        <v>681</v>
      </c>
      <c r="B17" s="302" t="s">
        <v>716</v>
      </c>
      <c r="C17" s="21">
        <f ca="1">ROUND(F17*(F43+INDIRECT("'数据-取费表'!S"&amp;$G$1)),0)</f>
        <v>52318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15695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1145764</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22915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7544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48500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-7544</v>
      </c>
      <c r="K25" s="1095" t="s">
        <v>753</v>
      </c>
      <c r="L25" s="1096"/>
      <c r="M25" s="1097"/>
    </row>
    <row r="26" spans="1:37" ht="18" customHeight="1">
      <c r="A26" s="982" t="s">
        <v>397</v>
      </c>
      <c r="B26" s="302" t="s">
        <v>754</v>
      </c>
      <c r="C26" s="21">
        <f ca="1">ROUND((C19+C20)*F26,0)</f>
        <v>175302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1508810</v>
      </c>
      <c r="D29" s="1092"/>
      <c r="E29" s="1090"/>
      <c r="F29" s="1093"/>
      <c r="G29" s="1396"/>
      <c r="H29" s="334" t="s">
        <v>396</v>
      </c>
      <c r="I29" s="335" t="s">
        <v>768</v>
      </c>
      <c r="J29" s="336">
        <f ca="1">ROUND(J26/(1+F40)^F41,0)</f>
        <v>0</v>
      </c>
      <c r="K29" s="337" t="s">
        <v>769</v>
      </c>
      <c r="L29" s="338"/>
      <c r="M29" s="339">
        <f ca="1">INDIRECT("'数据-取费表'!k"&amp;$G$1)</f>
        <v>261.58999999999997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35033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22915</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7544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1132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3442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309126</v>
      </c>
      <c r="D39" s="1095" t="s">
        <v>773</v>
      </c>
      <c r="E39" s="1096"/>
      <c r="F39" s="1097"/>
      <c r="G39" s="1384"/>
      <c r="H39" s="2700"/>
      <c r="I39" s="1398"/>
      <c r="J39" s="1399"/>
      <c r="K39" s="2704"/>
      <c r="L39" s="2700"/>
      <c r="M39" s="2700"/>
    </row>
    <row r="40" spans="1:18" ht="18" customHeight="1">
      <c r="A40" s="299" t="s">
        <v>395</v>
      </c>
      <c r="B40" s="300" t="s">
        <v>774</v>
      </c>
      <c r="C40" s="301">
        <f ca="1">ROUND(C39*(1-((1+F42)/(1+F40))^F41)/(F40-F42),0)</f>
        <v>4517348</v>
      </c>
      <c r="D40" s="324" t="s">
        <v>758</v>
      </c>
      <c r="E40" s="302" t="s">
        <v>759</v>
      </c>
      <c r="F40" s="312">
        <f ca="1">INDIRECT("'数据-取费表'!I"&amp;$G$1)</f>
        <v>5.5E-2</v>
      </c>
      <c r="G40" s="1384"/>
      <c r="H40" s="1461">
        <f ca="1">C39/C5</f>
        <v>0.89820693342321423</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17269</v>
      </c>
      <c r="D43" s="337" t="s">
        <v>777</v>
      </c>
      <c r="E43" s="338" t="s">
        <v>778</v>
      </c>
      <c r="F43" s="339">
        <f ca="1">INDIRECT("'数据-取费表'!k"&amp;$G$1)</f>
        <v>261.58999999999997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-462.10300000000001</v>
      </c>
      <c r="D45" s="3432" t="s">
        <v>3358</v>
      </c>
      <c r="E45" s="1400"/>
      <c r="F45" s="1400"/>
      <c r="O45" s="1403" t="s">
        <v>808</v>
      </c>
      <c r="P45" s="1461"/>
      <c r="Q45" s="1461"/>
      <c r="R45" s="1461"/>
    </row>
    <row r="46" spans="1:18" s="1384" customFormat="1" ht="13.5" thickBot="1">
      <c r="A46" s="1404" t="s">
        <v>809</v>
      </c>
      <c r="C46" s="1405">
        <f ca="1">ROUND(C45,0)</f>
        <v>-462</v>
      </c>
      <c r="D46" s="1406" t="str">
        <f>C2</f>
        <v>万元</v>
      </c>
      <c r="I46" s="1407" t="s">
        <v>810</v>
      </c>
      <c r="J46" s="1408"/>
      <c r="K46" s="1409"/>
      <c r="L46" s="1410">
        <f ca="1">IF(M47="住宅",0,IF(L48&gt;J51,L60,J60))</f>
        <v>129485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40</v>
      </c>
      <c r="M47" s="1380" t="str">
        <f>IF(ISNUMBER(FIND("住宅",C1)),"住宅","非住宅")</f>
        <v>非住宅</v>
      </c>
      <c r="O47" s="1418" t="s">
        <v>403</v>
      </c>
      <c r="P47" s="1419" t="s">
        <v>817</v>
      </c>
      <c r="Q47" s="1420">
        <f ca="1">C40+J29</f>
        <v>4517348</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20</v>
      </c>
      <c r="O48" s="1418" t="s">
        <v>404</v>
      </c>
      <c r="P48" s="1419" t="s">
        <v>821</v>
      </c>
      <c r="Q48" s="1420">
        <f ca="1">J60</f>
        <v>129485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1508810</v>
      </c>
      <c r="R49" s="1420" t="s">
        <v>818</v>
      </c>
    </row>
    <row r="50" spans="1:18" s="1384" customFormat="1" ht="13.5" thickBot="1">
      <c r="A50" s="976"/>
      <c r="B50" s="979"/>
      <c r="C50" s="980"/>
      <c r="D50" s="953"/>
      <c r="E50" s="1056" t="s">
        <v>697</v>
      </c>
      <c r="F50" s="1057">
        <f ca="1">F7</f>
        <v>261.58999999999997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3907248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636" t="s">
        <v>837</v>
      </c>
      <c r="L53" s="3637"/>
      <c r="O53" s="1418" t="s">
        <v>409</v>
      </c>
      <c r="P53" s="1419" t="s">
        <v>838</v>
      </c>
      <c r="Q53" s="1420">
        <f ca="1">Q47+Q48</f>
        <v>4646833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1131608</v>
      </c>
      <c r="D56" s="1447"/>
      <c r="E56" s="1448"/>
      <c r="F56" s="1440"/>
      <c r="I56" s="1449" t="s">
        <v>842</v>
      </c>
      <c r="J56" s="1450" t="s">
        <v>3389</v>
      </c>
      <c r="K56" s="1421" t="s">
        <v>843</v>
      </c>
      <c r="L56" s="1424" t="str">
        <f ca="1">IF(L48&lt;J51,"——",L48-J51)</f>
        <v>——</v>
      </c>
      <c r="O56" s="1418" t="s">
        <v>403</v>
      </c>
      <c r="P56" s="1419" t="s">
        <v>817</v>
      </c>
      <c r="Q56" s="1420">
        <f ca="1">C40+J29</f>
        <v>4517348</v>
      </c>
      <c r="R56" s="1420" t="s">
        <v>818</v>
      </c>
    </row>
    <row r="57" spans="1:18" s="1384" customFormat="1" ht="24.75" thickBot="1">
      <c r="A57" s="1451"/>
      <c r="B57" s="950" t="s">
        <v>767</v>
      </c>
      <c r="C57" s="238">
        <f ca="1">C29</f>
        <v>1508810</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8676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603524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129485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4517348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7544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1132</v>
      </c>
      <c r="D65" s="964" t="s">
        <v>743</v>
      </c>
      <c r="E65" s="950" t="s">
        <v>744</v>
      </c>
      <c r="F65" s="330">
        <f t="shared" ca="1" si="0"/>
        <v>1E-3</v>
      </c>
      <c r="I65" s="1462" t="s">
        <v>867</v>
      </c>
      <c r="J65" s="1463">
        <v>40</v>
      </c>
      <c r="K65" s="1463">
        <v>30</v>
      </c>
      <c r="L65" s="1463">
        <v>50</v>
      </c>
      <c r="M65" s="1465">
        <v>0.02</v>
      </c>
      <c r="O65" s="1418" t="s">
        <v>403</v>
      </c>
      <c r="P65" s="1419" t="s">
        <v>868</v>
      </c>
      <c r="Q65" s="1420">
        <f ca="1">C40+J29</f>
        <v>4517348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-8676</v>
      </c>
      <c r="D67" s="963" t="s">
        <v>753</v>
      </c>
      <c r="E67" s="968"/>
      <c r="F67" s="969"/>
      <c r="O67" s="1428" t="s">
        <v>405</v>
      </c>
      <c r="P67" s="1419" t="s">
        <v>850</v>
      </c>
      <c r="Q67" s="1466">
        <f ca="1">L51</f>
        <v>3907248</v>
      </c>
      <c r="R67" s="1420" t="s">
        <v>870</v>
      </c>
    </row>
    <row r="68" spans="1:18" s="1384" customFormat="1" ht="16.5" thickBot="1">
      <c r="A68" s="947" t="s">
        <v>395</v>
      </c>
      <c r="B68" s="948" t="s">
        <v>774</v>
      </c>
      <c r="C68" s="301">
        <f ca="1">ROUND(C67*(1-((1+F70)/(1+F68))^F69)/(F68-F70),0)</f>
        <v>-103682</v>
      </c>
      <c r="D68" s="965" t="s">
        <v>758</v>
      </c>
      <c r="E68" s="950" t="s">
        <v>759</v>
      </c>
      <c r="F68" s="312">
        <f ca="1">F40</f>
        <v>5.5E-2</v>
      </c>
      <c r="O68" s="1428" t="s">
        <v>406</v>
      </c>
      <c r="P68" s="1467" t="s">
        <v>871</v>
      </c>
      <c r="Q68" s="1420">
        <f ca="1">ROUND(Q69-Q70*Q71,0)</f>
        <v>224255</v>
      </c>
      <c r="R68" s="1420" t="s">
        <v>414</v>
      </c>
    </row>
    <row r="69" spans="1:18" s="1384" customFormat="1" ht="13.5" thickBot="1">
      <c r="A69" s="951"/>
      <c r="B69" s="952"/>
      <c r="C69" s="306"/>
      <c r="D69" s="970" t="s">
        <v>762</v>
      </c>
      <c r="E69" s="950" t="s">
        <v>763</v>
      </c>
      <c r="F69" s="333">
        <f ca="1">F41</f>
        <v>20</v>
      </c>
      <c r="O69" s="1428" t="s">
        <v>411</v>
      </c>
      <c r="P69" s="1467" t="s">
        <v>872</v>
      </c>
      <c r="Q69" s="1420">
        <f ca="1">C39</f>
        <v>309126</v>
      </c>
      <c r="R69" s="1420" t="s">
        <v>818</v>
      </c>
    </row>
    <row r="70" spans="1:18" s="1384" customFormat="1" ht="13.5" thickBot="1">
      <c r="A70" s="954"/>
      <c r="B70" s="955"/>
      <c r="C70" s="310"/>
      <c r="D70" s="966"/>
      <c r="E70" s="950" t="s">
        <v>766</v>
      </c>
      <c r="F70" s="1054"/>
      <c r="O70" s="1428" t="s">
        <v>412</v>
      </c>
      <c r="P70" s="1467" t="s">
        <v>873</v>
      </c>
      <c r="Q70" s="1420">
        <f ca="1">C13</f>
        <v>1131608</v>
      </c>
      <c r="R70" s="1420" t="s">
        <v>818</v>
      </c>
    </row>
    <row r="71" spans="1:18" s="1384" customFormat="1" ht="13.5" thickBot="1">
      <c r="A71" s="971" t="s">
        <v>396</v>
      </c>
      <c r="B71" s="972" t="s">
        <v>776</v>
      </c>
      <c r="C71" s="336">
        <f ca="1">ROUND(C68/F71,0)</f>
        <v>-396</v>
      </c>
      <c r="D71" s="973" t="s">
        <v>777</v>
      </c>
      <c r="E71" s="974" t="s">
        <v>778</v>
      </c>
      <c r="F71" s="339">
        <f ca="1">F43</f>
        <v>261.58999999999997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84871</v>
      </c>
      <c r="D75" s="1384"/>
      <c r="E75" s="1384"/>
      <c r="F75" s="1384"/>
      <c r="K75" s="1402"/>
      <c r="L75" s="1384"/>
      <c r="O75" s="1418" t="s">
        <v>409</v>
      </c>
      <c r="P75" s="1419" t="s">
        <v>838</v>
      </c>
      <c r="Q75" s="1420">
        <f ca="1">Q65+Q66</f>
        <v>4517348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0.72499999999999998</v>
      </c>
    </row>
    <row r="80" spans="1:18">
      <c r="B80" s="340" t="s">
        <v>800</v>
      </c>
      <c r="C80" s="274">
        <f ca="1">ROUND(C75/C39,3)</f>
        <v>0.27500000000000002</v>
      </c>
    </row>
    <row r="81" spans="2:3">
      <c r="B81" s="270" t="s">
        <v>801</v>
      </c>
      <c r="C81" s="238"/>
    </row>
    <row r="82" spans="2:3">
      <c r="B82" s="273" t="s">
        <v>802</v>
      </c>
      <c r="C82" s="275">
        <f ca="1">1-C83</f>
        <v>0.749</v>
      </c>
    </row>
    <row r="83" spans="2:3">
      <c r="B83" s="273" t="s">
        <v>803</v>
      </c>
      <c r="C83" s="274">
        <f ca="1">ROUND(C13/C40,3)</f>
        <v>0.251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464.68329999999997</v>
      </c>
      <c r="C2" s="1872" t="s">
        <v>1651</v>
      </c>
      <c r="D2" s="1873" t="s">
        <v>1652</v>
      </c>
      <c r="E2" s="2607">
        <f>SUM(E6:E13)</f>
        <v>261.58999999999997</v>
      </c>
      <c r="F2" s="2707"/>
      <c r="G2" s="1489"/>
      <c r="H2" s="1489"/>
      <c r="I2" s="1489"/>
      <c r="J2" s="1489"/>
      <c r="K2" s="1489"/>
      <c r="L2" s="1489"/>
      <c r="M2" s="1489"/>
      <c r="N2" s="1489"/>
      <c r="O2" s="1489"/>
      <c r="P2" s="1489"/>
      <c r="Q2" s="1489"/>
      <c r="R2" s="1489"/>
      <c r="S2" s="1489"/>
    </row>
    <row r="3" spans="1:22" ht="15.75">
      <c r="A3" s="1870" t="s">
        <v>686</v>
      </c>
      <c r="B3" s="2601">
        <f ca="1">ROUND(B2*10000/E2,0)</f>
        <v>17764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464.68329999999997</v>
      </c>
      <c r="C6" s="1872" t="s">
        <v>1651</v>
      </c>
      <c r="D6" s="2709"/>
      <c r="E6" s="2606">
        <f>IF(OR(A6=0,F6="否"),0,'数据-取费表'!K6+'数据-取费表'!S6)</f>
        <v>261.58999999999997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261.58999999999997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261.58999999999997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45075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261.58999999999997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45075</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估价对象为北京市房地产，为所有。根据《国有土地使用证》[]，估价对象（分摊）出让国有建设用地使用权面积为0平方米，建筑面积为261.59平方米。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估价对象为北京市房地产,属开发建设的，该项目尚在开发建设中。根据《国有土地使用证》[]，估价对象（分摊）出让国有建设用地使用权面积为0平方米，规划建筑面积为261.59平方米。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45075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665"/>
      <c r="Q10" s="1343" t="str">
        <f t="shared" si="6"/>
        <v>土地使用年限（年）</v>
      </c>
      <c r="R10" s="701" t="s">
        <v>14</v>
      </c>
      <c r="S10" s="702">
        <f t="shared" si="0"/>
        <v>138</v>
      </c>
      <c r="T10" s="701" t="s">
        <v>14</v>
      </c>
      <c r="U10" s="702">
        <f t="shared" si="1"/>
        <v>138</v>
      </c>
      <c r="V10" s="701" t="s">
        <v>14</v>
      </c>
      <c r="W10" s="702">
        <f t="shared" si="2"/>
        <v>138</v>
      </c>
      <c r="X10" s="703"/>
      <c r="Y10" s="3540"/>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261.58999999999997</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261.58999999999997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665"/>
      <c r="Q10" s="1343" t="str">
        <f t="shared" si="6"/>
        <v>土地使用年限（年）</v>
      </c>
      <c r="R10" s="701" t="s">
        <v>14</v>
      </c>
      <c r="S10" s="702">
        <f t="shared" si="0"/>
        <v>138</v>
      </c>
      <c r="T10" s="701" t="s">
        <v>14</v>
      </c>
      <c r="U10" s="702">
        <f t="shared" si="1"/>
        <v>138</v>
      </c>
      <c r="V10" s="701" t="s">
        <v>14</v>
      </c>
      <c r="W10" s="702">
        <f t="shared" si="2"/>
        <v>138</v>
      </c>
      <c r="X10" s="703"/>
      <c r="Y10" s="3540"/>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261.58999999999997</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t="e">
        <f>ROUND(G18/I18,2)</f>
        <v>#DIV/0!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45075</v>
      </c>
      <c r="H23" s="3343" t="s">
        <v>3261</v>
      </c>
      <c r="I23" s="3344" t="str">
        <f>IF(H23="季度增幅（自定义）",SUMIF(N25:N28,E2,O25:O28),"")</f>
        <v/>
      </c>
      <c r="J23" s="3446" t="s">
        <v>3260</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v>
      </c>
      <c r="E116" s="2000" t="s">
        <v>3319</v>
      </c>
      <c r="F116" s="3402">
        <f>E2</f>
        <v>0</v>
      </c>
      <c r="G116" s="2000" t="s">
        <v>3320</v>
      </c>
      <c r="H116" s="3402">
        <f>G2</f>
        <v>0</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3334</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3335</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28226</v>
      </c>
      <c r="C2" s="2" t="s">
        <v>106</v>
      </c>
      <c r="D2" s="199"/>
      <c r="E2" s="199"/>
      <c r="F2" s="199"/>
      <c r="G2" s="199"/>
    </row>
    <row r="3" spans="1:7" s="200" customFormat="1" ht="18" customHeight="1" thickBot="1">
      <c r="A3" s="203" t="s">
        <v>58</v>
      </c>
      <c r="B3" s="204">
        <f ca="1">ROUND(B2*10000/'数据-汇总表'!E3,0)</f>
        <v>1079017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261.58999999999997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261.58999999999997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105</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261.58999999999997</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18</v>
      </c>
      <c r="D45" s="235">
        <f>C47</f>
        <v>3.0000000000000001E-3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152</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114</v>
      </c>
      <c r="D51" s="232"/>
      <c r="E51" s="232"/>
      <c r="F51" s="264"/>
      <c r="G51" s="234" t="s">
        <v>37</v>
      </c>
    </row>
    <row r="52" spans="1:7" s="208" customFormat="1" ht="16.5" thickBot="1">
      <c r="A52" s="265" t="s">
        <v>38</v>
      </c>
      <c r="B52" s="266"/>
      <c r="C52" s="267">
        <f ca="1">C31+C51</f>
        <v>28226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1092</v>
      </c>
      <c r="E5" s="1491"/>
    </row>
    <row r="6" spans="1:5" ht="15.75">
      <c r="A6" s="1491"/>
      <c r="B6" s="3452"/>
      <c r="C6" s="1494" t="s">
        <v>911</v>
      </c>
      <c r="D6" s="850" t="str">
        <f ca="1">NUMBERSTRING(INT(D5*10000),2)&amp;"元整"</f>
        <v>壹仟零玖拾贰万元整</v>
      </c>
      <c r="E6" s="1491"/>
    </row>
    <row r="7" spans="1:5" ht="15.75">
      <c r="A7" s="1491"/>
      <c r="B7" s="3457"/>
      <c r="C7" s="1495" t="s">
        <v>912</v>
      </c>
      <c r="D7" s="851">
        <f ca="1">结果表!H102</f>
        <v>41729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1092</v>
      </c>
      <c r="E13" s="1491"/>
    </row>
    <row r="14" spans="1:5" ht="15.75">
      <c r="A14" s="1491"/>
      <c r="B14" s="3452"/>
      <c r="C14" s="1494" t="s">
        <v>911</v>
      </c>
      <c r="D14" s="850" t="str">
        <f ca="1">NUMBERSTRING(INT(D13*10000),2)&amp;"元整"</f>
        <v>壹仟零玖拾贰万元整</v>
      </c>
      <c r="E14" s="1491"/>
    </row>
    <row r="15" spans="1:5" ht="15">
      <c r="A15" s="1491"/>
      <c r="B15" s="3457"/>
      <c r="C15" s="1495" t="s">
        <v>921</v>
      </c>
      <c r="D15" s="859">
        <f ca="1">结果表!H108</f>
        <v>41729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45075</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261.58999999999997</v>
      </c>
      <c r="C4" s="854">
        <f>项目基本情况!C18</f>
        <v>0</v>
      </c>
      <c r="D4" s="854" t="e">
        <f ca="1">结果表!D118</f>
        <v>#REF!</v>
      </c>
      <c r="E4" s="854" t="e">
        <f ca="1">结果表!E118</f>
        <v>#REF!</v>
      </c>
      <c r="F4" s="854" t="e">
        <f ca="1">结果表!F118</f>
        <v>#REF!</v>
      </c>
      <c r="G4" s="854" t="e">
        <f ca="1">结果表!G118</f>
        <v>#REF!</v>
      </c>
      <c r="H4" s="854">
        <f ca="1">结果表!H118</f>
        <v>1092</v>
      </c>
      <c r="I4" s="854">
        <f ca="1">结果表!I118</f>
        <v>41729</v>
      </c>
    </row>
    <row r="5" spans="1:9" ht="30" customHeight="1">
      <c r="A5" s="3464" t="s">
        <v>927</v>
      </c>
      <c r="B5" s="3464"/>
      <c r="C5" s="3464"/>
      <c r="D5" s="3464" t="e">
        <f ca="1">结果表!D119</f>
        <v>#REF!</v>
      </c>
      <c r="E5" s="3464"/>
      <c r="F5" s="3464" t="e">
        <f ca="1">结果表!F119</f>
        <v>#REF!</v>
      </c>
      <c r="G5" s="3464"/>
      <c r="H5" s="3464" t="str">
        <f ca="1">结果表!H119</f>
        <v>壹仟零玖拾贰万元整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1092</v>
      </c>
      <c r="E8" s="3463"/>
      <c r="F8" s="3463"/>
      <c r="G8" s="3463"/>
      <c r="H8" s="3463"/>
      <c r="I8" s="3463"/>
    </row>
    <row r="9" spans="1:9" ht="15">
      <c r="A9" s="3464" t="s">
        <v>927</v>
      </c>
      <c r="B9" s="3464"/>
      <c r="C9" s="3464"/>
      <c r="D9" s="3464" t="str">
        <f ca="1">结果表!D123</f>
        <v>壹仟零玖拾贰万元整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0" t="str">
        <f>IF(项目基本情况!B8="抵押","3.抵押双方在办理抵押登记手续时，应使用本公司出具的正式《房地产评估报告》，特提醒报告使用者注意。","——")</f>
        <v>——</v>
      </c>
      <c r="B13" s="3475"/>
      <c r="C13" s="3475"/>
      <c r="D13" s="3475"/>
    </row>
    <row r="14" spans="1:4" ht="15.75" customHeight="1">
      <c r="A14" s="3470" t="str">
        <f>IF(项目基本情况!B8="抵押","4.本次评估估价师所知悉的法定优先受偿款情况说明如下：","——")</f>
        <v>——</v>
      </c>
      <c r="B14" s="3475"/>
      <c r="C14" s="3475"/>
      <c r="D14" s="3475"/>
    </row>
    <row r="15" spans="1:4" ht="42" customHeight="1">
      <c r="A15" s="3470" t="str">
        <f>IF(项目基本情况!B8="抵押","（1）"&amp;CONCATENATE(项目基本情况!L20,项目基本情况!L21,项目基本情况!L22),"——")</f>
        <v>——</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2023-05-29T09:25:56Z</dcterms:modified>
</cp:coreProperties>
</file>