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6526437D-F866-4CF0-848C-761A9E1CFB33}" xr6:coauthVersionLast="47" xr6:coauthVersionMax="47" xr10:uidLastSave="{00000000-0000-0000-0000-000000000000}"/>
  <bookViews>
    <workbookView xWindow="-120" yWindow="-120" windowWidth="21840" windowHeight="13140" tabRatio="917"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指标" sheetId="84"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租赁台账" sheetId="86"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Sheet1" sheetId="85" r:id="rId36"/>
    <sheet name="土地比较法-住宅、综合" sheetId="39"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收入台账-2025" sheetId="87" r:id="rId51"/>
    <sheet name="收入台账-2024" sheetId="88" r:id="rId52"/>
    <sheet name="收入台账-2023" sheetId="89" r:id="rId53"/>
    <sheet name="收入台账-2022" sheetId="90" r:id="rId54"/>
    <sheet name="收入台账-2021" sheetId="91" r:id="rId55"/>
    <sheet name="资产负债表" sheetId="92" r:id="rId56"/>
    <sheet name="利润表" sheetId="93" r:id="rId57"/>
    <sheet name="现金流量表" sheetId="94" r:id="rId58"/>
    <sheet name="区片价" sheetId="44" state="hidden" r:id="rId59"/>
    <sheet name="存贷款利率" sheetId="73" state="hidden" r:id="rId60"/>
  </sheets>
  <externalReferences>
    <externalReference r:id="rId61"/>
    <externalReference r:id="rId6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2" hidden="1">成本逼近法!$A$2:$G$33</definedName>
    <definedName name="_xlnm._FilterDatabase" localSheetId="54" hidden="1">'收入台账-2021'!$C$2:$F$28</definedName>
    <definedName name="_xlnm._FilterDatabase" localSheetId="53" hidden="1">'收入台账-2022'!$C$2:$F$28</definedName>
    <definedName name="_xlnm._FilterDatabase" localSheetId="52" hidden="1">'收入台账-2023'!$C$2:$F$28</definedName>
    <definedName name="_xlnm._FilterDatabase" localSheetId="51" hidden="1">'收入台账-2024'!$C$2:$F$28</definedName>
    <definedName name="_xlnm._FilterDatabase" localSheetId="50" hidden="1">'收入台账-2025'!$C$2:$F$28</definedName>
    <definedName name="_xlnm._FilterDatabase" localSheetId="13"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2" hidden="1">项目基本情况!$A$42:$N$42</definedName>
    <definedName name="_xlnm._FilterDatabase" localSheetId="19" hidden="1">租赁台账!$A$2:$F$2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8">结果表!$A$1:$I$127</definedName>
    <definedName name="_xlnm.Print_Area" localSheetId="41">'剩余法（现房）'!$A$1:$K$34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'数据-取费表'!$A$54:$A$64</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[1]定义!$G$1:$G$6</definedName>
    <definedName name="法定最高年限">定义!$G$1:$G$6</definedName>
    <definedName name="工业">定义!$AB$2:$AB$12</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修正!$C$73:$C$140</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'土地比较法-工业'!$B$99:$M$99</definedName>
    <definedName name="套工地质条件" localSheetId="11">'[1]土地比较法-工业'!$B$114:$M$114</definedName>
    <definedName name="套工地质条件">'土地比较法-工业'!$B$116:$M$116</definedName>
    <definedName name="套工交易情况" localSheetId="11">'[1]土地比较法-住宅、综合'!$A$72:$M$72</definedName>
    <definedName name="套工交易情况">'土地比较法-住宅、综合'!$A$74:$M$74</definedName>
    <definedName name="套工土地级别" localSheetId="11">'[1]土地比较法-工业'!$B$99:$M$99</definedName>
    <definedName name="套工土地级别">'土地比较法-工业'!$B$101:$M$101</definedName>
    <definedName name="套工用途" localSheetId="11">'[1]土地比较法-工业'!$B$70:$M$70</definedName>
    <definedName name="套工用途">'土地比较法-工业'!$B$72:$M$72</definedName>
    <definedName name="套工宗地开发程度" localSheetId="11">'[1]土地比较法-工业'!$B$112:$M$112</definedName>
    <definedName name="套工宗地开发程度">'土地比较法-工业'!$B$114:$M$114</definedName>
    <definedName name="套工宗地形状" localSheetId="11">'[1]土地比较法-工业'!$B$110:$M$110</definedName>
    <definedName name="套工宗地形状">'土地比较法-工业'!$B$112:$M$112</definedName>
    <definedName name="套综道路等级" localSheetId="11">'[1]土地比较法-住宅、综合'!$B$105:$M$105</definedName>
    <definedName name="套综道路等级">'土地比较法-住宅、综合'!$B$107:$M$107</definedName>
    <definedName name="套综工程地质条件" localSheetId="11">'[1]土地比较法-住宅、综合'!$B$124:$M$124</definedName>
    <definedName name="套综工程地质条件">'土地比较法-住宅、综合'!$B$126:$M$126</definedName>
    <definedName name="套综交易情况" localSheetId="11">'[1]土地比较法-住宅、综合'!$A$72:$M$72</definedName>
    <definedName name="套综交易情况">'土地比较法-住宅、综合'!$A$74:$M$74</definedName>
    <definedName name="套综临街宽度及深度" localSheetId="11">'[1]土地比较法-住宅、综合'!$B$120:$M$120</definedName>
    <definedName name="套综临街宽度及深度">'土地比较法-住宅、综合'!$B$122:$M$122</definedName>
    <definedName name="套综土地级别" localSheetId="11">'[1]土地比较法-住宅、综合'!$B$107:$M$107</definedName>
    <definedName name="套综土地级别">'土地比较法-住宅、综合'!$B$109:$M$109</definedName>
    <definedName name="套综用途" localSheetId="11">'[1]土地比较法-住宅、综合'!$B$74:$M$74</definedName>
    <definedName name="套综用途">'土地比较法-住宅、综合'!$B$76:$M$76</definedName>
    <definedName name="套综宗地内开发程度" localSheetId="11">'[1]土地比较法-住宅、综合'!$B$122:$M$122</definedName>
    <definedName name="套综宗地内开发程度">'土地比较法-住宅、综合'!$B$124:$M$124</definedName>
    <definedName name="套综宗地形状" localSheetId="11">'[1]土地比较法-住宅、综合'!$B$118:$M$118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H6" i="1" l="1"/>
  <c r="K19" i="86"/>
  <c r="I48" i="39" l="1"/>
  <c r="G48" i="39"/>
  <c r="E48" i="39"/>
  <c r="I40" i="39"/>
  <c r="G40" i="39"/>
  <c r="E40" i="39"/>
  <c r="I13" i="39"/>
  <c r="E13" i="39"/>
  <c r="I9" i="39"/>
  <c r="G9" i="39"/>
  <c r="E9" i="39"/>
  <c r="I7" i="39"/>
  <c r="G7" i="39"/>
  <c r="E7" i="39"/>
  <c r="L13" i="78"/>
  <c r="I8" i="39"/>
  <c r="G8" i="39"/>
  <c r="E8" i="39"/>
  <c r="C14" i="74"/>
  <c r="B14" i="74"/>
  <c r="L6" i="1"/>
  <c r="N19" i="86" l="1"/>
  <c r="I27" i="86"/>
  <c r="I26" i="86"/>
  <c r="I25" i="86"/>
  <c r="I24" i="86"/>
  <c r="I23" i="86"/>
  <c r="I22" i="86"/>
  <c r="J22" i="86"/>
  <c r="K22" i="86"/>
  <c r="H23" i="86"/>
  <c r="H24" i="86"/>
  <c r="H25" i="86"/>
  <c r="H26" i="86"/>
  <c r="E60" i="39"/>
  <c r="E59" i="39"/>
  <c r="K13" i="86" l="1"/>
  <c r="K14" i="86"/>
  <c r="K15" i="86"/>
  <c r="K16" i="86"/>
  <c r="K17" i="86"/>
  <c r="K18" i="86"/>
  <c r="K12" i="86"/>
  <c r="J13" i="86"/>
  <c r="J14" i="86"/>
  <c r="J15" i="86"/>
  <c r="J16" i="86"/>
  <c r="J17" i="86"/>
  <c r="J18" i="86"/>
  <c r="J12" i="86"/>
  <c r="M19" i="86" l="1"/>
  <c r="L18" i="86"/>
  <c r="N18" i="86" s="1"/>
  <c r="L17" i="86"/>
  <c r="N17" i="86" s="1"/>
  <c r="L12" i="86"/>
  <c r="L13" i="86"/>
  <c r="L14" i="86"/>
  <c r="L15" i="86"/>
  <c r="L16" i="86"/>
  <c r="L11" i="86"/>
  <c r="N12" i="86"/>
  <c r="N13" i="86"/>
  <c r="N14" i="86"/>
  <c r="N15" i="86"/>
  <c r="N16" i="86"/>
  <c r="N11" i="86"/>
  <c r="M12" i="86"/>
  <c r="M13" i="86"/>
  <c r="M14" i="86"/>
  <c r="M15" i="86"/>
  <c r="M16" i="86"/>
  <c r="M17" i="86"/>
  <c r="M11" i="86"/>
  <c r="M18" i="86" l="1"/>
  <c r="M20" i="86" s="1"/>
  <c r="L20" i="86"/>
  <c r="N20" i="86"/>
  <c r="J20" i="86" s="1"/>
  <c r="E7" i="93"/>
  <c r="E5" i="93"/>
  <c r="I3" i="87"/>
  <c r="J4" i="86"/>
  <c r="K4" i="86" s="1"/>
  <c r="J5" i="86"/>
  <c r="K5" i="86" s="1"/>
  <c r="L5" i="86"/>
  <c r="M5" i="86"/>
  <c r="N5" i="86"/>
  <c r="J6" i="86"/>
  <c r="L6" i="86"/>
  <c r="M6" i="86"/>
  <c r="N6" i="86"/>
  <c r="J7" i="86"/>
  <c r="L7" i="86" s="1"/>
  <c r="J8" i="86"/>
  <c r="L8" i="86" s="1"/>
  <c r="H3" i="91"/>
  <c r="H3" i="90"/>
  <c r="H3" i="89"/>
  <c r="H3" i="88"/>
  <c r="K20" i="86" l="1"/>
  <c r="U6" i="1" s="1"/>
  <c r="M21" i="86"/>
  <c r="N8" i="86"/>
  <c r="N7" i="86"/>
  <c r="K6" i="86"/>
  <c r="M8" i="86"/>
  <c r="M7" i="86"/>
  <c r="L4" i="86"/>
  <c r="K7" i="86"/>
  <c r="N4" i="86"/>
  <c r="M4" i="86"/>
  <c r="C40" i="39"/>
  <c r="C13" i="39"/>
  <c r="D72" i="39"/>
  <c r="E72" i="39" l="1"/>
  <c r="F72" i="39" s="1"/>
  <c r="G72" i="39" s="1"/>
  <c r="G44" i="43"/>
  <c r="G51" i="43"/>
  <c r="G52" i="43"/>
  <c r="G53" i="43"/>
  <c r="G54" i="43"/>
  <c r="G55" i="43"/>
  <c r="G56" i="43"/>
  <c r="G57" i="43"/>
  <c r="G58" i="43"/>
  <c r="G50" i="43"/>
  <c r="D42" i="43"/>
  <c r="D38" i="43"/>
  <c r="D37" i="43"/>
  <c r="D33" i="43"/>
  <c r="I7" i="6"/>
  <c r="H72" i="39" l="1"/>
  <c r="I72" i="39" s="1"/>
  <c r="J72" i="39" s="1"/>
  <c r="K72" i="39" s="1"/>
  <c r="L72" i="39" s="1"/>
  <c r="M72" i="39" s="1"/>
  <c r="N72" i="39" s="1"/>
  <c r="O72" i="39" s="1"/>
  <c r="B60" i="78"/>
  <c r="K3" i="84"/>
  <c r="Y6" i="1" l="1"/>
  <c r="N6" i="1"/>
  <c r="F19" i="6"/>
  <c r="M13" i="3"/>
  <c r="G19" i="6" s="1"/>
  <c r="K13" i="3"/>
  <c r="I13" i="3"/>
  <c r="C338" i="84"/>
  <c r="C37" i="84"/>
  <c r="F34" i="84"/>
  <c r="M33" i="84"/>
  <c r="M32" i="84"/>
  <c r="L32" i="84"/>
  <c r="M31" i="84"/>
  <c r="L31" i="84"/>
  <c r="F31" i="84"/>
  <c r="M30" i="84"/>
  <c r="L30" i="84"/>
  <c r="M29" i="84"/>
  <c r="L29" i="84"/>
  <c r="M28" i="84"/>
  <c r="L28" i="84"/>
  <c r="F28" i="84"/>
  <c r="N27" i="84"/>
  <c r="M27" i="84"/>
  <c r="O27" i="84" s="1"/>
  <c r="L27" i="84"/>
  <c r="P27" i="84" s="1"/>
  <c r="M26" i="84"/>
  <c r="L26" i="84"/>
  <c r="H20" i="84"/>
  <c r="F19" i="84"/>
  <c r="F18" i="84"/>
  <c r="F21" i="84" s="1"/>
  <c r="F17" i="84"/>
  <c r="G14" i="84"/>
  <c r="F14" i="84"/>
  <c r="H13" i="84"/>
  <c r="H12" i="84"/>
  <c r="F36" i="84" s="1"/>
  <c r="H11" i="84"/>
  <c r="N29" i="84" s="1"/>
  <c r="O29" i="84" s="1"/>
  <c r="H10" i="84"/>
  <c r="N28" i="84" s="1"/>
  <c r="O28" i="84" s="1"/>
  <c r="H9" i="84"/>
  <c r="F33" i="84" s="1"/>
  <c r="H8" i="84"/>
  <c r="N26" i="84" s="1"/>
  <c r="O26" i="84" s="1"/>
  <c r="H7" i="84"/>
  <c r="N25" i="84" s="1"/>
  <c r="H6" i="84"/>
  <c r="G37" i="84" s="1"/>
  <c r="H5" i="84"/>
  <c r="G18" i="84" s="1"/>
  <c r="H4" i="84"/>
  <c r="G17" i="84" s="1"/>
  <c r="D3" i="4"/>
  <c r="N33" i="84" l="1"/>
  <c r="K6" i="84"/>
  <c r="O33" i="84"/>
  <c r="P28" i="84"/>
  <c r="H17" i="84"/>
  <c r="P26" i="84"/>
  <c r="P29" i="84"/>
  <c r="O25" i="84"/>
  <c r="P25" i="84"/>
  <c r="N31" i="84"/>
  <c r="O31" i="84" s="1"/>
  <c r="K4" i="84"/>
  <c r="H14" i="84"/>
  <c r="G19" i="84"/>
  <c r="H19" i="84" s="1"/>
  <c r="F32" i="84"/>
  <c r="F35" i="84"/>
  <c r="N30" i="84"/>
  <c r="O30" i="84" s="1"/>
  <c r="H18" i="84"/>
  <c r="P31" i="84" l="1"/>
  <c r="G21" i="84"/>
  <c r="H21" i="84" s="1"/>
  <c r="P30" i="84"/>
  <c r="F37" i="84"/>
  <c r="H37" i="84" s="1"/>
  <c r="N32" i="84" l="1"/>
  <c r="K5" i="84"/>
  <c r="K7" i="84" s="1"/>
  <c r="O32" i="84" l="1"/>
  <c r="O34" i="84" s="1"/>
  <c r="P32" i="84"/>
  <c r="P34" i="84" s="1"/>
  <c r="N34" i="84"/>
  <c r="L34" i="84" l="1"/>
  <c r="M34" i="84"/>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E20" i="82"/>
  <c r="E23" i="12"/>
  <c r="F19" i="8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39" i="81"/>
  <c r="F71" i="81"/>
  <c r="H1" i="80"/>
  <c r="F59" i="80"/>
  <c r="B45" i="80"/>
  <c r="B44" i="80"/>
  <c r="B43" i="80"/>
  <c r="B42" i="80"/>
  <c r="B41" i="80"/>
  <c r="F22" i="80"/>
  <c r="C22" i="80" s="1"/>
  <c r="F21" i="80"/>
  <c r="F47" i="80" s="1"/>
  <c r="F20" i="80"/>
  <c r="E18" i="80"/>
  <c r="E16" i="80"/>
  <c r="E15" i="80"/>
  <c r="F12"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G15" i="73" l="1"/>
  <c r="F15" i="73"/>
  <c r="E15" i="73"/>
  <c r="O44" i="79" l="1"/>
  <c r="N44" i="79"/>
  <c r="M44" i="79"/>
  <c r="J44" i="79"/>
  <c r="O12" i="79"/>
  <c r="N12" i="79"/>
  <c r="R12" i="79" s="1"/>
  <c r="M12" i="79"/>
  <c r="L12" i="79"/>
  <c r="J12" i="79"/>
  <c r="P13" i="79"/>
  <c r="O13" i="79"/>
  <c r="N13" i="79"/>
  <c r="R13" i="79" s="1"/>
  <c r="M13" i="79"/>
  <c r="L13" i="79"/>
  <c r="J13" i="79"/>
  <c r="O45" i="79"/>
  <c r="N45" i="79"/>
  <c r="R45" i="79" s="1"/>
  <c r="M45" i="79"/>
  <c r="J45" i="79"/>
  <c r="AX13" i="79" l="1"/>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3" i="77" s="1"/>
  <c r="E67" i="77" s="1"/>
  <c r="E76" i="77"/>
  <c r="E72" i="77"/>
  <c r="E55" i="77"/>
  <c r="E79" i="77"/>
  <c r="E62"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C32" i="77" l="1"/>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C41" i="77" s="1"/>
  <c r="R5" i="77"/>
  <c r="U5" i="77" s="1"/>
  <c r="E51" i="77"/>
  <c r="E49" i="77" s="1"/>
  <c r="E48" i="77" s="1"/>
  <c r="E32" i="77"/>
  <c r="C42" i="77" l="1"/>
  <c r="C43" i="77" s="1"/>
  <c r="B2" i="77"/>
  <c r="B3" i="77" s="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B19" i="72" s="1"/>
  <c r="K59" i="67"/>
  <c r="P61" i="67" s="1"/>
  <c r="K68" i="15"/>
  <c r="P85" i="15" s="1"/>
  <c r="D117" i="39"/>
  <c r="E117" i="39"/>
  <c r="F117" i="39"/>
  <c r="G117" i="39"/>
  <c r="H117" i="39"/>
  <c r="I117" i="39"/>
  <c r="J117" i="39"/>
  <c r="K117" i="39"/>
  <c r="L117" i="39"/>
  <c r="M117" i="39"/>
  <c r="C117" i="39"/>
  <c r="A21" i="62"/>
  <c r="B67" i="72" s="1"/>
  <c r="A20" i="62"/>
  <c r="A22" i="51"/>
  <c r="B17" i="72" s="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N67" i="71"/>
  <c r="B66"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S21" i="34"/>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E37" i="69"/>
  <c r="F36" i="69"/>
  <c r="F21" i="69"/>
  <c r="F40" i="69" s="1"/>
  <c r="F20" i="69"/>
  <c r="F39" i="69" s="1"/>
  <c r="E10" i="69"/>
  <c r="E9" i="69"/>
  <c r="C7" i="69"/>
  <c r="J21" i="21"/>
  <c r="W21" i="21" s="1"/>
  <c r="E18" i="68"/>
  <c r="F12" i="68"/>
  <c r="F22" i="68"/>
  <c r="F21" i="68"/>
  <c r="F47" i="68" s="1"/>
  <c r="E16" i="68"/>
  <c r="E15" i="68"/>
  <c r="AC21" i="21"/>
  <c r="Q72" i="67"/>
  <c r="Q59" i="67"/>
  <c r="Q58" i="67"/>
  <c r="Q51" i="67"/>
  <c r="J50" i="67"/>
  <c r="M47" i="67"/>
  <c r="D46" i="67"/>
  <c r="F33" i="67"/>
  <c r="F61" i="67" s="1"/>
  <c r="F23" i="67"/>
  <c r="D24" i="67" s="1"/>
  <c r="F21" i="67"/>
  <c r="F20" i="67"/>
  <c r="M19" i="67"/>
  <c r="F17"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6"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9"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B108" i="37"/>
  <c r="C23" i="37"/>
  <c r="C19" i="37"/>
  <c r="C17" i="37"/>
  <c r="C15" i="37"/>
  <c r="B112" i="37"/>
  <c r="D107" i="37"/>
  <c r="E107" i="37"/>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B129" i="34"/>
  <c r="B127" i="34"/>
  <c r="B99" i="34"/>
  <c r="B97" i="34"/>
  <c r="F31" i="34" s="1"/>
  <c r="B95" i="34"/>
  <c r="B93" i="34"/>
  <c r="B75" i="34"/>
  <c r="B73" i="34"/>
  <c r="B71" i="34"/>
  <c r="J12" i="34" s="1"/>
  <c r="W12" i="34" s="1"/>
  <c r="B130" i="33"/>
  <c r="B128" i="33"/>
  <c r="B126" i="33"/>
  <c r="H44" i="33" s="1"/>
  <c r="B98" i="33"/>
  <c r="B96" i="33"/>
  <c r="B94" i="33"/>
  <c r="B74" i="33"/>
  <c r="H14" i="33" s="1"/>
  <c r="U14" i="33" s="1"/>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B98" i="21"/>
  <c r="H31" i="21" s="1"/>
  <c r="B96" i="21"/>
  <c r="B94" i="21"/>
  <c r="J29" i="21"/>
  <c r="AC29" i="21" s="1"/>
  <c r="B92" i="21"/>
  <c r="B90" i="21"/>
  <c r="J27" i="21" s="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F38" i="39"/>
  <c r="S38" i="39" s="1"/>
  <c r="H38" i="39"/>
  <c r="AB38" i="39" s="1"/>
  <c r="F37" i="39"/>
  <c r="J38" i="39"/>
  <c r="AC38" i="39" s="1"/>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U34" i="35"/>
  <c r="F36" i="34"/>
  <c r="J35" i="34"/>
  <c r="U34" i="34"/>
  <c r="H39" i="33"/>
  <c r="AB39" i="33"/>
  <c r="F26" i="33"/>
  <c r="AA26" i="33"/>
  <c r="U33" i="33"/>
  <c r="U35" i="33"/>
  <c r="S40" i="33"/>
  <c r="W33" i="33"/>
  <c r="W39" i="33"/>
  <c r="H39" i="37"/>
  <c r="AB39" i="37" s="1"/>
  <c r="S27" i="35"/>
  <c r="F13" i="40"/>
  <c r="AA13" i="40" s="1"/>
  <c r="H13" i="40"/>
  <c r="AB13" i="40" s="1"/>
  <c r="AA11" i="40"/>
  <c r="U11" i="40"/>
  <c r="U40" i="40"/>
  <c r="U36" i="40"/>
  <c r="F44" i="39"/>
  <c r="AA44" i="39" s="1"/>
  <c r="F43" i="39"/>
  <c r="S43" i="39" s="1"/>
  <c r="H42" i="39"/>
  <c r="AB42" i="39" s="1"/>
  <c r="H41" i="39"/>
  <c r="U41" i="39" s="1"/>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W19" i="39" s="1"/>
  <c r="J29" i="39"/>
  <c r="W29" i="39" s="1"/>
  <c r="F29" i="39"/>
  <c r="S29" i="39" s="1"/>
  <c r="F11" i="21"/>
  <c r="S11" i="21" s="1"/>
  <c r="C27" i="39"/>
  <c r="H13" i="39"/>
  <c r="AB13" i="39" s="1"/>
  <c r="H32" i="33"/>
  <c r="U32" i="33" s="1"/>
  <c r="H11" i="21"/>
  <c r="U11" i="21" s="1"/>
  <c r="J11" i="21"/>
  <c r="W11" i="21" s="1"/>
  <c r="H39" i="40"/>
  <c r="U39" i="40" s="1"/>
  <c r="H38" i="40"/>
  <c r="AB38" i="40" s="1"/>
  <c r="F37" i="40"/>
  <c r="AA37" i="40" s="1"/>
  <c r="H25" i="40"/>
  <c r="AB25" i="40" s="1"/>
  <c r="H19" i="40"/>
  <c r="U19" i="40" s="1"/>
  <c r="J17" i="40"/>
  <c r="W17" i="40" s="1"/>
  <c r="J13" i="40"/>
  <c r="W13" i="40"/>
  <c r="AC12" i="34"/>
  <c r="AB12" i="35"/>
  <c r="AB12" i="36"/>
  <c r="W34" i="40"/>
  <c r="J34" i="36"/>
  <c r="W34" i="36" s="1"/>
  <c r="U30" i="36"/>
  <c r="J30" i="35"/>
  <c r="W30" i="35" s="1"/>
  <c r="H30" i="35"/>
  <c r="AB30" i="35" s="1"/>
  <c r="F22" i="35"/>
  <c r="AA22" i="35" s="1"/>
  <c r="H10" i="35"/>
  <c r="U10" i="35" s="1"/>
  <c r="F33" i="36"/>
  <c r="AA33" i="36"/>
  <c r="H16" i="36"/>
  <c r="AB16" i="36" s="1"/>
  <c r="J85" i="36"/>
  <c r="K85" i="36" s="1"/>
  <c r="L85" i="36" s="1"/>
  <c r="M85" i="36" s="1"/>
  <c r="J29" i="36"/>
  <c r="AC29" i="36" s="1"/>
  <c r="F12" i="36"/>
  <c r="AA12" i="36" s="1"/>
  <c r="F24" i="36"/>
  <c r="AA2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c r="J17" i="34"/>
  <c r="W17" i="34" s="1"/>
  <c r="AB17" i="34"/>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U14" i="21"/>
  <c r="H28" i="21"/>
  <c r="AB28" i="21" s="1"/>
  <c r="F28" i="21"/>
  <c r="AA28" i="21" s="1"/>
  <c r="J28" i="21"/>
  <c r="W28" i="21" s="1"/>
  <c r="J30" i="21"/>
  <c r="AC30" i="21" s="1"/>
  <c r="J44" i="21"/>
  <c r="AC44" i="21" s="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AC31" i="33" s="1"/>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F40" i="37"/>
  <c r="AA40" i="37" s="1"/>
  <c r="AC14" i="40"/>
  <c r="W14" i="40"/>
  <c r="F14" i="33"/>
  <c r="S14" i="33" s="1"/>
  <c r="J14" i="33"/>
  <c r="H30" i="33"/>
  <c r="AB30" i="33"/>
  <c r="F30" i="33"/>
  <c r="J30" i="33"/>
  <c r="J44" i="33"/>
  <c r="AC44" i="33" s="1"/>
  <c r="F44" i="33"/>
  <c r="S44" i="33" s="1"/>
  <c r="J46" i="33"/>
  <c r="AC46" i="33"/>
  <c r="F46" i="33"/>
  <c r="AA46" i="33" s="1"/>
  <c r="H46" i="33"/>
  <c r="H13" i="34"/>
  <c r="U13" i="34" s="1"/>
  <c r="J29" i="34"/>
  <c r="F29" i="34"/>
  <c r="S29" i="34"/>
  <c r="H29" i="34"/>
  <c r="AB29" i="34" s="1"/>
  <c r="J31" i="34"/>
  <c r="H31" i="34"/>
  <c r="S31" i="34"/>
  <c r="H45" i="34"/>
  <c r="U45" i="34" s="1"/>
  <c r="J45" i="34"/>
  <c r="W45" i="34" s="1"/>
  <c r="F45" i="34"/>
  <c r="S45" i="34" s="1"/>
  <c r="J47" i="34"/>
  <c r="AC47" i="34" s="1"/>
  <c r="F13" i="35"/>
  <c r="J13" i="35"/>
  <c r="AC13" i="35"/>
  <c r="H13" i="35"/>
  <c r="U13" i="35" s="1"/>
  <c r="J25" i="35"/>
  <c r="W25" i="35" s="1"/>
  <c r="F25" i="35"/>
  <c r="S25" i="35" s="1"/>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s="1"/>
  <c r="F35" i="40"/>
  <c r="AA35" i="40" s="1"/>
  <c r="H35" i="40"/>
  <c r="U35" i="40"/>
  <c r="J37" i="40"/>
  <c r="AC37" i="40" s="1"/>
  <c r="J39" i="40"/>
  <c r="AC39" i="40" s="1"/>
  <c r="H15" i="40"/>
  <c r="U15" i="40" s="1"/>
  <c r="J15" i="40"/>
  <c r="W15" i="40"/>
  <c r="F15" i="40"/>
  <c r="AA15" i="40" s="1"/>
  <c r="F14" i="37"/>
  <c r="S14" i="37" s="1"/>
  <c r="F27" i="37"/>
  <c r="AA27" i="37" s="1"/>
  <c r="F15" i="39"/>
  <c r="J15" i="39"/>
  <c r="W15" i="39" s="1"/>
  <c r="H15" i="39"/>
  <c r="H16" i="40"/>
  <c r="U16" i="40" s="1"/>
  <c r="J16" i="40"/>
  <c r="W16" i="40" s="1"/>
  <c r="F16" i="40"/>
  <c r="S16" i="40" s="1"/>
  <c r="J14" i="37"/>
  <c r="J27" i="37"/>
  <c r="AC27" i="37"/>
  <c r="AA44" i="33"/>
  <c r="J36" i="37"/>
  <c r="AC36" i="37"/>
  <c r="J10" i="36"/>
  <c r="AC10" i="36" s="1"/>
  <c r="AB26" i="33"/>
  <c r="AA14" i="37"/>
  <c r="AB46" i="34"/>
  <c r="AA14" i="34"/>
  <c r="AB45" i="33"/>
  <c r="S44" i="34"/>
  <c r="BA585" i="3"/>
  <c r="F17" i="21"/>
  <c r="AA17" i="21" s="1"/>
  <c r="H17" i="21"/>
  <c r="AB17" i="21" s="1"/>
  <c r="F15" i="21"/>
  <c r="S15" i="21" s="1"/>
  <c r="J43" i="39"/>
  <c r="W43" i="39" s="1"/>
  <c r="U38" i="39"/>
  <c r="G544" i="3"/>
  <c r="G540" i="3"/>
  <c r="G536" i="3"/>
  <c r="G535" i="3"/>
  <c r="G532" i="3"/>
  <c r="G531" i="3"/>
  <c r="G528" i="3"/>
  <c r="G527" i="3"/>
  <c r="G523" i="3"/>
  <c r="G518" i="3"/>
  <c r="G514" i="3"/>
  <c r="G510" i="3"/>
  <c r="G508" i="3"/>
  <c r="G504" i="3"/>
  <c r="G500" i="3"/>
  <c r="G496" i="3"/>
  <c r="G584" i="3"/>
  <c r="G580" i="3"/>
  <c r="G576" i="3"/>
  <c r="G568" i="3"/>
  <c r="G564" i="3"/>
  <c r="G560" i="3"/>
  <c r="G550" i="3"/>
  <c r="BL584" i="3"/>
  <c r="BL580" i="3"/>
  <c r="BL572" i="3"/>
  <c r="BL568" i="3"/>
  <c r="BL564" i="3"/>
  <c r="BL560" i="3"/>
  <c r="BL554" i="3"/>
  <c r="BL546" i="3"/>
  <c r="BL542" i="3"/>
  <c r="BL534" i="3"/>
  <c r="BL530" i="3"/>
  <c r="BL526" i="3"/>
  <c r="BL516" i="3"/>
  <c r="BL512" i="3"/>
  <c r="BL506" i="3"/>
  <c r="BL498" i="3"/>
  <c r="BL494" i="3"/>
  <c r="BL582" i="3"/>
  <c r="BL574" i="3"/>
  <c r="BL570" i="3"/>
  <c r="BL566" i="3"/>
  <c r="BL562" i="3"/>
  <c r="BL556" i="3"/>
  <c r="BL552" i="3"/>
  <c r="AZ552" i="3" s="1"/>
  <c r="BL544" i="3"/>
  <c r="BL536" i="3"/>
  <c r="G533" i="3"/>
  <c r="BL532" i="3"/>
  <c r="BL528" i="3"/>
  <c r="G525" i="3"/>
  <c r="BL524" i="3"/>
  <c r="BL514" i="3"/>
  <c r="BL510" i="3"/>
  <c r="BL504" i="3"/>
  <c r="BL496" i="3"/>
  <c r="G493" i="3"/>
  <c r="BA584" i="3"/>
  <c r="BA580" i="3"/>
  <c r="AZ580" i="3" s="1"/>
  <c r="BA578" i="3"/>
  <c r="BA576" i="3"/>
  <c r="BA572" i="3"/>
  <c r="AZ572" i="3" s="1"/>
  <c r="BA570" i="3"/>
  <c r="BA568" i="3"/>
  <c r="BA566" i="3"/>
  <c r="BA564" i="3"/>
  <c r="AZ564" i="3" s="1"/>
  <c r="BA562" i="3"/>
  <c r="BA560" i="3"/>
  <c r="BA558" i="3"/>
  <c r="BA556" i="3"/>
  <c r="AZ556" i="3" s="1"/>
  <c r="BA552" i="3"/>
  <c r="BA546" i="3"/>
  <c r="BA544" i="3"/>
  <c r="AZ544" i="3" s="1"/>
  <c r="BA540" i="3"/>
  <c r="BA538" i="3"/>
  <c r="BA536" i="3"/>
  <c r="AZ536" i="3"/>
  <c r="BA534" i="3"/>
  <c r="BA532" i="3"/>
  <c r="AZ532" i="3" s="1"/>
  <c r="BA530" i="3"/>
  <c r="BA526" i="3"/>
  <c r="BA524" i="3"/>
  <c r="AZ524" i="3" s="1"/>
  <c r="BA522" i="3"/>
  <c r="BA518" i="3"/>
  <c r="BA516" i="3"/>
  <c r="BA514" i="3"/>
  <c r="AZ514" i="3" s="1"/>
  <c r="BA510" i="3"/>
  <c r="AZ510" i="3" s="1"/>
  <c r="BA506" i="3"/>
  <c r="BA504" i="3"/>
  <c r="AZ504" i="3"/>
  <c r="BA500" i="3"/>
  <c r="BA498" i="3"/>
  <c r="AZ498" i="3" s="1"/>
  <c r="BA494" i="3"/>
  <c r="BA587" i="3"/>
  <c r="BA581" i="3"/>
  <c r="BA579" i="3"/>
  <c r="BA577" i="3"/>
  <c r="BA573" i="3"/>
  <c r="BA571" i="3"/>
  <c r="AZ571" i="3" s="1"/>
  <c r="BA569" i="3"/>
  <c r="BA567" i="3"/>
  <c r="BA565" i="3"/>
  <c r="AZ565" i="3" s="1"/>
  <c r="BA563" i="3"/>
  <c r="BA561" i="3"/>
  <c r="BA559" i="3"/>
  <c r="BA555" i="3"/>
  <c r="BA553" i="3"/>
  <c r="BA549" i="3"/>
  <c r="BA545" i="3"/>
  <c r="BA543" i="3"/>
  <c r="AZ543" i="3" s="1"/>
  <c r="BA541" i="3"/>
  <c r="BA537" i="3"/>
  <c r="BA535" i="3"/>
  <c r="BA533" i="3"/>
  <c r="BA529" i="3"/>
  <c r="BA527" i="3"/>
  <c r="BA525" i="3"/>
  <c r="BA519" i="3"/>
  <c r="BA517" i="3"/>
  <c r="BA515" i="3"/>
  <c r="BA511" i="3"/>
  <c r="BA507" i="3"/>
  <c r="BA505" i="3"/>
  <c r="BA501" i="3"/>
  <c r="BA499" i="3"/>
  <c r="BA497" i="3"/>
  <c r="AZ497" i="3" s="1"/>
  <c r="BA493" i="3"/>
  <c r="AZ560" i="3"/>
  <c r="G583" i="3"/>
  <c r="G579" i="3"/>
  <c r="G577" i="3"/>
  <c r="G575" i="3"/>
  <c r="G571" i="3"/>
  <c r="G569" i="3"/>
  <c r="G567" i="3"/>
  <c r="G565" i="3"/>
  <c r="G563" i="3"/>
  <c r="G561" i="3"/>
  <c r="BL558" i="3"/>
  <c r="AZ558" i="3" s="1"/>
  <c r="BA557" i="3"/>
  <c r="AC557" i="3"/>
  <c r="G557" i="3" s="1"/>
  <c r="BQ557" i="3"/>
  <c r="BL557" i="3" s="1"/>
  <c r="BQ583" i="3"/>
  <c r="BL583" i="3" s="1"/>
  <c r="BQ581" i="3"/>
  <c r="BL581" i="3"/>
  <c r="BQ579" i="3"/>
  <c r="BL579" i="3" s="1"/>
  <c r="BQ577" i="3"/>
  <c r="BQ575" i="3"/>
  <c r="BL575" i="3"/>
  <c r="BQ573" i="3"/>
  <c r="BL573" i="3" s="1"/>
  <c r="BQ571" i="3"/>
  <c r="BL571" i="3"/>
  <c r="BQ569" i="3"/>
  <c r="BL569" i="3" s="1"/>
  <c r="AZ569" i="3" s="1"/>
  <c r="BQ567" i="3"/>
  <c r="BL567" i="3" s="1"/>
  <c r="BQ565" i="3"/>
  <c r="BL565" i="3" s="1"/>
  <c r="BQ563" i="3"/>
  <c r="BL563" i="3" s="1"/>
  <c r="AZ563" i="3" s="1"/>
  <c r="BQ561" i="3"/>
  <c r="BL561" i="3"/>
  <c r="AZ561" i="3" s="1"/>
  <c r="BQ559" i="3"/>
  <c r="BL559" i="3" s="1"/>
  <c r="AZ559" i="3" s="1"/>
  <c r="G559" i="3"/>
  <c r="G555" i="3"/>
  <c r="G553" i="3"/>
  <c r="G549" i="3"/>
  <c r="G547" i="3"/>
  <c r="G545" i="3"/>
  <c r="G543" i="3"/>
  <c r="G541" i="3"/>
  <c r="G539" i="3"/>
  <c r="G537" i="3"/>
  <c r="BQ555" i="3"/>
  <c r="BQ553" i="3"/>
  <c r="BL553" i="3" s="1"/>
  <c r="AZ553" i="3"/>
  <c r="BQ551" i="3"/>
  <c r="BQ549" i="3"/>
  <c r="BQ547" i="3"/>
  <c r="BL547" i="3" s="1"/>
  <c r="BQ545" i="3"/>
  <c r="BQ543" i="3"/>
  <c r="BL543" i="3" s="1"/>
  <c r="BQ541" i="3"/>
  <c r="BQ539" i="3"/>
  <c r="BL539" i="3" s="1"/>
  <c r="BQ537" i="3"/>
  <c r="BL537" i="3"/>
  <c r="BQ535" i="3"/>
  <c r="BQ533" i="3"/>
  <c r="BL533" i="3" s="1"/>
  <c r="AZ533" i="3" s="1"/>
  <c r="BQ531" i="3"/>
  <c r="BL531" i="3" s="1"/>
  <c r="BQ529" i="3"/>
  <c r="BL529" i="3"/>
  <c r="BQ527" i="3"/>
  <c r="BL527" i="3" s="1"/>
  <c r="AZ527" i="3"/>
  <c r="BQ525" i="3"/>
  <c r="BL525" i="3"/>
  <c r="AZ525" i="3" s="1"/>
  <c r="BQ523" i="3"/>
  <c r="BL523" i="3" s="1"/>
  <c r="BA521" i="3"/>
  <c r="AC521" i="3"/>
  <c r="G521" i="3"/>
  <c r="BQ521" i="3"/>
  <c r="BL521" i="3"/>
  <c r="AZ521" i="3" s="1"/>
  <c r="G519" i="3"/>
  <c r="G517" i="3"/>
  <c r="G513" i="3"/>
  <c r="G511" i="3"/>
  <c r="BQ519" i="3"/>
  <c r="BL519" i="3" s="1"/>
  <c r="AZ519" i="3" s="1"/>
  <c r="BQ517" i="3"/>
  <c r="BL517" i="3"/>
  <c r="BQ515" i="3"/>
  <c r="BL515" i="3" s="1"/>
  <c r="BQ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J25" i="21"/>
  <c r="AC25" i="21" s="1"/>
  <c r="E125" i="33"/>
  <c r="F125" i="33" s="1"/>
  <c r="G125" i="33" s="1"/>
  <c r="H43" i="33"/>
  <c r="H17" i="37"/>
  <c r="U17" i="37" s="1"/>
  <c r="AB27" i="37"/>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H39" i="39"/>
  <c r="AB39" i="39" s="1"/>
  <c r="AC39" i="39"/>
  <c r="W39" i="39"/>
  <c r="H27" i="39"/>
  <c r="U27" i="39" s="1"/>
  <c r="J27" i="39"/>
  <c r="W27" i="39" s="1"/>
  <c r="F27" i="39"/>
  <c r="AA27" i="39" s="1"/>
  <c r="H43" i="39"/>
  <c r="AB43" i="39" s="1"/>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AZ160" i="3" s="1"/>
  <c r="G161" i="3"/>
  <c r="BA163" i="3"/>
  <c r="AZ163" i="3" s="1"/>
  <c r="BL164" i="3"/>
  <c r="G165" i="3"/>
  <c r="BA167" i="3"/>
  <c r="AZ167" i="3" s="1"/>
  <c r="BL168" i="3"/>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67" i="3"/>
  <c r="AZ168"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BA379" i="3"/>
  <c r="BL380" i="3"/>
  <c r="AZ380" i="3" s="1"/>
  <c r="G381" i="3"/>
  <c r="BA383" i="3"/>
  <c r="AZ383" i="3" s="1"/>
  <c r="BL384" i="3"/>
  <c r="AZ384" i="3" s="1"/>
  <c r="G385" i="3"/>
  <c r="BA387" i="3"/>
  <c r="AZ387" i="3" s="1"/>
  <c r="BL388" i="3"/>
  <c r="G389" i="3"/>
  <c r="BA391" i="3"/>
  <c r="AZ391" i="3" s="1"/>
  <c r="BL392" i="3"/>
  <c r="AZ392" i="3" s="1"/>
  <c r="G393" i="3"/>
  <c r="BO5" i="3"/>
  <c r="BM5" i="3"/>
  <c r="BJ5" i="3"/>
  <c r="BH5" i="3"/>
  <c r="BF5" i="3"/>
  <c r="BD5" i="3"/>
  <c r="AZ341" i="3"/>
  <c r="AC5" i="3"/>
  <c r="AZ506" i="3"/>
  <c r="G548" i="3"/>
  <c r="G538" i="3"/>
  <c r="G520" i="3"/>
  <c r="G502" i="3"/>
  <c r="BS5" i="3"/>
  <c r="BP5" i="3"/>
  <c r="BN5" i="3"/>
  <c r="BK5" i="3"/>
  <c r="BI5" i="3"/>
  <c r="BG5" i="3"/>
  <c r="BE5" i="3"/>
  <c r="G17" i="3"/>
  <c r="BA17" i="3"/>
  <c r="BT5" i="3"/>
  <c r="BA15" i="3"/>
  <c r="BB5" i="3"/>
  <c r="BR5" i="3"/>
  <c r="AZ499" i="3"/>
  <c r="AZ509" i="3"/>
  <c r="G509" i="3"/>
  <c r="BL493" i="3"/>
  <c r="AZ493" i="3"/>
  <c r="U38" i="40"/>
  <c r="F83" i="43"/>
  <c r="H85" i="43" s="1"/>
  <c r="F50" i="43"/>
  <c r="H54" i="43" s="1"/>
  <c r="F72" i="43"/>
  <c r="H75" i="43" s="1"/>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280" i="3"/>
  <c r="AZ72" i="3"/>
  <c r="AZ77" i="3"/>
  <c r="AZ82" i="3"/>
  <c r="F25" i="39"/>
  <c r="AA25" i="39" s="1"/>
  <c r="H27" i="36"/>
  <c r="U27" i="36" s="1"/>
  <c r="F27" i="36"/>
  <c r="AA27" i="36" s="1"/>
  <c r="H33" i="34"/>
  <c r="U33" i="34"/>
  <c r="F32" i="37"/>
  <c r="S32" i="37" s="1"/>
  <c r="AA32"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Z412" i="3"/>
  <c r="AZ433" i="3"/>
  <c r="W12" i="33"/>
  <c r="AC12" i="33"/>
  <c r="AA32" i="36"/>
  <c r="S32" i="36"/>
  <c r="AZ437" i="3"/>
  <c r="BL14" i="3"/>
  <c r="U30" i="33"/>
  <c r="W28" i="37"/>
  <c r="S21" i="39"/>
  <c r="F12" i="33"/>
  <c r="H14" i="39"/>
  <c r="U14" i="39" s="1"/>
  <c r="F41" i="40"/>
  <c r="AA41" i="40" s="1"/>
  <c r="BA14" i="3"/>
  <c r="B12" i="1"/>
  <c r="E12" i="1" s="1"/>
  <c r="B10" i="1"/>
  <c r="E10" i="1" s="1"/>
  <c r="AZ88" i="3"/>
  <c r="K12" i="1"/>
  <c r="M12" i="1" s="1"/>
  <c r="S13" i="1"/>
  <c r="AR13" i="1" s="1"/>
  <c r="R13" i="1"/>
  <c r="J51" i="67"/>
  <c r="AA34" i="33"/>
  <c r="AB39" i="40"/>
  <c r="S37" i="40"/>
  <c r="AC38" i="40"/>
  <c r="W40" i="40"/>
  <c r="AA34" i="40"/>
  <c r="S25" i="40"/>
  <c r="AC19" i="40"/>
  <c r="AC17" i="40"/>
  <c r="S32" i="40"/>
  <c r="S30" i="40"/>
  <c r="U23" i="40"/>
  <c r="S45" i="39"/>
  <c r="U37" i="39"/>
  <c r="F34" i="39"/>
  <c r="AA34" i="39" s="1"/>
  <c r="F108" i="39"/>
  <c r="G108" i="39" s="1"/>
  <c r="H108" i="39" s="1"/>
  <c r="I108" i="39" s="1"/>
  <c r="J108" i="39" s="1"/>
  <c r="K108" i="39" s="1"/>
  <c r="L108" i="39" s="1"/>
  <c r="M108" i="39" s="1"/>
  <c r="U33" i="39"/>
  <c r="J23" i="39"/>
  <c r="W23" i="39" s="1"/>
  <c r="F23" i="39"/>
  <c r="AA23" i="39" s="1"/>
  <c r="H23" i="39"/>
  <c r="AB23" i="39" s="1"/>
  <c r="W21" i="39"/>
  <c r="U21" i="39"/>
  <c r="U16" i="39"/>
  <c r="AC15" i="39"/>
  <c r="U13" i="36"/>
  <c r="U26" i="36"/>
  <c r="S33" i="36"/>
  <c r="AA26" i="36"/>
  <c r="AC26" i="36"/>
  <c r="AA22" i="36"/>
  <c r="W14" i="36"/>
  <c r="AB14" i="36"/>
  <c r="U22" i="36"/>
  <c r="S16" i="36"/>
  <c r="AA25" i="36"/>
  <c r="S24" i="36"/>
  <c r="AB20" i="36"/>
  <c r="U16" i="36"/>
  <c r="S14" i="36"/>
  <c r="AA25" i="35"/>
  <c r="S23" i="35"/>
  <c r="W24" i="35"/>
  <c r="AB13"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AB15" i="40"/>
  <c r="U17" i="40"/>
  <c r="AB19" i="40"/>
  <c r="U10" i="40"/>
  <c r="S10" i="40"/>
  <c r="U15" i="39"/>
  <c r="AB15" i="39"/>
  <c r="AA15" i="39"/>
  <c r="S15" i="39"/>
  <c r="S16" i="39"/>
  <c r="AA16" i="39"/>
  <c r="U45" i="39"/>
  <c r="AB45" i="39"/>
  <c r="W33" i="39"/>
  <c r="AC33" i="39"/>
  <c r="AA47"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U23" i="21" s="1"/>
  <c r="S13" i="21"/>
  <c r="AP7" i="1"/>
  <c r="AB45" i="21"/>
  <c r="AB9" i="21"/>
  <c r="U9" i="21"/>
  <c r="AA32" i="21"/>
  <c r="S32" i="21"/>
  <c r="W9" i="21"/>
  <c r="AC9" i="21"/>
  <c r="AB32" i="21"/>
  <c r="U32" i="21"/>
  <c r="W23" i="37"/>
  <c r="AC23" i="37"/>
  <c r="J63" i="37"/>
  <c r="K63" i="37" s="1"/>
  <c r="L63" i="37" s="1"/>
  <c r="M63" i="37" s="1"/>
  <c r="J11" i="37"/>
  <c r="AC11" i="37" s="1"/>
  <c r="H70" i="34"/>
  <c r="I70" i="34" s="1"/>
  <c r="J70" i="34" s="1"/>
  <c r="K70" i="34" s="1"/>
  <c r="L70" i="34" s="1"/>
  <c r="M70" i="34" s="1"/>
  <c r="J11" i="34"/>
  <c r="W11" i="34" s="1"/>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6" i="15"/>
  <c r="AO13" i="1"/>
  <c r="E2" i="69"/>
  <c r="F32" i="15"/>
  <c r="B13" i="76"/>
  <c r="F52" i="15"/>
  <c r="D6" i="73"/>
  <c r="M30" i="15"/>
  <c r="E7" i="76"/>
  <c r="M8" i="15"/>
  <c r="M29" i="67"/>
  <c r="F8" i="15"/>
  <c r="B10" i="76"/>
  <c r="E9" i="76"/>
  <c r="F28" i="15"/>
  <c r="F36" i="67"/>
  <c r="E13" i="76"/>
  <c r="F43" i="67"/>
  <c r="F9" i="67"/>
  <c r="M9" i="67"/>
  <c r="M6" i="15"/>
  <c r="C88" i="15"/>
  <c r="F22" i="15"/>
  <c r="F7" i="67"/>
  <c r="F20" i="31"/>
  <c r="B7" i="76"/>
  <c r="M36" i="15"/>
  <c r="M23" i="67"/>
  <c r="B8" i="76"/>
  <c r="F37" i="67"/>
  <c r="E12" i="76"/>
  <c r="E8" i="76"/>
  <c r="M28" i="15"/>
  <c r="F42" i="67"/>
  <c r="F26" i="67"/>
  <c r="B9" i="76"/>
  <c r="M8" i="67"/>
  <c r="F38" i="15"/>
  <c r="M9" i="15"/>
  <c r="F16" i="67"/>
  <c r="F24" i="15"/>
  <c r="L56" i="15"/>
  <c r="M22" i="15"/>
  <c r="F5" i="73"/>
  <c r="M31" i="15"/>
  <c r="M26" i="15"/>
  <c r="M6" i="67"/>
  <c r="M28" i="67"/>
  <c r="J15" i="67"/>
  <c r="F6" i="67"/>
  <c r="C76" i="67"/>
  <c r="F6" i="73"/>
  <c r="E10" i="76"/>
  <c r="F4" i="73"/>
  <c r="F38" i="67"/>
  <c r="B12" i="76"/>
  <c r="F40" i="67"/>
  <c r="M24" i="67"/>
  <c r="M22" i="67"/>
  <c r="F9" i="15"/>
  <c r="E11" i="76"/>
  <c r="F3" i="73"/>
  <c r="F48" i="15"/>
  <c r="F8" i="67"/>
  <c r="F26" i="15"/>
  <c r="L47" i="67"/>
  <c r="M24" i="15"/>
  <c r="F7" i="73"/>
  <c r="F30" i="15"/>
  <c r="F13" i="67"/>
  <c r="F7" i="15"/>
  <c r="M26" i="67"/>
  <c r="U19" i="39" l="1"/>
  <c r="AC14" i="39"/>
  <c r="AC27" i="39"/>
  <c r="S25" i="39"/>
  <c r="C31" i="39"/>
  <c r="B68" i="43"/>
  <c r="B57" i="43"/>
  <c r="W36" i="39"/>
  <c r="AB36" i="39"/>
  <c r="S34" i="39"/>
  <c r="U34" i="39"/>
  <c r="U42" i="39"/>
  <c r="U44" i="39"/>
  <c r="AC40" i="39"/>
  <c r="S40" i="39"/>
  <c r="AB29" i="39"/>
  <c r="AC19" i="39"/>
  <c r="S19" i="39"/>
  <c r="S11" i="39"/>
  <c r="U11" i="39"/>
  <c r="AB10" i="39"/>
  <c r="S44" i="39"/>
  <c r="AB14" i="39"/>
  <c r="AA14" i="39"/>
  <c r="D50" i="43"/>
  <c r="W23" i="21"/>
  <c r="AA17" i="33"/>
  <c r="U15" i="21"/>
  <c r="AB23" i="21"/>
  <c r="W34" i="39"/>
  <c r="W34" i="33"/>
  <c r="AC34" i="33"/>
  <c r="AZ360" i="3"/>
  <c r="AZ573" i="3"/>
  <c r="AZ529" i="3"/>
  <c r="AC28" i="21"/>
  <c r="S11" i="36"/>
  <c r="AA16" i="40"/>
  <c r="AA41" i="33"/>
  <c r="S41" i="33"/>
  <c r="BA586" i="3"/>
  <c r="J33" i="40"/>
  <c r="F33" i="40"/>
  <c r="J41" i="40"/>
  <c r="H41" i="40"/>
  <c r="W31" i="35"/>
  <c r="AC31" i="35"/>
  <c r="AC30" i="36"/>
  <c r="W30" i="36"/>
  <c r="BA583" i="3"/>
  <c r="AZ583" i="3" s="1"/>
  <c r="BA582" i="3"/>
  <c r="AZ582" i="3" s="1"/>
  <c r="BL578" i="3"/>
  <c r="BL576" i="3"/>
  <c r="BA575" i="3"/>
  <c r="AZ575" i="3" s="1"/>
  <c r="BA574" i="3"/>
  <c r="AZ574" i="3" s="1"/>
  <c r="BL555" i="3"/>
  <c r="BA554" i="3"/>
  <c r="AZ554" i="3" s="1"/>
  <c r="AZ576" i="3"/>
  <c r="W40" i="37"/>
  <c r="AC40" i="37"/>
  <c r="W11" i="35"/>
  <c r="AC11" i="35"/>
  <c r="U23" i="34"/>
  <c r="AB23" i="34"/>
  <c r="AA37" i="39"/>
  <c r="S37" i="39"/>
  <c r="AB34" i="21"/>
  <c r="U34" i="21"/>
  <c r="AA40" i="21"/>
  <c r="S40" i="21"/>
  <c r="H46" i="39"/>
  <c r="F46" i="39"/>
  <c r="J46" i="39"/>
  <c r="AA36" i="39"/>
  <c r="S36" i="39"/>
  <c r="AA35" i="33"/>
  <c r="S20" i="35"/>
  <c r="G29" i="6"/>
  <c r="AZ379" i="3"/>
  <c r="AZ372" i="3"/>
  <c r="AZ347" i="3"/>
  <c r="AZ305" i="3"/>
  <c r="AZ327" i="3"/>
  <c r="AZ309" i="3"/>
  <c r="AC12" i="37"/>
  <c r="AZ515" i="3"/>
  <c r="AZ547" i="3"/>
  <c r="AZ516" i="3"/>
  <c r="AZ526" i="3"/>
  <c r="AZ534" i="3"/>
  <c r="AZ546" i="3"/>
  <c r="AZ568" i="3"/>
  <c r="U46" i="33"/>
  <c r="AB46" i="33"/>
  <c r="S45" i="33"/>
  <c r="AA45" i="33"/>
  <c r="J39" i="37"/>
  <c r="F39" i="37"/>
  <c r="S39" i="37" s="1"/>
  <c r="AZ345" i="3"/>
  <c r="S25" i="21"/>
  <c r="AA25" i="21"/>
  <c r="AZ537" i="3"/>
  <c r="AZ579" i="3"/>
  <c r="AZ570" i="3"/>
  <c r="AA14" i="33"/>
  <c r="AC31" i="34"/>
  <c r="W31" i="34"/>
  <c r="AA28" i="34"/>
  <c r="S28" i="34"/>
  <c r="F30" i="21"/>
  <c r="H30" i="21"/>
  <c r="AC40" i="33"/>
  <c r="W40" i="33"/>
  <c r="J13" i="34"/>
  <c r="F13" i="34"/>
  <c r="H47" i="34"/>
  <c r="F47" i="34"/>
  <c r="H23" i="36"/>
  <c r="J23" i="36"/>
  <c r="F23" i="36"/>
  <c r="BL551" i="3"/>
  <c r="BA548" i="3"/>
  <c r="BA547" i="3"/>
  <c r="BL545" i="3"/>
  <c r="BA542" i="3"/>
  <c r="AZ542" i="3" s="1"/>
  <c r="BL541" i="3"/>
  <c r="AZ541" i="3" s="1"/>
  <c r="BL540" i="3"/>
  <c r="AZ540" i="3" s="1"/>
  <c r="BA539" i="3"/>
  <c r="AZ539" i="3" s="1"/>
  <c r="BL538" i="3"/>
  <c r="AZ538" i="3" s="1"/>
  <c r="BA531" i="3"/>
  <c r="AZ531" i="3" s="1"/>
  <c r="BA528" i="3"/>
  <c r="AZ528" i="3" s="1"/>
  <c r="BA523" i="3"/>
  <c r="AZ523" i="3" s="1"/>
  <c r="BL522" i="3"/>
  <c r="AZ522" i="3" s="1"/>
  <c r="BL520" i="3"/>
  <c r="BA520" i="3"/>
  <c r="AZ520" i="3" s="1"/>
  <c r="BL518" i="3"/>
  <c r="AZ518" i="3" s="1"/>
  <c r="BL513" i="3"/>
  <c r="BA513" i="3"/>
  <c r="BA512" i="3"/>
  <c r="AZ512" i="3" s="1"/>
  <c r="BA508" i="3"/>
  <c r="AZ508" i="3" s="1"/>
  <c r="BA503" i="3"/>
  <c r="AZ503" i="3" s="1"/>
  <c r="BL502" i="3"/>
  <c r="AZ502" i="3" s="1"/>
  <c r="BA502" i="3"/>
  <c r="BL500" i="3"/>
  <c r="AZ500" i="3" s="1"/>
  <c r="BA496" i="3"/>
  <c r="AZ496" i="3" s="1"/>
  <c r="BA495" i="3"/>
  <c r="AB32" i="33"/>
  <c r="BL585" i="3"/>
  <c r="AZ585" i="3" s="1"/>
  <c r="B72" i="43"/>
  <c r="B75" i="43"/>
  <c r="J24" i="36"/>
  <c r="H24" i="36"/>
  <c r="G556" i="3"/>
  <c r="AZ338" i="3"/>
  <c r="AZ311" i="3"/>
  <c r="AZ307" i="3"/>
  <c r="AZ364" i="3"/>
  <c r="AZ329" i="3"/>
  <c r="AZ304" i="3"/>
  <c r="AZ306" i="3"/>
  <c r="BL535" i="3"/>
  <c r="AZ535" i="3" s="1"/>
  <c r="BL577" i="3"/>
  <c r="AZ577" i="3" s="1"/>
  <c r="AZ557" i="3"/>
  <c r="AZ566" i="3"/>
  <c r="F34" i="36"/>
  <c r="F39" i="39"/>
  <c r="S40" i="40"/>
  <c r="S36" i="40"/>
  <c r="W10" i="40"/>
  <c r="S31" i="35"/>
  <c r="G585" i="3"/>
  <c r="BL587" i="3"/>
  <c r="AZ587" i="3" s="1"/>
  <c r="BL586" i="3"/>
  <c r="W41" i="33"/>
  <c r="H36" i="35"/>
  <c r="J36" i="35"/>
  <c r="AC36" i="35" s="1"/>
  <c r="AZ413" i="3"/>
  <c r="AZ435" i="3"/>
  <c r="AZ451" i="3"/>
  <c r="AZ469" i="3"/>
  <c r="AZ483" i="3"/>
  <c r="J9" i="34"/>
  <c r="H12" i="34"/>
  <c r="G551" i="3"/>
  <c r="BL550" i="3"/>
  <c r="G542" i="3"/>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G491" i="3"/>
  <c r="BA303" i="3"/>
  <c r="AZ303" i="3" s="1"/>
  <c r="BA307" i="3"/>
  <c r="G311" i="3"/>
  <c r="BL314" i="3"/>
  <c r="AZ314" i="3" s="1"/>
  <c r="G315" i="3"/>
  <c r="BA332" i="3"/>
  <c r="AZ332" i="3" s="1"/>
  <c r="BL332" i="3"/>
  <c r="G339" i="3"/>
  <c r="G364" i="3"/>
  <c r="BA367" i="3"/>
  <c r="AZ367" i="3" s="1"/>
  <c r="BA370" i="3"/>
  <c r="AZ370" i="3" s="1"/>
  <c r="BA386" i="3"/>
  <c r="AZ386" i="3" s="1"/>
  <c r="G397" i="3"/>
  <c r="G210" i="3"/>
  <c r="BA216" i="3"/>
  <c r="AZ216" i="3" s="1"/>
  <c r="BA283" i="3"/>
  <c r="AZ283" i="3" s="1"/>
  <c r="BL16" i="3"/>
  <c r="AZ16" i="3" s="1"/>
  <c r="G399" i="3"/>
  <c r="BL400" i="3"/>
  <c r="AZ400" i="3" s="1"/>
  <c r="BL408" i="3"/>
  <c r="BL411" i="3"/>
  <c r="BL413" i="3"/>
  <c r="G416" i="3"/>
  <c r="BL417" i="3"/>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BL219" i="3"/>
  <c r="BA222" i="3"/>
  <c r="AZ222" i="3" s="1"/>
  <c r="BA224" i="3"/>
  <c r="AZ224" i="3" s="1"/>
  <c r="BL225" i="3"/>
  <c r="BL226" i="3"/>
  <c r="BA237" i="3"/>
  <c r="AZ237" i="3" s="1"/>
  <c r="BA240" i="3"/>
  <c r="AZ240" i="3" s="1"/>
  <c r="BA265" i="3"/>
  <c r="AZ265" i="3" s="1"/>
  <c r="BA551" i="3"/>
  <c r="AZ551" i="3" s="1"/>
  <c r="BA550" i="3"/>
  <c r="BL548" i="3"/>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G218" i="3"/>
  <c r="BL220" i="3"/>
  <c r="BL221" i="3"/>
  <c r="G222" i="3"/>
  <c r="BA245" i="3"/>
  <c r="AZ245" i="3" s="1"/>
  <c r="BA257" i="3"/>
  <c r="AZ257" i="3" s="1"/>
  <c r="AZ294"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L122" i="3"/>
  <c r="BA126" i="3"/>
  <c r="BA134" i="3"/>
  <c r="BL139" i="3"/>
  <c r="AZ139" i="3" s="1"/>
  <c r="G140" i="3"/>
  <c r="BL141" i="3"/>
  <c r="BL143" i="3"/>
  <c r="AZ143" i="3" s="1"/>
  <c r="BA148" i="3"/>
  <c r="AZ148" i="3" s="1"/>
  <c r="BL158" i="3"/>
  <c r="BL166" i="3"/>
  <c r="BL34" i="3"/>
  <c r="B13" i="1"/>
  <c r="E13" i="1" s="1"/>
  <c r="K13" i="1"/>
  <c r="M13" i="1" s="1"/>
  <c r="O13" i="1" s="1"/>
  <c r="P13" i="1" s="1"/>
  <c r="BA239" i="3"/>
  <c r="AZ239" i="3" s="1"/>
  <c r="BL239" i="3"/>
  <c r="BA241" i="3"/>
  <c r="BL241" i="3"/>
  <c r="BA244" i="3"/>
  <c r="BL244" i="3"/>
  <c r="BA246" i="3"/>
  <c r="BA252" i="3"/>
  <c r="AZ252" i="3" s="1"/>
  <c r="BA254" i="3"/>
  <c r="AZ254" i="3" s="1"/>
  <c r="BA256" i="3"/>
  <c r="BL256" i="3"/>
  <c r="BA258" i="3"/>
  <c r="BL264" i="3"/>
  <c r="BL266" i="3"/>
  <c r="BA268" i="3"/>
  <c r="BL273" i="3"/>
  <c r="AZ273" i="3" s="1"/>
  <c r="BA277" i="3"/>
  <c r="BL277" i="3"/>
  <c r="BA282" i="3"/>
  <c r="BL282" i="3"/>
  <c r="BA284" i="3"/>
  <c r="AZ284" i="3" s="1"/>
  <c r="BL290" i="3"/>
  <c r="BL291" i="3"/>
  <c r="AZ291" i="3" s="1"/>
  <c r="BL293" i="3"/>
  <c r="BL294" i="3"/>
  <c r="BA297" i="3"/>
  <c r="BL297" i="3"/>
  <c r="BL300" i="3"/>
  <c r="BA302" i="3"/>
  <c r="AZ302" i="3" s="1"/>
  <c r="BA117" i="3"/>
  <c r="BL127" i="3"/>
  <c r="AZ127" i="3" s="1"/>
  <c r="BA130" i="3"/>
  <c r="AZ130" i="3" s="1"/>
  <c r="BL130" i="3"/>
  <c r="BL137" i="3"/>
  <c r="AZ137" i="3" s="1"/>
  <c r="BA146" i="3"/>
  <c r="AZ146" i="3" s="1"/>
  <c r="BL149" i="3"/>
  <c r="AZ149" i="3" s="1"/>
  <c r="BL150" i="3"/>
  <c r="AZ150" i="3" s="1"/>
  <c r="BA152" i="3"/>
  <c r="AZ152" i="3" s="1"/>
  <c r="BA154" i="3"/>
  <c r="AZ154" i="3" s="1"/>
  <c r="BL161" i="3"/>
  <c r="BL169" i="3"/>
  <c r="BA47" i="3"/>
  <c r="AZ47" i="3" s="1"/>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L123" i="3"/>
  <c r="AZ123" i="3" s="1"/>
  <c r="G127" i="3"/>
  <c r="BA129" i="3"/>
  <c r="BL133" i="3"/>
  <c r="AZ133" i="3" s="1"/>
  <c r="BL134" i="3"/>
  <c r="AB21" i="34"/>
  <c r="U21" i="34"/>
  <c r="T28" i="71"/>
  <c r="D28" i="71"/>
  <c r="U28" i="71" s="1"/>
  <c r="C27" i="71"/>
  <c r="C52" i="71"/>
  <c r="D51" i="71"/>
  <c r="V24" i="71"/>
  <c r="E23" i="71"/>
  <c r="E22" i="71" s="1"/>
  <c r="E21" i="71" s="1"/>
  <c r="E20" i="71" s="1"/>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A41" i="3"/>
  <c r="AZ41" i="3" s="1"/>
  <c r="BA42" i="3"/>
  <c r="G46" i="3"/>
  <c r="G47" i="3"/>
  <c r="BL48" i="3"/>
  <c r="BA55" i="3"/>
  <c r="BA56" i="3"/>
  <c r="BA57" i="3"/>
  <c r="AZ57" i="3" s="1"/>
  <c r="BL58" i="3"/>
  <c r="BA60" i="3"/>
  <c r="BA63" i="3"/>
  <c r="AZ63" i="3" s="1"/>
  <c r="BA66" i="3"/>
  <c r="AZ66" i="3" s="1"/>
  <c r="BA71" i="3"/>
  <c r="AZ71" i="3" s="1"/>
  <c r="G76" i="3"/>
  <c r="BA97" i="3"/>
  <c r="G111" i="3"/>
  <c r="D46" i="71"/>
  <c r="C47" i="71"/>
  <c r="D47" i="71" s="1"/>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27" i="3"/>
  <c r="BL30" i="3"/>
  <c r="BL31" i="3"/>
  <c r="BL40" i="3"/>
  <c r="BL41" i="3"/>
  <c r="BL45" i="3"/>
  <c r="BL52" i="3"/>
  <c r="AZ52" i="3" s="1"/>
  <c r="BL53" i="3"/>
  <c r="C32" i="71"/>
  <c r="D31" i="71"/>
  <c r="C64" i="71"/>
  <c r="D63" i="7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BL49" i="3"/>
  <c r="BL50" i="3"/>
  <c r="AZ50" i="3" s="1"/>
  <c r="BL51" i="3"/>
  <c r="BA53" i="3"/>
  <c r="BA54" i="3"/>
  <c r="BL55" i="3"/>
  <c r="G58" i="3"/>
  <c r="BA59" i="3"/>
  <c r="BL61" i="3"/>
  <c r="G64" i="3"/>
  <c r="BA64" i="3"/>
  <c r="AZ64" i="3" s="1"/>
  <c r="G67" i="3"/>
  <c r="BL68" i="3"/>
  <c r="BA69" i="3"/>
  <c r="AZ69" i="3" s="1"/>
  <c r="G72" i="3"/>
  <c r="BL73" i="3"/>
  <c r="BA78" i="3"/>
  <c r="BA79" i="3"/>
  <c r="AZ79" i="3" s="1"/>
  <c r="G82" i="3"/>
  <c r="BL83" i="3"/>
  <c r="G88" i="3"/>
  <c r="BA90" i="3"/>
  <c r="BA94" i="3"/>
  <c r="AZ94" i="3" s="1"/>
  <c r="BL99" i="3"/>
  <c r="AC21" i="33"/>
  <c r="P65" i="71"/>
  <c r="P66" i="71"/>
  <c r="B27" i="71"/>
  <c r="B26" i="71" s="1"/>
  <c r="S28" i="71"/>
  <c r="BA74" i="3"/>
  <c r="AZ74" i="3" s="1"/>
  <c r="BA75" i="3"/>
  <c r="AZ75" i="3" s="1"/>
  <c r="G81" i="3"/>
  <c r="BL85" i="3"/>
  <c r="BA86" i="3"/>
  <c r="AZ86" i="3" s="1"/>
  <c r="BA87" i="3"/>
  <c r="BA91" i="3"/>
  <c r="AZ91" i="3" s="1"/>
  <c r="BL97" i="3"/>
  <c r="BL101" i="3"/>
  <c r="BL102" i="3"/>
  <c r="AZ102" i="3" s="1"/>
  <c r="G105" i="3"/>
  <c r="BL106" i="3"/>
  <c r="BA108" i="3"/>
  <c r="BA110" i="3"/>
  <c r="AZ110" i="3" s="1"/>
  <c r="AC21" i="37"/>
  <c r="W18" i="36"/>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BL59" i="3"/>
  <c r="BL60" i="3"/>
  <c r="BA61" i="3"/>
  <c r="AZ61" i="3" s="1"/>
  <c r="BA68" i="3"/>
  <c r="BA73" i="3"/>
  <c r="BA80" i="3"/>
  <c r="G84" i="3"/>
  <c r="BL84" i="3"/>
  <c r="AZ84" i="3" s="1"/>
  <c r="BA89" i="3"/>
  <c r="G99" i="3"/>
  <c r="G103" i="3"/>
  <c r="BA103" i="3"/>
  <c r="AZ103" i="3" s="1"/>
  <c r="BA104" i="3"/>
  <c r="BA106" i="3"/>
  <c r="BL108" i="3"/>
  <c r="G110" i="3"/>
  <c r="BL111" i="3"/>
  <c r="AZ111" i="3" s="1"/>
  <c r="S18" i="36"/>
  <c r="B77" i="43"/>
  <c r="AA18" i="35"/>
  <c r="O66" i="71"/>
  <c r="AA28" i="71"/>
  <c r="AB27" i="71"/>
  <c r="C87" i="71"/>
  <c r="E75" i="71"/>
  <c r="E74" i="71" s="1"/>
  <c r="AB25" i="71"/>
  <c r="C43" i="71"/>
  <c r="Y25" i="71"/>
  <c r="Z25" i="71" s="1"/>
  <c r="X38" i="71"/>
  <c r="C35" i="71"/>
  <c r="X33" i="71"/>
  <c r="AB37" i="71"/>
  <c r="BA101" i="3"/>
  <c r="AZ101" i="3" s="1"/>
  <c r="G108" i="3"/>
  <c r="BL112" i="3"/>
  <c r="AB26" i="71"/>
  <c r="C83" i="71"/>
  <c r="C79" i="71"/>
  <c r="C71" i="71"/>
  <c r="C39" i="71"/>
  <c r="Y28" i="71"/>
  <c r="Z28" i="71" s="1"/>
  <c r="AA37" i="71"/>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B53" i="78"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M6" i="81"/>
  <c r="F52" i="81"/>
  <c r="D4" i="73"/>
  <c r="F24" i="81"/>
  <c r="C16" i="67"/>
  <c r="C88" i="81"/>
  <c r="F8" i="81"/>
  <c r="D5" i="73"/>
  <c r="F22" i="81"/>
  <c r="D3" i="73"/>
  <c r="C38" i="15"/>
  <c r="F32" i="81"/>
  <c r="L48" i="67"/>
  <c r="C71" i="15"/>
  <c r="F30" i="81"/>
  <c r="M36" i="81"/>
  <c r="F6" i="81"/>
  <c r="C19" i="81"/>
  <c r="M24" i="81"/>
  <c r="F38" i="81"/>
  <c r="F26" i="81"/>
  <c r="M22" i="81"/>
  <c r="M28" i="81"/>
  <c r="F28" i="81"/>
  <c r="L57" i="81"/>
  <c r="F7" i="81"/>
  <c r="L56" i="81"/>
  <c r="F48" i="81"/>
  <c r="D7" i="73"/>
  <c r="F9" i="81"/>
  <c r="M8" i="81"/>
  <c r="M9" i="81"/>
  <c r="L57" i="15"/>
  <c r="M30" i="81"/>
  <c r="M26" i="81"/>
  <c r="D15" i="68"/>
  <c r="M31" i="81"/>
  <c r="C71" i="81"/>
  <c r="AC17" i="39" l="1"/>
  <c r="B59" i="78"/>
  <c r="E59" i="78" s="1"/>
  <c r="K53" i="78" s="1"/>
  <c r="B56" i="78"/>
  <c r="E56" i="78" s="1"/>
  <c r="J53" i="78" s="1"/>
  <c r="E53" i="78"/>
  <c r="I53" i="78" s="1"/>
  <c r="E13" i="6"/>
  <c r="J7" i="36"/>
  <c r="C78" i="71"/>
  <c r="D78" i="71" s="1"/>
  <c r="D79" i="71"/>
  <c r="C36" i="71"/>
  <c r="D35" i="71"/>
  <c r="AZ59" i="3"/>
  <c r="AZ53" i="3"/>
  <c r="C26" i="71"/>
  <c r="D26" i="71" s="1"/>
  <c r="D27" i="71"/>
  <c r="AZ121" i="3"/>
  <c r="AZ274" i="3"/>
  <c r="AZ282" i="3"/>
  <c r="AZ241" i="3"/>
  <c r="AZ126" i="3"/>
  <c r="AZ251" i="3"/>
  <c r="AZ247" i="3"/>
  <c r="S34" i="36"/>
  <c r="AA34" i="36"/>
  <c r="S47" i="34"/>
  <c r="AA47" i="34"/>
  <c r="W46" i="39"/>
  <c r="AC46" i="39"/>
  <c r="AA33" i="40"/>
  <c r="S33" i="40"/>
  <c r="C82" i="71"/>
  <c r="D82" i="71" s="1"/>
  <c r="D83" i="71"/>
  <c r="AZ197" i="3"/>
  <c r="C56" i="71"/>
  <c r="D55" i="71"/>
  <c r="AZ97" i="3"/>
  <c r="AZ27" i="3"/>
  <c r="AZ263" i="3"/>
  <c r="AZ297" i="3"/>
  <c r="AZ256" i="3"/>
  <c r="AZ229" i="3"/>
  <c r="AZ353" i="3"/>
  <c r="AZ210" i="3"/>
  <c r="AZ403" i="3"/>
  <c r="AB24" i="36"/>
  <c r="U24" i="36"/>
  <c r="AA23" i="36"/>
  <c r="S23" i="36"/>
  <c r="U47" i="34"/>
  <c r="AB47" i="34"/>
  <c r="AC39" i="37"/>
  <c r="W39" i="37"/>
  <c r="AA46" i="39"/>
  <c r="S46" i="39"/>
  <c r="AC33" i="40"/>
  <c r="W33" i="40"/>
  <c r="G5" i="3"/>
  <c r="B3" i="3" s="1"/>
  <c r="AT6" i="3" s="1"/>
  <c r="C40" i="71"/>
  <c r="D39" i="71"/>
  <c r="C86" i="71"/>
  <c r="D86" i="71" s="1"/>
  <c r="D87" i="71"/>
  <c r="AZ58" i="3"/>
  <c r="AZ108" i="3"/>
  <c r="T32" i="71"/>
  <c r="D32" i="71"/>
  <c r="AZ55" i="3"/>
  <c r="AZ277" i="3"/>
  <c r="AZ244" i="3"/>
  <c r="AZ249" i="3"/>
  <c r="AZ432" i="3"/>
  <c r="AZ417" i="3"/>
  <c r="AZ550" i="3"/>
  <c r="U12" i="34"/>
  <c r="AB12" i="34"/>
  <c r="AB36" i="35"/>
  <c r="U36" i="35"/>
  <c r="AC24" i="36"/>
  <c r="W24" i="36"/>
  <c r="AC23" i="36"/>
  <c r="W23" i="36"/>
  <c r="AA13" i="34"/>
  <c r="S13" i="34"/>
  <c r="U30" i="21"/>
  <c r="AB30" i="21"/>
  <c r="AB46" i="39"/>
  <c r="U46" i="39"/>
  <c r="U41" i="40"/>
  <c r="AB41" i="40"/>
  <c r="AZ586" i="3"/>
  <c r="D71" i="71"/>
  <c r="C70" i="71"/>
  <c r="D70" i="71" s="1"/>
  <c r="C44" i="71"/>
  <c r="D43" i="71"/>
  <c r="T52" i="71"/>
  <c r="D52" i="71"/>
  <c r="AZ422" i="3"/>
  <c r="AC9" i="34"/>
  <c r="W9" i="34"/>
  <c r="AA39" i="39"/>
  <c r="S39" i="39"/>
  <c r="AZ513" i="3"/>
  <c r="AZ548" i="3"/>
  <c r="AB23" i="36"/>
  <c r="U23" i="36"/>
  <c r="AC13" i="34"/>
  <c r="W13" i="34"/>
  <c r="S30" i="21"/>
  <c r="AA30" i="21"/>
  <c r="W41" i="40"/>
  <c r="AC41" i="40"/>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B52" i="78"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65" i="3"/>
  <c r="E386" i="3"/>
  <c r="E24" i="3"/>
  <c r="E51" i="3"/>
  <c r="E222" i="3"/>
  <c r="E244" i="3"/>
  <c r="E421" i="3"/>
  <c r="E416" i="3"/>
  <c r="E500" i="3"/>
  <c r="E57" i="3"/>
  <c r="E110" i="3"/>
  <c r="E446" i="3"/>
  <c r="E209" i="3"/>
  <c r="E354" i="3"/>
  <c r="E48" i="3"/>
  <c r="E19" i="3"/>
  <c r="E323" i="3"/>
  <c r="E149" i="3"/>
  <c r="E582" i="3"/>
  <c r="E436" i="3"/>
  <c r="E297" i="3"/>
  <c r="E47" i="3"/>
  <c r="E266" i="3"/>
  <c r="E584" i="3"/>
  <c r="E373" i="3"/>
  <c r="E542" i="3"/>
  <c r="E374" i="3"/>
  <c r="E259" i="3"/>
  <c r="E462" i="3"/>
  <c r="E163" i="3"/>
  <c r="Y6" i="3"/>
  <c r="E179" i="3"/>
  <c r="AD6" i="3"/>
  <c r="E488" i="3"/>
  <c r="E195" i="3"/>
  <c r="E87" i="3"/>
  <c r="E167" i="3"/>
  <c r="E413" i="3"/>
  <c r="E187" i="3"/>
  <c r="E98" i="3"/>
  <c r="E307" i="3"/>
  <c r="E127" i="3"/>
  <c r="E122" i="3"/>
  <c r="E461" i="3"/>
  <c r="E136" i="3"/>
  <c r="E306" i="3"/>
  <c r="E157" i="3"/>
  <c r="E224" i="3"/>
  <c r="E532" i="3"/>
  <c r="E529" i="3"/>
  <c r="E474"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16" i="6"/>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F27" i="68"/>
  <c r="AC6" i="3" l="1"/>
  <c r="B55" i="78"/>
  <c r="E55" i="78" s="1"/>
  <c r="B58" i="78"/>
  <c r="E58" i="78" s="1"/>
  <c r="B51" i="78"/>
  <c r="E52" i="78"/>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199" i="3"/>
  <c r="E58" i="40"/>
  <c r="E255" i="3"/>
  <c r="E466" i="3"/>
  <c r="E499" i="3"/>
  <c r="E212" i="3"/>
  <c r="T40" i="71"/>
  <c r="D40" i="71"/>
  <c r="D56" i="71"/>
  <c r="T56" i="71"/>
  <c r="D36" i="71"/>
  <c r="T36" i="71"/>
  <c r="T44" i="71"/>
  <c r="D44" i="71"/>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15"/>
  <c r="F41" i="67"/>
  <c r="M29" i="81"/>
  <c r="M27" i="67"/>
  <c r="AE6" i="1"/>
  <c r="F29" i="81"/>
  <c r="E60" i="78" l="1"/>
  <c r="B54" i="78"/>
  <c r="B61" i="78"/>
  <c r="B57" i="78"/>
  <c r="B62" i="78"/>
  <c r="G60" i="78" s="1"/>
  <c r="E57" i="78"/>
  <c r="K52" i="78"/>
  <c r="K58" i="78" s="1"/>
  <c r="J52" i="78"/>
  <c r="J58" i="78" s="1"/>
  <c r="E54" i="78"/>
  <c r="I36" i="1"/>
  <c r="B36" i="1" s="1"/>
  <c r="I33" i="1"/>
  <c r="B33" i="1" s="1"/>
  <c r="I52" i="78"/>
  <c r="E51" i="78"/>
  <c r="W12" i="40"/>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F29" i="15"/>
  <c r="C17" i="67"/>
  <c r="C14" i="67"/>
  <c r="C39" i="81"/>
  <c r="D16" i="68"/>
  <c r="C36" i="81"/>
  <c r="C39" i="15"/>
  <c r="F81" i="15" l="1"/>
  <c r="C30" i="43"/>
  <c r="I58" i="78"/>
  <c r="C57" i="78"/>
  <c r="F17" i="12"/>
  <c r="C17" i="12" s="1"/>
  <c r="F18" i="82"/>
  <c r="F37" i="81"/>
  <c r="F11" i="80"/>
  <c r="C11" i="80" s="1"/>
  <c r="C42" i="80" s="1"/>
  <c r="F35" i="69"/>
  <c r="F37" i="15"/>
  <c r="F11" i="68"/>
  <c r="F15" i="67"/>
  <c r="C15" i="67" s="1"/>
  <c r="F35" i="11"/>
  <c r="F21" i="82"/>
  <c r="C21" i="82" s="1"/>
  <c r="F25" i="12"/>
  <c r="F19" i="80"/>
  <c r="C19" i="80" s="1"/>
  <c r="C45" i="80" s="1"/>
  <c r="F40" i="81"/>
  <c r="C40" i="81" s="1"/>
  <c r="F19" i="68"/>
  <c r="F40" i="15"/>
  <c r="F18" i="67"/>
  <c r="F38" i="11"/>
  <c r="F38" i="69"/>
  <c r="C38" i="69" s="1"/>
  <c r="C54" i="78"/>
  <c r="C51" i="78"/>
  <c r="E61" i="78"/>
  <c r="C60" i="78"/>
  <c r="L52" i="78"/>
  <c r="L53" i="78" s="1"/>
  <c r="J5" i="81"/>
  <c r="J26" i="81" s="1"/>
  <c r="D24" i="12"/>
  <c r="C24" i="12" s="1"/>
  <c r="C56" i="12" s="1"/>
  <c r="F10" i="80"/>
  <c r="E53" i="34"/>
  <c r="F53" i="34" s="1"/>
  <c r="D25" i="83"/>
  <c r="C25" i="83" s="1"/>
  <c r="C25" i="12"/>
  <c r="C57" i="12" s="1"/>
  <c r="H22" i="6"/>
  <c r="R22" i="6" s="1"/>
  <c r="R9" i="1" s="1"/>
  <c r="D30" i="6"/>
  <c r="C37" i="81"/>
  <c r="C41" i="81"/>
  <c r="H25" i="6"/>
  <c r="R25" i="6" s="1"/>
  <c r="R12" i="1" s="1"/>
  <c r="C18"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H23" i="6"/>
  <c r="R23" i="6" s="1"/>
  <c r="R10" i="1" s="1"/>
  <c r="B2" i="43"/>
  <c r="C31" i="43"/>
  <c r="H20" i="6"/>
  <c r="R20" i="6" s="1"/>
  <c r="R7" i="1" s="1"/>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C61" i="78"/>
  <c r="C62" i="78" s="1"/>
  <c r="M52" i="78"/>
  <c r="M53" i="78" s="1"/>
  <c r="N53" i="78" s="1"/>
  <c r="O53" i="78" s="1"/>
  <c r="L58" i="78"/>
  <c r="E62" i="78"/>
  <c r="I59" i="78" s="1"/>
  <c r="B29" i="1"/>
  <c r="C20" i="12" s="1"/>
  <c r="C54" i="12" s="1"/>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2" i="68"/>
  <c r="C10" i="68"/>
  <c r="C40" i="80" l="1"/>
  <c r="C47" i="80" s="1"/>
  <c r="C53" i="80" s="1"/>
  <c r="C52" i="80" s="1"/>
  <c r="C11" i="68"/>
  <c r="C42" i="68" s="1"/>
  <c r="C43" i="68"/>
  <c r="F61" i="78"/>
  <c r="D62" i="78"/>
  <c r="F57" i="78"/>
  <c r="K59" i="78"/>
  <c r="F51" i="78"/>
  <c r="J59" i="78"/>
  <c r="F54" i="78"/>
  <c r="F60" i="78"/>
  <c r="M58" i="78"/>
  <c r="M59" i="78" s="1"/>
  <c r="L59" i="78"/>
  <c r="N52" i="78"/>
  <c r="O52" i="78" s="1"/>
  <c r="C21" i="83"/>
  <c r="C20" i="83" s="1"/>
  <c r="C14" i="80"/>
  <c r="C13" i="80" s="1"/>
  <c r="C9" i="80" s="1"/>
  <c r="C21" i="80" s="1"/>
  <c r="C28" i="80" s="1"/>
  <c r="C27" i="80" s="1"/>
  <c r="C14" i="68"/>
  <c r="C13" i="68" s="1"/>
  <c r="C51" i="12"/>
  <c r="C41" i="68"/>
  <c r="C20" i="68"/>
  <c r="C46" i="68" s="1"/>
  <c r="C19" i="68"/>
  <c r="C45" i="68" s="1"/>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N58" i="78"/>
  <c r="N59" i="78"/>
  <c r="F62" i="78"/>
  <c r="C30" i="83"/>
  <c r="C29" i="83"/>
  <c r="C25" i="80"/>
  <c r="C23"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67"/>
  <c r="F35" i="67"/>
  <c r="M21" i="15"/>
  <c r="F21" i="15"/>
  <c r="F21" i="81"/>
  <c r="C56" i="80" l="1"/>
  <c r="C57" i="80" s="1"/>
  <c r="C31" i="80" s="1"/>
  <c r="C5" i="80"/>
  <c r="C31" i="83"/>
  <c r="C32" i="83" s="1"/>
  <c r="C33" i="83" s="1"/>
  <c r="C34" i="83" s="1"/>
  <c r="B2" i="83" s="1"/>
  <c r="B5" i="83" s="1"/>
  <c r="F23" i="81"/>
  <c r="J20" i="81"/>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32" i="80"/>
  <c r="C33" i="80" s="1"/>
  <c r="D3" i="80" s="1"/>
  <c r="B2" i="80" s="1"/>
  <c r="B3" i="83"/>
  <c r="B4" i="83"/>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5"/>
  <c r="L60" i="81"/>
  <c r="F2" i="37"/>
  <c r="F2" i="34"/>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G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28" i="15" l="1"/>
  <c r="C31" i="15" s="1"/>
  <c r="C55" i="15" s="1"/>
  <c r="J32" i="15"/>
  <c r="L66" i="15"/>
  <c r="L69" i="15" s="1"/>
  <c r="Q80" i="15"/>
  <c r="Q79" i="15" s="1"/>
  <c r="C92" i="15"/>
  <c r="C91" i="15" s="1"/>
  <c r="F33" i="15"/>
  <c r="B7" i="70"/>
  <c r="F67" i="39"/>
  <c r="B2" i="39" s="1"/>
  <c r="C7" i="68" s="1"/>
  <c r="C8" i="68" s="1"/>
  <c r="C6" i="68" s="1"/>
  <c r="D6" i="71"/>
  <c r="C5" i="71"/>
  <c r="D5" i="71" s="1"/>
  <c r="M24" i="43" s="1"/>
  <c r="C44" i="40"/>
  <c r="C45" i="40"/>
  <c r="E49" i="40"/>
  <c r="F49" i="40" s="1"/>
  <c r="E48" i="40"/>
  <c r="F48" i="40" s="1"/>
  <c r="I49" i="40"/>
  <c r="J49" i="40" s="1"/>
  <c r="L60" i="15"/>
  <c r="C32" i="15" l="1"/>
  <c r="Q65" i="15"/>
  <c r="Q56" i="15"/>
  <c r="Q62" i="15" s="1"/>
  <c r="Q74" i="15"/>
  <c r="Q77" i="15"/>
  <c r="C24" i="68"/>
  <c r="C21" i="68"/>
  <c r="C25" i="68" s="1"/>
  <c r="B3" i="39"/>
  <c r="B4" i="39"/>
  <c r="B5" i="39"/>
  <c r="L55" i="15"/>
  <c r="B2" i="15" s="1"/>
  <c r="Q75" i="15"/>
  <c r="Q66" i="15"/>
  <c r="B60" i="40"/>
  <c r="F60" i="40" s="1"/>
  <c r="B56" i="40"/>
  <c r="F56" i="40" s="1"/>
  <c r="B55" i="40"/>
  <c r="F55" i="40" s="1"/>
  <c r="B61" i="40"/>
  <c r="F61" i="40" s="1"/>
  <c r="B54" i="40"/>
  <c r="F54" i="40" s="1"/>
  <c r="B58" i="40"/>
  <c r="F58" i="40" s="1"/>
  <c r="B62" i="40"/>
  <c r="F62" i="40" s="1"/>
  <c r="B59" i="40"/>
  <c r="F59" i="40" s="1"/>
  <c r="B53" i="40"/>
  <c r="F53" i="40" s="1"/>
  <c r="F63" i="40"/>
  <c r="B2" i="40" s="1"/>
  <c r="D19" i="9"/>
  <c r="Q71" i="15" l="1"/>
  <c r="Q86" i="15"/>
  <c r="C23" i="68"/>
  <c r="C28" i="68"/>
  <c r="D102" i="9"/>
  <c r="B3" i="40"/>
  <c r="B4" i="40"/>
  <c r="B5" i="40"/>
  <c r="C95" i="15"/>
  <c r="C94" i="15" s="1"/>
  <c r="AO6" i="1"/>
  <c r="AO8" i="1"/>
  <c r="AO9" i="1"/>
  <c r="C5" i="68" l="1"/>
  <c r="C32" i="68" s="1"/>
  <c r="C27" i="68"/>
  <c r="B9" i="70"/>
  <c r="B8" i="70"/>
  <c r="B6" i="70"/>
  <c r="B3" i="15"/>
  <c r="D20" i="9"/>
  <c r="C64" i="68" l="1"/>
  <c r="C63" i="68" s="1"/>
  <c r="C33" i="68"/>
  <c r="B2" i="68" s="1"/>
  <c r="D103" i="9"/>
  <c r="B2" i="70"/>
  <c r="B3" i="70" s="1"/>
  <c r="C19" i="9"/>
  <c r="B3" i="68"/>
  <c r="D35" i="9" s="1"/>
  <c r="D34" i="9"/>
  <c r="C102" i="9" l="1"/>
  <c r="G19" i="9"/>
  <c r="D22" i="9"/>
  <c r="C20" i="9"/>
  <c r="J20" i="9" l="1"/>
  <c r="D14" i="74"/>
  <c r="G14" i="74" s="1"/>
  <c r="B6" i="74" s="1"/>
  <c r="G22" i="9"/>
  <c r="C103" i="9"/>
  <c r="G20" i="9"/>
  <c r="C32" i="9" s="1"/>
  <c r="N117" i="9" s="1"/>
  <c r="H118" i="9" s="1"/>
  <c r="I4" i="52" s="1"/>
  <c r="C6" i="74" l="1"/>
  <c r="D6" i="74"/>
  <c r="F14" i="74"/>
  <c r="B5" i="74"/>
  <c r="E14" i="74"/>
  <c r="N119" i="9"/>
  <c r="I118" i="9" s="1"/>
  <c r="H119" i="9" s="1"/>
  <c r="H5" i="52" s="1"/>
  <c r="C35" i="9"/>
  <c r="C34" i="9" s="1"/>
  <c r="L119" i="9" s="1"/>
  <c r="C105" i="9"/>
  <c r="H102" i="9"/>
  <c r="D7" i="53" s="1"/>
  <c r="B21" i="72" s="1"/>
  <c r="D5" i="74" l="1"/>
  <c r="C5" i="74"/>
  <c r="H101" i="9"/>
  <c r="D45" i="9" s="1"/>
  <c r="H65" i="9" s="1"/>
  <c r="H64" i="9" s="1"/>
  <c r="H63" i="9" s="1"/>
  <c r="C104" i="9"/>
  <c r="H4" i="52"/>
  <c r="L117" i="9"/>
  <c r="E118" i="9" s="1"/>
  <c r="M119" i="9"/>
  <c r="M117" i="9"/>
  <c r="M48" i="9" l="1"/>
  <c r="H107" i="9"/>
  <c r="H108" i="9" s="1"/>
  <c r="D15" i="53" s="1"/>
  <c r="B31" i="72" s="1"/>
  <c r="D5" i="53"/>
  <c r="D6" i="53" s="1"/>
  <c r="B22" i="72" s="1"/>
  <c r="G118" i="9"/>
  <c r="F118" i="9" s="1"/>
  <c r="L4" i="84" s="1"/>
  <c r="D119" i="9"/>
  <c r="D5" i="52" s="1"/>
  <c r="B49" i="72" s="1"/>
  <c r="D4" i="52"/>
  <c r="B47" i="72" s="1"/>
  <c r="D55" i="9"/>
  <c r="M53" i="9" s="1"/>
  <c r="D52" i="9"/>
  <c r="C64" i="9"/>
  <c r="C63" i="9" s="1"/>
  <c r="C67" i="9" s="1"/>
  <c r="C68" i="9" s="1"/>
  <c r="M49" i="9"/>
  <c r="L66" i="9" s="1"/>
  <c r="M66" i="9" s="1"/>
  <c r="D53" i="9"/>
  <c r="D54" i="9"/>
  <c r="D13" i="53" l="1"/>
  <c r="D14" i="53" s="1"/>
  <c r="B32" i="72" s="1"/>
  <c r="H122" i="9"/>
  <c r="H123" i="9" s="1"/>
  <c r="D9" i="52" s="1"/>
  <c r="B20" i="72"/>
  <c r="G4" i="52"/>
  <c r="B52" i="72" s="1"/>
  <c r="F4" i="52"/>
  <c r="B51" i="72" s="1"/>
  <c r="D118" i="9"/>
  <c r="E4" i="52" s="1"/>
  <c r="B48" i="72" s="1"/>
  <c r="J26" i="86"/>
  <c r="K26" i="86" s="1"/>
  <c r="J25" i="86"/>
  <c r="K25" i="86" s="1"/>
  <c r="J24" i="86"/>
  <c r="K24" i="86" s="1"/>
  <c r="J23" i="86"/>
  <c r="L6" i="84"/>
  <c r="L5" i="84"/>
  <c r="L3" i="84"/>
  <c r="F119" i="9"/>
  <c r="M4" i="84"/>
  <c r="D8" i="52"/>
  <c r="D59" i="9"/>
  <c r="M55" i="9" s="1"/>
  <c r="B30" i="72"/>
  <c r="L68" i="9"/>
  <c r="M68" i="9" s="1"/>
  <c r="L67" i="9"/>
  <c r="M67" i="9" s="1"/>
  <c r="L63" i="9"/>
  <c r="M63" i="9" s="1"/>
  <c r="L65" i="9"/>
  <c r="M65" i="9" s="1"/>
  <c r="L64" i="9"/>
  <c r="M64" i="9" s="1"/>
  <c r="C72" i="9"/>
  <c r="C78" i="9"/>
  <c r="C73" i="9" s="1"/>
  <c r="C93" i="9"/>
  <c r="C86" i="9" s="1"/>
  <c r="C85" i="9"/>
  <c r="J27" i="86" l="1"/>
  <c r="K27" i="86" s="1"/>
  <c r="K23" i="86"/>
  <c r="M6" i="84"/>
  <c r="O4" i="84"/>
  <c r="F5" i="52"/>
  <c r="B53" i="72" s="1"/>
  <c r="M5" i="84"/>
  <c r="M69" i="9"/>
  <c r="N69" i="9" s="1"/>
  <c r="C95" i="9"/>
  <c r="D56" i="9"/>
  <c r="C79" i="9"/>
  <c r="M3" i="84"/>
  <c r="O5" i="84" l="1"/>
  <c r="O3" i="84"/>
  <c r="L7" i="84"/>
  <c r="C96" i="9"/>
  <c r="E96" i="9" s="1"/>
  <c r="E97" i="9" s="1"/>
  <c r="C80" i="9"/>
  <c r="E80" i="9" s="1"/>
  <c r="E81" i="9" s="1"/>
  <c r="M54" i="9"/>
  <c r="N57" i="9" s="1"/>
  <c r="C81" i="9" l="1"/>
  <c r="C97" i="9"/>
  <c r="D58" i="9" s="1"/>
  <c r="N59" i="9"/>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<sst xmlns="http://schemas.openxmlformats.org/spreadsheetml/2006/main" count="26058" uniqueCount="9925">
  <si>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</si>
  <si>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</si>
  <si>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</si>
  <si>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</si>
  <si>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</si>
  <si>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</si>
  <si>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</si>
  <si>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</si>
  <si>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</si>
  <si>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</si>
  <si>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</si>
  <si>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</si>
  <si>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</si>
  <si>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</si>
  <si>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</si>
  <si>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</si>
  <si>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</si>
  <si>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</si>
  <si>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</si>
  <si>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</si>
  <si>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</si>
  <si>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</si>
  <si>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</si>
  <si>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</si>
  <si>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</si>
  <si>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</si>
  <si>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</si>
  <si>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</si>
  <si>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</si>
  <si>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</si>
  <si>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</si>
  <si>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</si>
  <si>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</si>
  <si>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</si>
  <si>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</si>
  <si>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</si>
  <si>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</si>
  <si>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</si>
  <si>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</si>
  <si>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</si>
  <si>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</si>
  <si>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</si>
  <si>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</si>
  <si>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</si>
  <si>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</si>
  <si>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</si>
  <si>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</si>
  <si>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</si>
  <si>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</si>
  <si>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</si>
  <si>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</si>
  <si>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</si>
  <si>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</si>
  <si>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</si>
  <si>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</si>
  <si>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</si>
  <si>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</si>
  <si>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</si>
  <si>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</si>
  <si>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</si>
  <si>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</si>
  <si>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</si>
  <si>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</si>
  <si>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</si>
  <si>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</si>
  <si>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</si>
  <si>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</si>
  <si>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</si>
  <si>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</si>
  <si>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</si>
  <si>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</si>
  <si>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</si>
  <si>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</si>
  <si>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</si>
  <si>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</si>
  <si>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</si>
  <si>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</si>
  <si>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</si>
  <si>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</si>
  <si>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</si>
  <si>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</si>
  <si>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</si>
  <si>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</si>
  <si>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</si>
  <si>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</si>
  <si>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</si>
  <si>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</si>
  <si>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</si>
  <si>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</si>
  <si>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</si>
  <si>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</si>
  <si>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</si>
  <si>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</si>
  <si>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</si>
  <si>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</si>
  <si>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</si>
  <si>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</si>
  <si>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</si>
  <si>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</si>
  <si>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</si>
  <si>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</si>
  <si>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</si>
  <si>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</si>
  <si>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</si>
  <si>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</si>
  <si>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</si>
  <si>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</si>
  <si>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</si>
  <si>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</si>
  <si>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</si>
  <si>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</si>
  <si>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</si>
  <si>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</si>
  <si>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</si>
  <si>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</si>
  <si>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</si>
  <si>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</si>
  <si>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</si>
  <si>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</si>
  <si>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</si>
  <si>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</si>
  <si>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</si>
  <si>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</si>
  <si>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</si>
  <si>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</si>
  <si>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</si>
  <si>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</si>
  <si>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</si>
  <si>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</si>
  <si>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</si>
  <si>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</si>
  <si>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</si>
  <si>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</si>
  <si>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</si>
  <si>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</si>
  <si>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</si>
  <si>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</si>
  <si>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</si>
  <si>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</si>
  <si>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</si>
  <si>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</si>
  <si>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</si>
  <si>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</si>
  <si>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</si>
  <si>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</si>
  <si>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</si>
  <si>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</si>
  <si>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</si>
  <si>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</si>
  <si>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</si>
  <si>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</si>
  <si>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</si>
  <si>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</si>
  <si>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</si>
  <si>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</si>
  <si>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</si>
  <si>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</si>
  <si>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</si>
  <si>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</si>
  <si>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</si>
  <si>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</si>
  <si>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</si>
  <si>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</si>
  <si>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</si>
  <si>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</si>
  <si>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</si>
  <si>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</si>
  <si>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</si>
  <si>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</si>
  <si>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</si>
  <si>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</si>
  <si>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</si>
  <si>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</si>
  <si>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</si>
  <si>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</si>
  <si>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</si>
  <si>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</si>
  <si>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</si>
  <si>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</si>
  <si>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</si>
  <si>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</si>
  <si>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</si>
  <si>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</si>
  <si>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</si>
  <si>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</si>
  <si>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</si>
  <si>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</si>
  <si>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</si>
  <si>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</si>
  <si>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</si>
  <si>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</si>
  <si>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</si>
  <si>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</si>
  <si>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</si>
  <si>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</si>
  <si>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</si>
  <si>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</si>
  <si>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</si>
  <si>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</si>
  <si>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</si>
  <si>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</si>
  <si>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</si>
  <si>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</si>
  <si>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</si>
  <si>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</si>
  <si>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</si>
  <si>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</si>
  <si>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</si>
  <si>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</si>
  <si>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</si>
  <si>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</si>
  <si>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</si>
  <si>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</si>
  <si>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</si>
  <si>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</si>
  <si>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</si>
  <si>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</si>
  <si>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</si>
  <si>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</si>
  <si>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</si>
  <si>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</si>
  <si>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</si>
  <si>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</si>
  <si>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</si>
  <si>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</si>
  <si>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</si>
  <si>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</si>
  <si>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</si>
  <si>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</si>
  <si>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</si>
  <si>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</si>
  <si>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</si>
  <si>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</si>
  <si>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</si>
  <si>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</si>
  <si>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</si>
  <si>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</si>
  <si>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</si>
  <si>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</si>
  <si>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</si>
  <si>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</si>
  <si>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</si>
  <si>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</si>
  <si>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</si>
  <si>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</si>
  <si>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</si>
  <si>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</si>
  <si>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</si>
  <si>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</si>
  <si>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</si>
  <si>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</si>
  <si>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</si>
  <si>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</si>
  <si>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</si>
  <si>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</si>
  <si>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</si>
  <si>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</si>
  <si>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</si>
  <si>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</si>
  <si>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</si>
  <si>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</si>
  <si>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</si>
  <si>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</si>
  <si>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</si>
  <si>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</si>
  <si>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</si>
  <si>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</si>
  <si>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</si>
  <si>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</si>
  <si>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</si>
  <si>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</si>
  <si>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</si>
  <si>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</si>
  <si>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</si>
  <si>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</si>
  <si>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</si>
  <si>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</si>
  <si>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</si>
  <si>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</si>
  <si>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</si>
  <si>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</si>
  <si>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</si>
  <si>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</si>
  <si>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</si>
  <si>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</si>
  <si>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</si>
  <si>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</si>
  <si>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</si>
  <si>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</si>
  <si>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</si>
  <si>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</si>
  <si>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</si>
  <si>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</si>
  <si>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</si>
  <si>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</si>
  <si>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</si>
  <si>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</si>
  <si>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</si>
  <si>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</si>
  <si>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</si>
  <si>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</si>
  <si>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</si>
  <si>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</si>
  <si>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</si>
  <si>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</si>
  <si>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</si>
  <si>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</si>
  <si>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</si>
  <si>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</si>
  <si>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</si>
  <si>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</si>
  <si>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</si>
  <si>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</si>
  <si>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</si>
  <si>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</si>
  <si>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</si>
  <si>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</si>
  <si>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</si>
  <si>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</si>
  <si>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</si>
  <si>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</si>
  <si>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</si>
  <si>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</si>
  <si>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</si>
  <si>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</si>
  <si>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</si>
  <si>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</si>
  <si>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</si>
  <si>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</si>
  <si>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</si>
  <si>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</si>
  <si>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</si>
  <si>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</si>
  <si>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</si>
  <si>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</si>
  <si>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</si>
  <si>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</si>
  <si>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</si>
  <si>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</si>
  <si>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</si>
  <si>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</si>
  <si>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</si>
  <si>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</si>
  <si>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</si>
  <si>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</si>
  <si>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</si>
  <si>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</si>
  <si>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</si>
  <si>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</si>
  <si>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</si>
  <si>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</si>
  <si>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</si>
  <si>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</si>
  <si>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</si>
  <si>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</si>
  <si>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</si>
  <si>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</si>
  <si>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</si>
  <si>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</si>
  <si>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</si>
  <si>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</si>
  <si>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</si>
  <si>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</si>
  <si>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</si>
  <si>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</si>
  <si>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</si>
  <si>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</si>
  <si>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</si>
  <si>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</si>
  <si>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</si>
  <si>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</si>
  <si>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</si>
  <si>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</si>
  <si>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</si>
  <si>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</si>
  <si>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</si>
  <si>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</si>
  <si>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</si>
  <si>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</si>
  <si>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</si>
  <si>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</si>
  <si>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</si>
  <si>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</si>
  <si>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</si>
  <si>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</si>
  <si>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</si>
  <si>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</si>
  <si>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</si>
  <si>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</si>
  <si>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</si>
  <si>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</si>
  <si>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</si>
  <si>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</si>
  <si>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</si>
  <si>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</si>
  <si>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</si>
  <si>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</si>
  <si>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</si>
  <si>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</si>
  <si>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</si>
  <si>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</si>
  <si>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</si>
  <si>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</si>
  <si>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</si>
  <si>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</si>
  <si>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</si>
  <si>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</si>
  <si>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</si>
  <si>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</si>
  <si>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</si>
  <si>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</si>
  <si>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</si>
  <si>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</si>
  <si>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</si>
  <si>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</si>
  <si>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</si>
  <si>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</si>
  <si>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</si>
  <si>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</si>
  <si>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</si>
  <si>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</si>
  <si>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</si>
  <si>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</si>
  <si>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</si>
  <si>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</si>
  <si>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</si>
  <si>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</si>
  <si>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</si>
  <si>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</si>
  <si>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</si>
  <si>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</si>
  <si>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</si>
  <si>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</si>
  <si>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</si>
  <si>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</si>
  <si>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</si>
  <si>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</si>
  <si>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</si>
  <si>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</si>
  <si>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</si>
  <si>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</si>
  <si>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</si>
  <si>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</si>
  <si>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</si>
  <si>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</si>
  <si>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</si>
  <si>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</si>
  <si>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</si>
  <si>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</si>
  <si>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</si>
  <si>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</si>
  <si>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</si>
  <si>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</si>
  <si>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</si>
  <si>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</si>
  <si>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</si>
  <si>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</si>
  <si>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</si>
  <si>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</si>
  <si>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</si>
  <si>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</si>
  <si>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</si>
  <si>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</si>
  <si>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</si>
  <si>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</si>
  <si>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</si>
  <si>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</si>
  <si>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</si>
  <si>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</si>
  <si>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</si>
  <si>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</si>
  <si>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</si>
  <si>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</si>
  <si>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</si>
  <si>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</si>
  <si>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</si>
  <si>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</si>
  <si>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</si>
  <si>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</si>
  <si>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</si>
  <si>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</si>
  <si>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</si>
  <si>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</si>
  <si>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</si>
  <si>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</si>
  <si>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</si>
  <si>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</si>
  <si>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</si>
  <si>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</si>
  <si>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</si>
  <si>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</si>
  <si>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</si>
  <si>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</si>
  <si>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</si>
  <si>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</si>
  <si>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</si>
  <si>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</si>
  <si>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</si>
  <si>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</si>
  <si>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</si>
  <si>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</si>
  <si>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</si>
  <si>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</si>
  <si>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</si>
  <si>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</si>
  <si>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</si>
  <si>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</si>
  <si>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</si>
  <si>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</si>
  <si>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</si>
  <si>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</si>
  <si>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</si>
  <si>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</si>
  <si>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</si>
  <si>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</si>
  <si>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</si>
  <si>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</si>
  <si>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</si>
  <si>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</si>
  <si>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</si>
  <si>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</si>
  <si>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</si>
  <si>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</si>
  <si>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</si>
  <si>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</si>
  <si>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</si>
  <si>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</si>
  <si>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</si>
  <si>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</si>
  <si>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</si>
  <si>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</si>
  <si>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</si>
  <si>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</si>
  <si>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</si>
  <si>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</si>
  <si>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</si>
  <si>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</si>
  <si>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</si>
  <si>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</si>
  <si>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</si>
  <si>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</si>
  <si>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</si>
  <si>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</si>
  <si>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</si>
  <si>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</si>
  <si>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</si>
  <si>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</si>
  <si>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</si>
  <si>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</si>
  <si>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</si>
  <si>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</si>
  <si>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</si>
  <si>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</si>
  <si>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</si>
  <si>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</si>
  <si>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</si>
  <si>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</si>
  <si>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</si>
  <si>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</si>
  <si>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</si>
  <si>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</si>
  <si>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</si>
  <si>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</si>
  <si>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</si>
  <si>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</si>
  <si>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</si>
  <si>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</si>
  <si>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</si>
  <si>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</si>
  <si>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</si>
  <si>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</si>
  <si>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</si>
  <si>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</si>
  <si>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</si>
  <si>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</si>
  <si>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</si>
  <si>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</si>
  <si>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</si>
  <si>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</si>
  <si>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</si>
  <si>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</si>
  <si>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</si>
  <si>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</si>
  <si>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</si>
  <si>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</si>
  <si>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</si>
  <si>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</si>
  <si>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</si>
  <si>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</si>
  <si>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</si>
  <si>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</si>
  <si>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</si>
  <si>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</si>
  <si>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</si>
  <si>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</si>
  <si>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</si>
  <si>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</si>
  <si>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</si>
  <si>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</si>
  <si>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</si>
  <si>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</si>
  <si>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</si>
  <si>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</si>
  <si>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</si>
  <si>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</si>
  <si>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</si>
  <si>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</si>
  <si>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</si>
  <si>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</si>
  <si>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</si>
  <si>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</si>
  <si>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</si>
  <si>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</si>
  <si>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</si>
  <si>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</si>
  <si>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</si>
  <si>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</si>
  <si>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</si>
  <si>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</si>
  <si>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</si>
  <si>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</si>
  <si>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</si>
  <si>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</si>
  <si>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</si>
  <si>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</si>
  <si>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</si>
  <si>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</si>
  <si>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</si>
  <si>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</si>
  <si>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</si>
  <si>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</si>
  <si>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</si>
  <si>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</si>
  <si>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</si>
  <si>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</si>
  <si>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</si>
  <si>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</si>
  <si>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</si>
  <si>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</si>
  <si>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</si>
  <si>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</si>
  <si>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</si>
  <si>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</si>
  <si>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</si>
  <si>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</si>
  <si>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</si>
  <si>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</si>
  <si>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</si>
  <si>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</si>
  <si>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</si>
  <si>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</si>
  <si>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</si>
  <si>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</si>
  <si>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</si>
  <si>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</si>
  <si>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</si>
  <si>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</si>
  <si>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</si>
  <si>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</si>
  <si>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</si>
  <si>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</si>
  <si>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</si>
  <si>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</si>
  <si>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</si>
  <si>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</si>
  <si>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</si>
  <si>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</si>
  <si>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</si>
  <si>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</si>
  <si>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</si>
  <si>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</si>
  <si>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</si>
  <si>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</si>
  <si>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</si>
  <si>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</si>
  <si>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</si>
  <si>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</si>
  <si>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</si>
  <si>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</si>
  <si>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</si>
  <si>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</si>
  <si>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</si>
  <si>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</si>
  <si>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</si>
  <si>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</si>
  <si>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</si>
  <si>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</si>
  <si>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</si>
  <si>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</si>
  <si>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</si>
  <si>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</si>
  <si>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</si>
  <si>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</si>
  <si>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</si>
  <si>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</si>
  <si>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</si>
  <si>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</si>
  <si>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</si>
  <si>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</si>
  <si>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</si>
  <si>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</si>
  <si>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</si>
  <si>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</si>
  <si>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</si>
  <si>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</si>
  <si>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</si>
  <si>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</si>
  <si>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</si>
  <si>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</si>
  <si>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</si>
  <si>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</si>
  <si>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</si>
  <si>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</si>
  <si>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</si>
  <si>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</si>
  <si>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</si>
  <si>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</si>
  <si>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</si>
  <si>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</si>
  <si>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</si>
  <si>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</si>
  <si>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</si>
  <si>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</si>
  <si>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</si>
  <si>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</si>
  <si>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</si>
  <si>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</si>
  <si>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</si>
  <si>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</si>
  <si>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</si>
  <si>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</si>
  <si>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</si>
  <si>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</si>
  <si>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</si>
  <si>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</si>
  <si>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</si>
  <si>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</si>
  <si>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</si>
  <si>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</si>
  <si>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</si>
  <si>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</si>
  <si>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</si>
  <si>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</si>
  <si>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</si>
  <si>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</si>
  <si>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</si>
  <si>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</si>
  <si>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</si>
  <si>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</si>
  <si>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</si>
  <si>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</si>
  <si>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</si>
  <si>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</si>
  <si>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</si>
  <si>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</si>
  <si>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</si>
  <si>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</si>
  <si>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</si>
  <si>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</si>
  <si>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</si>
  <si>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</si>
  <si>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</si>
  <si>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</si>
  <si>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</si>
  <si>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</si>
  <si>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</si>
  <si>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</si>
  <si>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</si>
  <si>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</si>
  <si>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</si>
  <si>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</si>
  <si>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</si>
  <si>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</si>
  <si>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</si>
  <si>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</si>
  <si>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</si>
  <si>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</si>
  <si>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</si>
  <si>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</si>
  <si>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</si>
  <si>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</si>
  <si>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</si>
  <si>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</si>
  <si>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</si>
  <si>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</si>
  <si>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</si>
  <si>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</si>
  <si>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</si>
  <si>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</si>
  <si>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</si>
  <si>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</si>
  <si>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</si>
  <si>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</si>
  <si>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</si>
  <si>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</si>
  <si>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</si>
  <si>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</si>
  <si>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</si>
  <si>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</si>
  <si>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</si>
  <si>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</si>
  <si>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</si>
  <si>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</si>
  <si>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</si>
  <si>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</si>
  <si>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</si>
  <si>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</si>
  <si>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</si>
  <si>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</si>
  <si>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</si>
  <si>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</si>
  <si>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</si>
  <si>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</si>
  <si>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</si>
  <si>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</si>
  <si>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</si>
  <si>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</si>
  <si>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</si>
  <si>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</si>
  <si>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</si>
  <si>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</si>
  <si>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</si>
  <si>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</si>
  <si>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</si>
  <si>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</si>
  <si>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</si>
  <si>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</si>
  <si>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</si>
  <si>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</si>
  <si>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</si>
  <si>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</si>
  <si>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</si>
  <si>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</si>
  <si>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</si>
  <si>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</si>
  <si>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</si>
  <si>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</si>
  <si>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</si>
  <si>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</si>
  <si>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</si>
  <si>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</si>
  <si>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</si>
  <si>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</si>
  <si>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</si>
  <si>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</si>
  <si>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</si>
  <si>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</si>
  <si>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</si>
  <si>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</si>
  <si>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</si>
  <si>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</si>
  <si>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</si>
  <si>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</si>
  <si>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</si>
  <si>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</si>
  <si>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</si>
  <si>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</si>
  <si>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</si>
  <si>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</si>
  <si>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</si>
  <si>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</si>
  <si>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</si>
  <si>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</si>
  <si>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</si>
  <si>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</si>
  <si>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</si>
  <si>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</si>
  <si>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</si>
  <si>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</si>
  <si>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</si>
  <si>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</si>
  <si>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</si>
  <si>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</si>
  <si>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</si>
  <si>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</si>
  <si>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</si>
  <si>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</si>
  <si>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</si>
  <si>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</si>
  <si>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</si>
  <si>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</si>
  <si>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</si>
  <si>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</si>
  <si>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</si>
  <si>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</si>
  <si>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</si>
  <si>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</si>
  <si>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</si>
  <si>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</si>
  <si>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</si>
  <si>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</si>
  <si>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</si>
  <si>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</si>
  <si>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</si>
  <si>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</si>
  <si>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</si>
  <si>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</si>
  <si>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</si>
  <si>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</si>
  <si>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</si>
  <si>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</si>
  <si>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</si>
  <si>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</si>
  <si>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</si>
  <si>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</si>
  <si>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</si>
  <si>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</si>
  <si>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</si>
  <si>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</si>
  <si>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</si>
  <si>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</si>
  <si>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</si>
  <si>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</si>
  <si>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</si>
  <si>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</si>
  <si>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</si>
  <si>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</si>
  <si>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</si>
  <si>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</si>
  <si>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</si>
  <si>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</si>
  <si>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</si>
  <si>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</si>
  <si>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</si>
  <si>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</si>
  <si>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</si>
  <si>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</si>
  <si>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</si>
  <si>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</si>
  <si>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</si>
  <si>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</si>
  <si>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</si>
  <si>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</si>
  <si>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</si>
  <si>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</si>
  <si>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</si>
  <si>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</si>
  <si>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</si>
  <si>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</si>
  <si>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</si>
  <si>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</si>
  <si>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</si>
  <si>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</si>
  <si>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</si>
  <si>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</si>
  <si>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</si>
  <si>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</si>
  <si>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</si>
  <si>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</si>
  <si>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</si>
  <si>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</si>
  <si>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</si>
  <si>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</si>
  <si>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</si>
  <si>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</si>
  <si>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</si>
  <si>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</si>
  <si>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</si>
  <si>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</si>
  <si>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</si>
  <si>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</si>
  <si>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</si>
  <si>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</si>
  <si>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</si>
  <si>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</si>
  <si>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</si>
  <si>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</si>
  <si>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</si>
  <si>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</si>
  <si>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</si>
  <si>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</si>
  <si>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</si>
  <si>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</si>
  <si>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</si>
  <si>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</si>
  <si>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</si>
  <si>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</si>
  <si>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</si>
  <si>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</si>
  <si>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</si>
  <si>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</si>
  <si>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</si>
  <si>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</si>
  <si>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</si>
  <si>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</si>
  <si>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</si>
  <si>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</si>
  <si>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</si>
  <si>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</si>
  <si>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</si>
  <si>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</si>
  <si>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</si>
  <si>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</si>
  <si>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</si>
  <si>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</si>
  <si>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</si>
  <si>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</si>
  <si>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</si>
  <si>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</si>
  <si>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</si>
  <si>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</si>
  <si>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</si>
  <si>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</si>
  <si>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</si>
  <si>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</si>
  <si>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</si>
  <si>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</si>
  <si>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</si>
  <si>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</si>
  <si>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</si>
  <si>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</si>
  <si>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</si>
  <si>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</si>
  <si>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</si>
  <si>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</si>
  <si>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</si>
  <si>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</si>
  <si>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</si>
  <si>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</si>
  <si>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</si>
  <si>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</si>
  <si>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</si>
  <si>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</si>
  <si>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</si>
  <si>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</si>
  <si>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</si>
  <si>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</si>
  <si>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</si>
  <si>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</si>
  <si>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</si>
  <si>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</si>
  <si>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</si>
  <si>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</si>
  <si>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</si>
  <si>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</si>
  <si>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</si>
  <si>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</si>
  <si>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</si>
  <si>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</si>
  <si>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</si>
  <si>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</si>
  <si>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</si>
  <si>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</si>
  <si>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</si>
  <si>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</si>
  <si>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</si>
  <si>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</si>
  <si>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</si>
  <si>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</si>
  <si>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</si>
  <si>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</si>
  <si>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</si>
  <si>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</si>
  <si>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</si>
  <si>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</si>
  <si>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</si>
  <si>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</si>
  <si>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</si>
  <si>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</si>
  <si>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</si>
  <si>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</si>
  <si>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</si>
  <si>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</si>
  <si>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</si>
  <si>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</si>
  <si>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</si>
  <si>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</si>
  <si>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</si>
  <si>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</si>
  <si>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</si>
  <si>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</si>
  <si>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</si>
  <si>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</si>
  <si>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</si>
  <si>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</si>
  <si>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</si>
  <si>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</si>
  <si>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</si>
  <si>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</si>
  <si>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</si>
  <si>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</si>
  <si>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</si>
  <si>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</si>
  <si>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</si>
  <si>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</si>
  <si>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</si>
  <si>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</si>
  <si>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</si>
  <si>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</si>
  <si>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</si>
  <si>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</si>
  <si>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</si>
  <si>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</si>
  <si>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</si>
  <si>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</si>
  <si>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</si>
  <si>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</si>
  <si>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</si>
  <si>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</si>
  <si>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</si>
  <si>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</si>
  <si>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</si>
  <si>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</si>
  <si>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</si>
  <si>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</si>
  <si>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</si>
  <si>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</si>
  <si>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</si>
  <si>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</si>
  <si>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</si>
  <si>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</si>
  <si>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</si>
  <si>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</si>
  <si>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</si>
  <si>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</si>
  <si>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</si>
  <si>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</si>
  <si>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</si>
  <si>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</si>
  <si>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</si>
  <si>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</si>
  <si>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</si>
  <si>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</si>
  <si>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</si>
  <si>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</si>
  <si>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</si>
  <si>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</si>
  <si>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</si>
  <si>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</si>
  <si>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</si>
  <si>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</si>
  <si>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</si>
  <si>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</si>
  <si>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</si>
  <si>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</si>
  <si>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</si>
  <si>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</si>
  <si>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</si>
  <si>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</si>
  <si>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</si>
  <si>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</si>
  <si>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</si>
  <si>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</si>
  <si>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</si>
  <si>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</si>
  <si>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</si>
  <si>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</si>
  <si>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</si>
  <si>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</si>
  <si>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</si>
  <si>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</si>
  <si>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</si>
  <si>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</si>
  <si>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</si>
  <si>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</si>
  <si>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</si>
  <si>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</si>
  <si>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</si>
  <si>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</si>
  <si>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</si>
  <si>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</si>
  <si>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</si>
  <si>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</si>
  <si>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</si>
  <si>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</si>
  <si>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</si>
  <si>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</si>
  <si>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</si>
  <si>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</si>
  <si>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</si>
  <si>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</si>
  <si>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</si>
  <si>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</si>
  <si>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</si>
  <si>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</si>
  <si>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</si>
  <si>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</si>
  <si>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</si>
  <si>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</si>
  <si>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</si>
  <si>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</si>
  <si>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</si>
  <si>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</si>
  <si>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</si>
  <si>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</si>
  <si>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</si>
  <si>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</si>
  <si>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</si>
  <si>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</si>
  <si>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</si>
  <si>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</si>
  <si>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</si>
  <si>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</si>
  <si>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</si>
  <si>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</si>
  <si>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</si>
  <si>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</si>
  <si>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</si>
  <si>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</si>
  <si>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</si>
  <si>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</si>
  <si>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</si>
  <si>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</si>
  <si>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</si>
  <si>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</si>
  <si>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</si>
  <si>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</si>
  <si>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</si>
  <si>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</si>
  <si>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</si>
  <si>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</si>
  <si>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</si>
  <si>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</si>
  <si>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</si>
  <si>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</si>
  <si>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</si>
  <si>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</si>
  <si>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</si>
  <si>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</si>
  <si>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</si>
  <si>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</si>
  <si>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</si>
  <si>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</si>
  <si>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</si>
  <si>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</si>
  <si>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</si>
  <si>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</si>
  <si>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</si>
  <si>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</si>
  <si>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</si>
  <si>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</si>
  <si>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</si>
  <si>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</si>
  <si>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</si>
  <si>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</si>
  <si>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</si>
  <si>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</si>
  <si>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</si>
  <si>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</si>
  <si>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</si>
  <si>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</si>
  <si>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</si>
  <si>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</si>
  <si>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</si>
  <si>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</si>
  <si>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</si>
  <si>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</si>
  <si>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</si>
  <si>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</si>
  <si>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</si>
  <si>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</si>
  <si>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</si>
  <si>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</si>
  <si>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</si>
  <si>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</si>
  <si>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</si>
  <si>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</si>
  <si>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</si>
  <si>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</si>
  <si>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</si>
  <si>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</si>
  <si>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</si>
  <si>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</si>
  <si>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</si>
  <si>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</si>
  <si>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</si>
  <si>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</si>
  <si>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</si>
  <si>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</si>
  <si>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</si>
  <si>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</si>
  <si>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</si>
  <si>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</si>
  <si>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</si>
  <si>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</si>
  <si>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</si>
  <si>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</si>
  <si>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</si>
  <si>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</si>
  <si>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</si>
  <si>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</si>
  <si>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</si>
  <si>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</si>
  <si>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</si>
  <si>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</si>
  <si>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</si>
  <si>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</si>
  <si>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</si>
  <si>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</si>
  <si>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</si>
  <si>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</si>
  <si>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</si>
  <si>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</si>
  <si>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</si>
  <si>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</si>
  <si>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</si>
  <si>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</si>
  <si>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</si>
  <si>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</si>
  <si>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</si>
  <si>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</si>
  <si>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</si>
  <si>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</si>
  <si>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</si>
  <si>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</si>
  <si>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</si>
  <si>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</si>
  <si>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</si>
  <si>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</si>
  <si>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</si>
  <si>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</si>
  <si>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</si>
  <si>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</si>
  <si>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</si>
  <si>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</si>
  <si>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</si>
  <si>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</si>
  <si>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</si>
  <si>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</si>
  <si>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</si>
  <si>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</si>
  <si>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</si>
  <si>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</si>
  <si>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</si>
  <si>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</si>
  <si>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</si>
  <si>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</si>
  <si>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</si>
  <si>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</si>
  <si>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</si>
  <si>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</si>
  <si>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</si>
  <si>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</si>
  <si>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</si>
  <si>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</si>
  <si>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</si>
  <si>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</si>
  <si>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</si>
  <si>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</si>
  <si>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</si>
  <si>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</si>
  <si>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</si>
  <si>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</si>
  <si>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</si>
  <si>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</si>
  <si>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</si>
  <si>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</si>
  <si>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</si>
  <si>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</si>
  <si>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</si>
  <si>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</si>
  <si>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</si>
  <si>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</si>
  <si>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</si>
  <si>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</si>
  <si>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</si>
  <si>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</si>
  <si>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</si>
  <si>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</si>
  <si>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</si>
  <si>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</si>
  <si>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</si>
  <si>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</si>
  <si>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</si>
  <si>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</si>
  <si>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</si>
  <si>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</si>
  <si>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</si>
  <si>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</si>
  <si>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</si>
  <si>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</si>
  <si>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</si>
  <si>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</si>
  <si>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</si>
  <si>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</si>
  <si>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</si>
  <si>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</si>
  <si>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</si>
  <si>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</si>
  <si>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</si>
  <si>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</si>
  <si>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</si>
  <si>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</si>
  <si>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</si>
  <si>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</si>
  <si>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</si>
  <si>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</si>
  <si>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</si>
  <si>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</si>
  <si>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</si>
  <si>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</si>
  <si>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</si>
  <si>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</si>
  <si>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</si>
  <si>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</si>
  <si>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</si>
  <si>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</si>
  <si>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</si>
  <si>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</si>
  <si>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</si>
  <si>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</si>
  <si>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</si>
  <si>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</si>
  <si>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</si>
  <si>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</si>
  <si>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</si>
  <si>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</si>
  <si>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</si>
  <si>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</si>
  <si>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</si>
  <si>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</si>
  <si>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</si>
  <si>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</si>
  <si>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</si>
  <si>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</si>
  <si>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</si>
  <si>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</si>
  <si>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</si>
  <si>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</si>
  <si>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</si>
  <si>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</si>
  <si>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</si>
  <si>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</si>
  <si>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</si>
  <si>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</si>
  <si>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</si>
  <si>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</si>
  <si>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</si>
  <si>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</si>
  <si>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</si>
  <si>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</si>
  <si>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</si>
  <si>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</si>
  <si>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</si>
  <si>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</si>
  <si>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</si>
  <si>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</si>
  <si>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</si>
  <si>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</si>
  <si>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</si>
  <si>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</si>
  <si>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</si>
  <si>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</si>
  <si>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</si>
  <si>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</si>
  <si>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</si>
  <si>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</si>
  <si>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</si>
  <si>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</si>
  <si>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</si>
  <si>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</si>
  <si>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</si>
  <si>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</si>
  <si>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</si>
  <si>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</si>
  <si>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</si>
  <si>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</si>
  <si>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</si>
  <si>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</si>
  <si>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</si>
  <si>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</si>
  <si>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</si>
  <si>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</si>
  <si>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</si>
  <si>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</si>
  <si>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</si>
  <si>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</si>
  <si>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</si>
  <si>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</si>
  <si>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</si>
  <si>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</si>
  <si>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</si>
  <si>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</si>
  <si>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</si>
  <si>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</si>
  <si>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</si>
  <si>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</si>
  <si>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</si>
  <si>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</si>
  <si>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</si>
  <si>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</si>
  <si>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</si>
  <si>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</si>
  <si>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</si>
  <si>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</si>
  <si>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</si>
  <si>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</si>
  <si>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</si>
  <si>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</si>
  <si>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</si>
  <si>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</si>
  <si>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</si>
  <si>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</si>
  <si>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</si>
  <si>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</si>
  <si>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</si>
  <si>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</si>
  <si>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</si>
  <si>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</si>
  <si>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</si>
  <si>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</si>
  <si>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</si>
  <si>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</si>
  <si>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</si>
  <si>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</si>
  <si>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</si>
  <si>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</si>
  <si>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</si>
  <si>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</si>
  <si>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</si>
  <si>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</si>
  <si>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</si>
  <si>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</si>
  <si>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</si>
  <si>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</si>
  <si>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</si>
  <si>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</si>
  <si>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</si>
  <si>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</si>
  <si>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</si>
  <si>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</si>
  <si>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</si>
  <si>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</si>
  <si>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</si>
  <si>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</si>
  <si>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</si>
  <si>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</si>
  <si>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</si>
  <si>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</si>
  <si>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</si>
  <si>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</si>
  <si>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</si>
  <si>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</si>
  <si>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</si>
  <si>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</si>
  <si>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</si>
  <si>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</si>
  <si>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</si>
  <si>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</si>
  <si>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</si>
  <si>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</si>
  <si>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</si>
  <si>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</si>
  <si>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</si>
  <si>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</si>
  <si>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</si>
  <si>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</si>
  <si>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</si>
  <si>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</si>
  <si>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</si>
  <si>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</si>
  <si>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</si>
  <si>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</si>
  <si>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</si>
  <si>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</si>
  <si>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</si>
  <si>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</si>
  <si>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</si>
  <si>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</si>
  <si>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</si>
  <si>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</si>
  <si>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</si>
  <si>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</si>
  <si>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</si>
  <si>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</si>
  <si>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</si>
  <si>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</si>
  <si>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</si>
  <si>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</si>
  <si>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</si>
  <si>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</si>
  <si>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</si>
  <si>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</si>
  <si>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</si>
  <si>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</si>
  <si>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</si>
  <si>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</si>
  <si>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</si>
  <si>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</si>
  <si>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</si>
  <si>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</si>
  <si>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</si>
  <si>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</si>
  <si>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</si>
  <si>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</si>
  <si>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</si>
  <si>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</si>
  <si>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</si>
  <si>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</si>
  <si>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</si>
  <si>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</si>
  <si>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</si>
  <si>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</si>
  <si>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</si>
  <si>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</si>
  <si>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</si>
  <si>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</si>
  <si>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</si>
  <si>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</si>
  <si>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</si>
  <si>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</si>
  <si>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</si>
  <si>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</si>
  <si>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</si>
  <si>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</si>
  <si>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</si>
  <si>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</si>
  <si>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</si>
  <si>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</si>
  <si>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</si>
  <si>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</si>
  <si>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</si>
  <si>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</si>
  <si>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</si>
  <si>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</si>
  <si>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</si>
  <si>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</si>
  <si>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</si>
  <si>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</si>
  <si>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</si>
  <si>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</si>
  <si>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</si>
  <si>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</si>
  <si>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</si>
  <si>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</si>
  <si>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</si>
  <si>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</si>
  <si>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</si>
  <si>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</si>
  <si>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</si>
  <si>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</si>
  <si>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</si>
  <si>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</si>
  <si>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</si>
  <si>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</si>
  <si>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</si>
  <si>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</si>
  <si>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</si>
  <si>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</si>
  <si>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</si>
  <si>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</si>
  <si>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</si>
  <si>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</si>
  <si>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</si>
  <si>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</si>
  <si>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</si>
  <si>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</si>
  <si>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</si>
  <si>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</si>
  <si>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</si>
  <si>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</si>
  <si>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</si>
  <si>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</si>
  <si>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</si>
  <si>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</si>
  <si>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</si>
  <si>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</si>
  <si>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</si>
  <si>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</si>
  <si>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</si>
  <si>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</si>
  <si>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</si>
  <si>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</si>
  <si>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</si>
  <si>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</si>
  <si>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</si>
  <si>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</si>
  <si>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</si>
  <si>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</si>
  <si>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</si>
  <si>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</si>
  <si>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</si>
  <si>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</si>
  <si>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</si>
  <si>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</si>
  <si>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</si>
  <si>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</si>
  <si>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</si>
  <si>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</si>
  <si>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</si>
  <si>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</si>
  <si>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</si>
  <si>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</si>
  <si>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</si>
  <si>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</si>
  <si>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</si>
  <si>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</si>
  <si>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</si>
  <si>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</si>
  <si>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</si>
  <si>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</si>
  <si>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</si>
  <si>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</si>
  <si>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</si>
  <si>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</si>
  <si>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</si>
  <si>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</si>
  <si>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</si>
  <si>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</si>
  <si>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</si>
  <si>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</si>
  <si>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</si>
  <si>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</si>
  <si>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</si>
  <si>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</si>
  <si>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</si>
  <si>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</si>
  <si>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</si>
  <si>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</si>
  <si>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</si>
  <si>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</si>
  <si>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</si>
  <si>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</si>
  <si>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</si>
  <si>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</si>
  <si>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</si>
  <si>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</si>
  <si>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</si>
  <si>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</si>
  <si>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</si>
  <si>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</si>
  <si>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</si>
  <si>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</si>
  <si>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</si>
  <si>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</si>
  <si>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</si>
  <si>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</si>
  <si>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</si>
  <si>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</si>
  <si>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</si>
  <si>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</si>
  <si>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</si>
  <si>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</si>
  <si>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</si>
  <si>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</si>
  <si>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</si>
  <si>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</si>
  <si>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</si>
  <si>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</si>
  <si>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</si>
  <si>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</si>
  <si>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</si>
  <si>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</si>
  <si>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</si>
  <si>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</si>
  <si>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</si>
  <si>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</si>
  <si>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</si>
  <si>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</si>
  <si>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</si>
  <si>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</si>
  <si>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</si>
  <si>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</si>
  <si>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</si>
  <si>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</si>
  <si>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</si>
  <si>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</si>
  <si>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</si>
  <si>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</si>
  <si>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</si>
  <si>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</si>
  <si>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</si>
  <si>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</si>
  <si>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</si>
  <si>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</si>
  <si>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</si>
  <si>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</si>
  <si>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</si>
  <si>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</si>
  <si>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</si>
  <si>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</si>
  <si>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</si>
  <si>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</si>
  <si>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</si>
  <si>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</si>
  <si>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</si>
  <si>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</si>
  <si>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</si>
  <si>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</si>
  <si>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</si>
  <si>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</si>
  <si>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</si>
  <si>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</si>
  <si>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</si>
  <si>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</si>
  <si>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</si>
  <si>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</si>
  <si>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</si>
  <si>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</si>
  <si>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</si>
  <si>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</si>
  <si>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</si>
  <si>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</si>
  <si>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</si>
  <si>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</si>
  <si>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</si>
  <si>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</si>
  <si>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</si>
  <si>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</si>
  <si>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</si>
  <si>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</si>
  <si>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</si>
  <si>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</si>
  <si>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</si>
  <si>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</si>
  <si>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</si>
  <si>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</si>
  <si>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</si>
  <si>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</si>
  <si>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</si>
  <si>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</si>
  <si>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</si>
  <si>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</si>
  <si>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</si>
  <si>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</si>
  <si>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</si>
  <si>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</si>
  <si>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</si>
  <si>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</si>
  <si>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</si>
  <si>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</si>
  <si>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</si>
  <si>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</si>
  <si>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</si>
  <si>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</si>
  <si>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</si>
  <si>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</si>
  <si>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</si>
  <si>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</si>
  <si>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</si>
  <si>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</si>
  <si>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</si>
  <si>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</si>
  <si>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</si>
  <si>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</si>
  <si>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</si>
  <si>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</si>
  <si>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</si>
  <si>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</si>
  <si>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</si>
  <si>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</si>
  <si>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</si>
  <si>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</si>
  <si>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</si>
  <si>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</si>
  <si>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</si>
  <si>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</si>
  <si>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</si>
  <si>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</si>
  <si>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</si>
  <si>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</si>
  <si>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</si>
  <si>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</si>
  <si>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</si>
  <si>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</si>
  <si>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</si>
  <si>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</si>
  <si>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</si>
  <si>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</si>
  <si>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</si>
  <si>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</si>
  <si>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</si>
  <si>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</si>
  <si>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</si>
  <si>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</si>
  <si>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</si>
  <si>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</si>
  <si>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</si>
  <si>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</si>
  <si>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</si>
  <si>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</si>
  <si>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</si>
  <si>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</si>
  <si>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</si>
  <si>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</si>
  <si>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</si>
  <si>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</si>
  <si>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</si>
  <si>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</si>
  <si>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</si>
  <si>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</si>
  <si>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</si>
  <si>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</si>
  <si>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</si>
  <si>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</si>
  <si>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</si>
  <si>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</si>
  <si>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</si>
  <si>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</si>
  <si>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</si>
  <si>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</si>
  <si>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</si>
  <si>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</si>
  <si>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</si>
  <si>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</si>
  <si>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</si>
  <si>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</si>
  <si>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</si>
  <si>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</si>
  <si>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</si>
  <si>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</si>
  <si>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</si>
  <si>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</si>
  <si>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</si>
  <si>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</si>
  <si>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</si>
  <si>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</si>
  <si>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</si>
  <si>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</si>
  <si>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</si>
  <si>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</si>
  <si>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</si>
  <si>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</si>
  <si>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</si>
  <si>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</si>
  <si>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</si>
  <si>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</si>
  <si>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</si>
  <si>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</si>
  <si>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</si>
  <si>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</si>
  <si>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</si>
  <si>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</si>
  <si>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</si>
  <si>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</si>
  <si>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</si>
  <si>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</si>
  <si>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</si>
  <si>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</si>
  <si>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</si>
  <si>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</si>
  <si>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</si>
  <si>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</si>
  <si>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</si>
  <si>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</si>
  <si>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</si>
  <si>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</si>
  <si>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</si>
  <si>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</si>
  <si>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</si>
  <si>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</si>
  <si>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</si>
  <si>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</si>
  <si>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</si>
  <si>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</si>
  <si>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</si>
  <si>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</si>
  <si>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</si>
  <si>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</si>
  <si>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</si>
  <si>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</si>
  <si>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</si>
  <si>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</si>
  <si>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</si>
  <si>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</si>
  <si>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</si>
  <si>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</si>
  <si>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</si>
  <si>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</si>
  <si>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</si>
  <si>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</si>
  <si>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</si>
  <si>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</si>
  <si>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</si>
  <si>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</si>
  <si>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</si>
  <si>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</si>
  <si>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</si>
  <si>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</si>
  <si>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</si>
  <si>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</si>
  <si>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</si>
  <si>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</si>
  <si>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</si>
  <si>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</si>
  <si>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</si>
  <si>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</si>
  <si>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</si>
  <si>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</si>
  <si>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</si>
  <si>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</si>
  <si>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</si>
  <si>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</si>
  <si>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</si>
  <si>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</si>
  <si>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</si>
  <si>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</si>
  <si>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</si>
  <si>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</si>
  <si>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</si>
  <si>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</si>
  <si>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</si>
  <si>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</si>
  <si>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</si>
  <si>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</si>
  <si>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</si>
  <si>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</si>
  <si>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</si>
  <si>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</si>
  <si>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</si>
  <si>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</si>
  <si>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</si>
  <si>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</si>
  <si>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</si>
  <si>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</si>
  <si>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</si>
  <si>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</si>
  <si>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</si>
  <si>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</si>
  <si>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</si>
  <si>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</si>
  <si>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</si>
  <si>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</si>
  <si>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</si>
  <si>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</si>
  <si>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</si>
  <si>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</si>
  <si>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</si>
  <si>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</si>
  <si>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</si>
  <si>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</si>
  <si>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</si>
  <si>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</si>
  <si>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</si>
  <si>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</si>
  <si>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</si>
  <si>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</si>
  <si>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</si>
  <si>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</si>
  <si>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</si>
  <si>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</si>
  <si>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</si>
  <si>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</si>
  <si>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</si>
  <si>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</si>
  <si>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</si>
  <si>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</si>
  <si>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</si>
  <si>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</si>
  <si>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</si>
  <si>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</si>
  <si>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</si>
  <si>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</si>
  <si>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</si>
  <si>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</si>
  <si>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</si>
  <si>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</si>
  <si>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</si>
  <si>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</si>
  <si>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</si>
  <si>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</si>
  <si>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</si>
  <si>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</si>
  <si>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</si>
  <si>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</si>
  <si>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</si>
  <si>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</si>
  <si>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</si>
  <si>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</si>
  <si>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</si>
  <si>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</si>
  <si>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</si>
  <si>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</si>
  <si>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</si>
  <si>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</si>
  <si>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</si>
  <si>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</si>
  <si>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</si>
  <si>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</si>
  <si>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</si>
  <si>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</si>
  <si>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</si>
  <si>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</si>
  <si>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</si>
  <si>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</si>
  <si>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</si>
  <si>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</si>
  <si>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</si>
  <si>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</si>
  <si>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</si>
  <si>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</si>
  <si>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</si>
  <si>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</si>
  <si>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</si>
  <si>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</si>
  <si>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</si>
  <si>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</si>
  <si>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</si>
  <si>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</si>
  <si>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</si>
  <si>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</si>
  <si>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</si>
  <si>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</si>
  <si>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</si>
  <si>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</si>
  <si>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</si>
  <si>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</si>
  <si>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</si>
  <si>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</si>
  <si>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</si>
  <si>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</si>
  <si>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</si>
  <si>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</si>
  <si>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</si>
  <si>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</si>
  <si>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</si>
  <si>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</si>
  <si>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</si>
  <si>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</si>
  <si>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</si>
  <si>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</si>
  <si>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</si>
  <si>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</si>
  <si>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</si>
  <si>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</si>
  <si>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</si>
  <si>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</si>
  <si>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</si>
  <si>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</si>
  <si>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</si>
  <si>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</si>
  <si>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</si>
  <si>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</si>
  <si>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</si>
  <si>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</si>
  <si>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</si>
  <si>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</si>
  <si>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</si>
  <si>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</si>
  <si>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</si>
  <si>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</si>
  <si>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</si>
  <si>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</si>
  <si>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</si>
  <si>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</si>
  <si>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</si>
  <si>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</si>
  <si>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</si>
  <si>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</si>
  <si>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</si>
  <si>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</si>
  <si>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</si>
  <si>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</si>
  <si>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</si>
  <si>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</si>
  <si>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</si>
  <si>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</si>
  <si>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</si>
  <si>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</si>
  <si>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</si>
  <si>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</si>
  <si>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</si>
  <si>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</si>
  <si>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</si>
  <si>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</si>
  <si>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</si>
  <si>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</si>
  <si>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</si>
  <si>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</si>
  <si>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</si>
  <si>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</si>
  <si>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</si>
  <si>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</si>
  <si>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</si>
  <si>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</si>
  <si>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</si>
  <si>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</si>
  <si>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</si>
  <si>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</si>
  <si>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</si>
  <si>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</si>
  <si>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</si>
  <si>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</si>
  <si>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</si>
  <si>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</si>
  <si>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</si>
  <si>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</si>
  <si>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</si>
  <si>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</si>
  <si>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</si>
  <si>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</si>
  <si>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</si>
  <si>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</si>
  <si>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</si>
  <si>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</si>
  <si>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</si>
  <si>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</si>
  <si>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</si>
  <si>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</si>
  <si>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</si>
  <si>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</si>
  <si>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</si>
  <si>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</si>
  <si>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</si>
  <si>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</si>
  <si>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</si>
  <si>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</si>
  <si>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</si>
  <si>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</si>
  <si>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</si>
  <si>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</si>
  <si>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</si>
  <si>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</si>
  <si>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</si>
  <si>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</si>
  <si>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</si>
  <si>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</si>
  <si>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</si>
  <si>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</si>
  <si>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</si>
  <si>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</si>
  <si>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</si>
  <si>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</si>
  <si>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</si>
  <si>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</si>
  <si>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</si>
  <si>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</si>
  <si>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</si>
  <si>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</si>
  <si>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</si>
  <si>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</si>
  <si>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</si>
  <si>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</si>
  <si>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</si>
  <si>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</si>
  <si>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</si>
  <si>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</si>
  <si>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</si>
  <si>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</si>
  <si>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</si>
  <si>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</si>
  <si>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</si>
  <si>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</si>
  <si>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</si>
  <si>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</si>
  <si>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</si>
  <si>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</si>
  <si>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</si>
  <si>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</si>
  <si>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</si>
  <si>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</si>
  <si>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</si>
  <si>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</si>
  <si>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</si>
  <si>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</si>
  <si>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</si>
  <si>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</si>
  <si>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</si>
  <si>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</si>
  <si>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</si>
  <si>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</si>
  <si>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</si>
  <si>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</si>
  <si>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</si>
  <si>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</si>
  <si>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</si>
  <si>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</si>
  <si>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</si>
  <si>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</si>
  <si>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</si>
  <si>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</si>
  <si>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</si>
  <si>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</si>
  <si>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</si>
  <si>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</si>
  <si>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</si>
  <si>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</si>
  <si>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</si>
  <si>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</si>
  <si>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</si>
  <si>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</si>
  <si>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</si>
  <si>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</si>
  <si>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</si>
  <si>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</si>
  <si>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</si>
  <si>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</si>
  <si>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</si>
  <si>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</si>
  <si>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</si>
  <si>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</si>
  <si>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</si>
  <si>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</si>
  <si>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</si>
  <si>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</si>
  <si>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</si>
  <si>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</si>
  <si>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</si>
  <si>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</si>
  <si>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</si>
  <si>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</si>
  <si>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</si>
  <si>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</si>
  <si>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</si>
  <si>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</si>
  <si>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</si>
  <si>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</si>
  <si>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</si>
  <si>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</si>
  <si>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</si>
  <si>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</si>
  <si>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</si>
  <si>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</si>
  <si>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</si>
  <si>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</si>
  <si>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</si>
  <si>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</si>
  <si>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</si>
  <si>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</si>
  <si>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</si>
  <si>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</si>
  <si>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</si>
  <si>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</si>
  <si>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</si>
  <si>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</si>
  <si>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</si>
  <si>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</si>
  <si>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</si>
  <si>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</si>
  <si>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</si>
  <si>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</si>
  <si>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</si>
  <si>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</si>
  <si>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</si>
  <si>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</si>
  <si>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</si>
  <si>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</si>
  <si>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</si>
  <si>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</si>
  <si>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</si>
  <si>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</si>
  <si>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</si>
  <si>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</si>
  <si>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</si>
  <si>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</si>
  <si>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</si>
  <si>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</si>
  <si>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</si>
  <si>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</si>
  <si>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</si>
  <si>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</si>
  <si>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</si>
  <si>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</si>
  <si>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</si>
  <si>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</si>
  <si>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</si>
  <si>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</si>
  <si>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</si>
  <si>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</si>
  <si>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</si>
  <si>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</si>
  <si>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</si>
  <si>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</si>
  <si>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</si>
  <si>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</si>
  <si>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</si>
  <si>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</si>
  <si>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</si>
  <si>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</si>
  <si>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</si>
  <si>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</si>
  <si>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</si>
  <si>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</si>
  <si>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</si>
  <si>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</si>
  <si>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</si>
  <si>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</si>
  <si>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</si>
  <si>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</si>
  <si>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</si>
  <si>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</si>
  <si>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</si>
  <si>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</si>
  <si>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</si>
  <si>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</si>
  <si>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</si>
  <si>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</si>
  <si>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</si>
  <si>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</si>
  <si>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</si>
  <si>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</si>
  <si>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</si>
  <si>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</si>
  <si>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</si>
  <si>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</si>
  <si>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</si>
  <si>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</si>
  <si>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</si>
  <si>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</si>
  <si>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</si>
  <si>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</si>
  <si>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</si>
  <si>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</si>
  <si>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</si>
  <si>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</si>
  <si>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</si>
  <si>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</si>
  <si>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</si>
  <si>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</si>
  <si>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</si>
  <si>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</si>
  <si>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</si>
  <si>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</si>
  <si>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</si>
  <si>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</si>
  <si>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</si>
  <si>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</si>
  <si>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</si>
  <si>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</si>
  <si>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</si>
  <si>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</si>
  <si>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</si>
  <si>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</si>
  <si>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</si>
  <si>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</si>
  <si>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</si>
  <si>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</si>
  <si>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</si>
  <si>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</si>
  <si>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</si>
  <si>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</si>
  <si>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</si>
  <si>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</si>
  <si>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</si>
  <si>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</si>
  <si>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</si>
  <si>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</si>
  <si>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</si>
  <si>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</si>
  <si>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</si>
  <si>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</si>
  <si>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</si>
  <si>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</si>
  <si>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</si>
  <si>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</si>
  <si>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</si>
  <si>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</si>
  <si>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</si>
  <si>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</si>
  <si>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</si>
  <si>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</si>
  <si>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</si>
  <si>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</si>
  <si>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</si>
  <si>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</si>
  <si>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</si>
  <si>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</si>
  <si>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</si>
  <si>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</si>
  <si>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</si>
  <si>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</si>
  <si>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</si>
  <si>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</si>
  <si>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</si>
  <si>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</si>
  <si>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</si>
  <si>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</si>
  <si>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</si>
  <si>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</si>
  <si>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</si>
  <si>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</si>
  <si>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</si>
  <si>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</si>
  <si>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</si>
  <si>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</si>
  <si>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</si>
  <si>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</si>
  <si>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</si>
  <si>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</si>
  <si>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</si>
  <si>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</si>
  <si>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</si>
  <si>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</si>
  <si>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</si>
  <si>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</si>
  <si>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</si>
  <si>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</si>
  <si>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</si>
  <si>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</si>
  <si>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</si>
  <si>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</si>
  <si>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</si>
  <si>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</si>
  <si>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</si>
  <si>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</si>
  <si>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</si>
  <si>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</si>
  <si>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</si>
  <si>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</si>
  <si>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</si>
  <si>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</si>
  <si>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</si>
  <si>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</si>
  <si>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</si>
  <si>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</si>
  <si>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</si>
  <si>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</si>
  <si>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</si>
  <si>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</si>
  <si>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</si>
  <si>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</si>
  <si>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</si>
  <si>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</si>
  <si>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</si>
  <si>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</si>
  <si>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</si>
  <si>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</si>
  <si>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</si>
  <si>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</si>
  <si>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</si>
  <si>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</si>
  <si>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</si>
  <si>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</si>
  <si>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</si>
  <si>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</si>
  <si>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</si>
  <si>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</si>
  <si>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</si>
  <si>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</si>
  <si>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</si>
  <si>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</si>
  <si>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</si>
  <si>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</si>
  <si>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</si>
  <si>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</si>
  <si>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</si>
  <si>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</si>
  <si>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</si>
  <si>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</si>
  <si>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</si>
  <si>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</si>
  <si>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</si>
  <si>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</si>
  <si>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</si>
  <si>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</si>
  <si>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</si>
  <si>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</si>
  <si>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</si>
  <si>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</si>
  <si>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</si>
  <si>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</si>
  <si>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</si>
  <si>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</si>
  <si>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</si>
  <si>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</si>
  <si>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</si>
  <si>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</si>
  <si>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</si>
  <si>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</si>
  <si>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</si>
  <si>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</si>
  <si>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</si>
  <si>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</si>
  <si>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</si>
  <si>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</si>
  <si>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</si>
  <si>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</si>
  <si>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</si>
  <si>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</si>
  <si>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</si>
  <si>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</si>
  <si>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</si>
  <si>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</si>
  <si>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</si>
  <si>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</si>
  <si>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</si>
  <si>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</si>
  <si>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</si>
  <si>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</si>
  <si>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</si>
  <si>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</si>
  <si>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</si>
  <si>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</si>
  <si>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</si>
  <si>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</si>
  <si>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</si>
  <si>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</si>
  <si>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</si>
  <si>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</si>
  <si>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</si>
  <si>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</si>
  <si>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</si>
  <si>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</si>
  <si>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</si>
  <si>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</si>
  <si>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</si>
  <si>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</si>
  <si>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</si>
  <si>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</si>
  <si>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</si>
  <si>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</si>
  <si>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</si>
  <si>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</si>
  <si>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</si>
  <si>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</si>
  <si>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</si>
  <si>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</si>
  <si>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</si>
  <si>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</si>
  <si>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</si>
  <si>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</si>
  <si>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</si>
  <si>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</si>
  <si>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</si>
  <si>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</si>
  <si>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</si>
  <si>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</si>
  <si>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</si>
  <si>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</si>
  <si>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</si>
  <si>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</si>
  <si>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</si>
  <si>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</si>
  <si>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</si>
  <si>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</si>
  <si>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</si>
  <si>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</si>
  <si>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</si>
  <si>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</si>
  <si>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</si>
  <si>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</si>
  <si>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</si>
  <si>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</si>
  <si>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</si>
  <si>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</si>
  <si>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</si>
  <si>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</si>
  <si>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</si>
  <si>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</si>
  <si>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</si>
  <si>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</si>
  <si>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</si>
  <si>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</si>
  <si>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</si>
  <si>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</si>
  <si>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</si>
  <si>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</si>
  <si>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</si>
  <si>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</si>
  <si>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</si>
  <si>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</si>
  <si>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</si>
  <si>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</si>
  <si>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</si>
  <si>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</si>
  <si>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</si>
  <si>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</si>
  <si>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</si>
  <si>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</si>
  <si>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</si>
  <si>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</si>
  <si>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</si>
  <si>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</si>
  <si>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</si>
  <si>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</si>
  <si>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</si>
  <si>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</si>
  <si>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</si>
  <si>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</si>
  <si>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</si>
  <si>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</si>
  <si>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</si>
  <si>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</si>
  <si>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</si>
  <si>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</si>
  <si>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</si>
  <si>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</si>
  <si>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</si>
  <si>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</si>
  <si>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</si>
  <si>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</si>
  <si>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</si>
  <si>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</si>
  <si>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</si>
  <si>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</si>
  <si>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</si>
  <si>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</si>
  <si>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</si>
  <si>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</si>
  <si>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</si>
  <si>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</si>
  <si>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</si>
  <si>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</si>
  <si>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</si>
  <si>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</si>
  <si>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</si>
  <si>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</si>
  <si>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</si>
  <si>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</si>
  <si>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</si>
  <si>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</si>
  <si>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</si>
  <si>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</si>
  <si>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</si>
  <si>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</si>
  <si>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</si>
  <si>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</si>
  <si>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</si>
  <si>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</si>
  <si>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</si>
  <si>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</si>
  <si>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</si>
  <si>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</si>
  <si>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</si>
  <si>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</si>
  <si>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</si>
  <si>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</si>
  <si>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</si>
  <si>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</si>
  <si>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</si>
  <si>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</si>
  <si>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</si>
  <si>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</si>
  <si>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</si>
  <si>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</si>
  <si>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</si>
  <si>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</si>
  <si>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</si>
  <si>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</si>
  <si>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</si>
  <si>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</si>
  <si>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</si>
  <si>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</si>
  <si>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</si>
  <si>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</si>
  <si>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</si>
  <si>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</si>
  <si>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</si>
  <si>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</si>
  <si>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</si>
  <si>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</si>
  <si>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</si>
  <si>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</si>
  <si>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</si>
  <si>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</si>
  <si>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</si>
  <si>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</si>
  <si>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</si>
  <si>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</si>
  <si>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</si>
  <si>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</si>
  <si>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</si>
  <si>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</si>
  <si>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</si>
  <si>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</si>
  <si>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</si>
  <si>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</si>
  <si>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</si>
  <si>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</si>
  <si>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</si>
  <si>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</si>
  <si>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</si>
  <si>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</si>
  <si>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</si>
  <si>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</si>
  <si>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</si>
  <si>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</si>
  <si>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</si>
  <si>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</si>
  <si>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</si>
  <si>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</si>
  <si>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</si>
  <si>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</si>
  <si>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</si>
  <si>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</si>
  <si>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</si>
  <si>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</si>
  <si>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</si>
  <si>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</si>
  <si>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</si>
  <si>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</si>
  <si>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</si>
  <si>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</si>
  <si>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</si>
  <si>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</si>
  <si>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</si>
  <si>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</si>
  <si>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</si>
  <si>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</si>
  <si>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</si>
  <si>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</si>
  <si>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</si>
  <si>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</si>
  <si>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</si>
  <si>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</si>
  <si>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</si>
  <si>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</si>
  <si>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</si>
  <si>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</si>
  <si>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</si>
  <si>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</si>
  <si>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</si>
  <si>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</si>
  <si>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</si>
  <si>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</si>
  <si>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</si>
  <si>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</si>
  <si>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</si>
  <si>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</si>
  <si>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</si>
  <si>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</si>
  <si>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</si>
  <si>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</si>
  <si>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</si>
  <si>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</si>
  <si>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</si>
  <si>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</si>
  <si>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</si>
  <si>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</si>
  <si>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</si>
  <si>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</si>
  <si>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</si>
  <si>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</si>
  <si>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</si>
  <si>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</si>
  <si>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</si>
  <si>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</si>
  <si>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</si>
  <si>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</si>
  <si>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</si>
  <si>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</si>
  <si>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</si>
  <si>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</si>
  <si>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</si>
  <si>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</si>
  <si>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</si>
  <si>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</si>
  <si>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</si>
  <si>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</si>
  <si>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</si>
  <si>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</si>
  <si>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</si>
  <si>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</si>
  <si>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</si>
  <si>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</si>
  <si>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</si>
  <si>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</si>
  <si>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</si>
  <si>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</si>
  <si>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</si>
  <si>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</si>
  <si>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</si>
  <si>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</si>
  <si>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</si>
  <si>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</si>
  <si>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</si>
  <si>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</si>
  <si>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</si>
  <si>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</si>
  <si>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</si>
  <si>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</si>
  <si>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</si>
  <si>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</si>
  <si>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</si>
  <si>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</si>
  <si>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</si>
  <si>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</si>
  <si>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</si>
  <si>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</si>
  <si>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</si>
  <si>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</si>
  <si>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</si>
  <si>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</si>
  <si>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</si>
  <si>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</si>
  <si>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</si>
  <si>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</si>
  <si>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</si>
  <si>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</si>
  <si>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</si>
  <si>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</si>
  <si>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</si>
  <si>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</si>
  <si>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</si>
  <si>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</si>
  <si>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</si>
  <si>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</si>
  <si>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</si>
  <si>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</si>
  <si>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</si>
  <si>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</si>
  <si>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</si>
  <si>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</si>
  <si>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</si>
  <si>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</si>
  <si>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</si>
  <si>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</si>
  <si>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</si>
  <si>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</si>
  <si>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</si>
  <si>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</si>
  <si>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</si>
  <si>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</si>
  <si>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</si>
  <si>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</si>
  <si>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</si>
  <si>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</si>
  <si>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</si>
  <si>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</si>
  <si>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</si>
  <si>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</si>
  <si>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</si>
  <si>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</si>
  <si>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</si>
  <si>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</si>
  <si>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</si>
  <si>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</si>
  <si>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</si>
  <si>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</si>
  <si>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</si>
  <si>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</si>
  <si>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</si>
  <si>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</si>
  <si>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</si>
  <si>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</si>
  <si>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</si>
  <si>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</si>
  <si>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</si>
  <si>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</si>
  <si>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</si>
  <si>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</si>
  <si>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</si>
  <si>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</si>
  <si>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</si>
  <si>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</si>
  <si>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</si>
  <si>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</si>
  <si>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</si>
  <si>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</si>
  <si>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</si>
  <si>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</si>
  <si>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</si>
  <si>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</si>
  <si>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</si>
  <si>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</si>
  <si>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</si>
  <si>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</si>
  <si>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</si>
  <si>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</si>
  <si>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</si>
  <si>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</si>
  <si>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</si>
  <si>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</si>
  <si>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</si>
  <si>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</si>
  <si>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</si>
  <si>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</si>
  <si>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</si>
  <si>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</si>
  <si>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</si>
  <si>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</si>
  <si>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</si>
  <si>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</si>
  <si>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</si>
  <si>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</si>
  <si>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</si>
  <si>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</si>
  <si>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</si>
  <si>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</si>
  <si>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</si>
  <si>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</si>
  <si>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</si>
  <si>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</si>
  <si>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</si>
  <si>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</si>
  <si>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</si>
  <si>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</si>
  <si>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</si>
  <si>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</si>
  <si>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</si>
  <si>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</si>
  <si>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</si>
  <si>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</si>
  <si>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</si>
  <si>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</si>
  <si>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</si>
  <si>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</si>
  <si>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</si>
  <si>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</si>
  <si>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</si>
  <si>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</si>
  <si>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</si>
  <si>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</si>
  <si>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</si>
  <si>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</si>
  <si>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</si>
  <si>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</si>
  <si>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</si>
  <si>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</si>
  <si>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</si>
  <si>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</si>
  <si>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</si>
  <si>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</si>
  <si>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</si>
  <si>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</si>
  <si>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</si>
  <si>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</si>
  <si>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</si>
  <si>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</si>
  <si>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</si>
  <si>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</si>
  <si>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</si>
  <si>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</si>
  <si>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</si>
  <si>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</si>
  <si>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</si>
  <si>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</si>
  <si>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</si>
  <si>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</si>
  <si>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</si>
  <si>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</si>
  <si>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</si>
  <si>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</si>
  <si>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</si>
  <si>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</si>
  <si>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</si>
  <si>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</si>
  <si>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</si>
  <si>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</si>
  <si>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</si>
  <si>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</si>
  <si>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</si>
  <si>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</si>
  <si>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</si>
  <si>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</si>
  <si>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</si>
  <si>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</si>
  <si>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</si>
  <si>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</si>
  <si>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</si>
  <si>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</si>
  <si>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</si>
  <si>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</si>
  <si>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</si>
  <si>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</si>
  <si>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</si>
  <si>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</si>
  <si>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</si>
  <si>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</si>
  <si>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</si>
  <si>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</si>
  <si>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</si>
  <si>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</si>
  <si>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</si>
  <si>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</si>
  <si>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</si>
  <si>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</si>
  <si>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</si>
  <si>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</si>
  <si>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</si>
  <si>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</si>
  <si>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</si>
  <si>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</si>
  <si>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</si>
  <si>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</si>
  <si>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</si>
  <si>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</si>
  <si>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</si>
  <si>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</si>
  <si>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</si>
  <si>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</si>
  <si>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</si>
  <si>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</si>
  <si>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</si>
  <si>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</si>
  <si>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</si>
  <si>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</si>
  <si>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</si>
  <si>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</si>
  <si>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</si>
  <si>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</si>
  <si>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</si>
  <si>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</si>
  <si>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</si>
  <si>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</si>
  <si>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</si>
  <si>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</si>
  <si>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</si>
  <si>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</si>
  <si>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</si>
  <si>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</si>
  <si>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</si>
  <si>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</si>
  <si>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</si>
  <si>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</si>
  <si>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</si>
  <si>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</si>
  <si>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</si>
  <si>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</si>
  <si>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</si>
  <si>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</si>
  <si>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</si>
  <si>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</si>
  <si>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</si>
  <si>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</si>
  <si>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</si>
  <si>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</si>
  <si>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</si>
  <si>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</si>
  <si>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</si>
  <si>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</si>
  <si>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</si>
  <si>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</si>
  <si>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</si>
  <si>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</si>
  <si>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</si>
  <si>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</si>
  <si>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</si>
  <si>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</si>
  <si>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</si>
  <si>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</si>
  <si>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</si>
  <si>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</si>
  <si>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</si>
  <si>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</si>
  <si>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</si>
  <si>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</si>
  <si>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</si>
  <si>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</si>
  <si>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</si>
  <si>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</si>
  <si>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</si>
  <si>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</si>
  <si>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</si>
  <si>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</si>
  <si>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</si>
  <si>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</si>
  <si>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</si>
  <si>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</si>
  <si>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</si>
  <si>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</si>
  <si>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</si>
  <si>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</si>
  <si>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</si>
  <si>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</si>
  <si>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</si>
  <si>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</si>
  <si>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</si>
  <si>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</si>
  <si>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</si>
  <si>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</si>
  <si>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</si>
  <si>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</si>
  <si>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</si>
  <si>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</si>
  <si>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</si>
  <si>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</si>
  <si>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</si>
  <si>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</si>
  <si>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</si>
  <si>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</si>
  <si>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</si>
  <si>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</si>
  <si>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</si>
  <si>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</si>
  <si>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</si>
  <si>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</si>
  <si>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</si>
  <si>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</si>
  <si>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</si>
  <si>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</si>
  <si>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</si>
  <si>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</si>
  <si>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</si>
  <si>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</si>
  <si>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</si>
  <si>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</si>
  <si>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</si>
  <si>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</si>
  <si>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</si>
  <si>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</si>
  <si>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</si>
  <si>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</si>
  <si>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</si>
  <si>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</si>
  <si>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</si>
  <si>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</si>
  <si>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</si>
  <si>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</si>
  <si>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</si>
  <si>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</si>
  <si>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</si>
  <si>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</si>
  <si>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</si>
  <si>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</si>
  <si>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</si>
  <si>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</si>
  <si>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</si>
  <si>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</si>
  <si>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</si>
  <si>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</si>
  <si>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</si>
  <si>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</si>
  <si>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</si>
  <si>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</si>
  <si>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</si>
  <si>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</si>
  <si>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</si>
  <si>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</si>
  <si>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</si>
  <si>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</si>
  <si>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</si>
  <si>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</si>
  <si>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</si>
  <si>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</si>
  <si>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</si>
  <si>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</si>
  <si>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</si>
  <si>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</si>
  <si>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</si>
  <si>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</si>
  <si>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</si>
  <si>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</si>
  <si>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</si>
  <si>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</si>
  <si>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</si>
  <si>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</si>
  <si>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</si>
  <si>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</si>
  <si>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</si>
  <si>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</si>
  <si>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</si>
  <si>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</si>
  <si>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</si>
  <si>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</si>
  <si>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</si>
  <si>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</si>
  <si>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</si>
  <si>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</si>
  <si>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</si>
  <si>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</si>
  <si>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</si>
  <si>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</si>
  <si>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</si>
  <si>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</si>
  <si>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</si>
  <si>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</si>
  <si>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</si>
  <si>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</si>
  <si>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</si>
  <si>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</si>
  <si>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</si>
  <si>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</si>
  <si>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</si>
  <si>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</si>
  <si>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</si>
  <si>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</si>
  <si>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</si>
  <si>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</si>
  <si>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</si>
  <si>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</si>
  <si>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</si>
  <si>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</si>
  <si>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</si>
  <si>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</si>
  <si>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</si>
  <si>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</si>
  <si>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</si>
  <si>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</si>
  <si>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</si>
  <si>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</si>
  <si>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</si>
  <si>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</si>
  <si>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</si>
  <si>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</si>
  <si>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</si>
  <si>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</si>
  <si>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</si>
  <si>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</si>
  <si>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</si>
  <si>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</si>
  <si>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</si>
  <si>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</si>
  <si>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</si>
  <si>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</si>
  <si>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</si>
  <si>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</si>
  <si>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</si>
  <si>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</si>
  <si>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</si>
  <si>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</si>
  <si>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</si>
  <si>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</si>
  <si>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</si>
  <si>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</si>
  <si>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</si>
  <si>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</si>
  <si>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</si>
  <si>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</si>
  <si>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</si>
  <si>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</si>
  <si>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</si>
  <si>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</si>
  <si>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</si>
  <si>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</si>
  <si>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</si>
  <si>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</si>
  <si>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</si>
  <si>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</si>
  <si>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</si>
  <si>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</si>
  <si>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</si>
  <si>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</si>
  <si>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</si>
  <si>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</si>
  <si>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</si>
  <si>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</si>
  <si>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</si>
  <si>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</si>
  <si>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</si>
  <si>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</si>
  <si>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</si>
  <si>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</si>
  <si>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</si>
  <si>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</si>
  <si>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</si>
  <si>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</si>
  <si>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</si>
  <si>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</si>
  <si>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</si>
  <si>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</si>
  <si>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</si>
  <si>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</si>
  <si>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</si>
  <si>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</si>
  <si>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</si>
  <si>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</si>
  <si>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</si>
  <si>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</si>
  <si>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</si>
  <si>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</si>
  <si>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</si>
  <si>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</si>
  <si>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</si>
  <si>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</si>
  <si>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</si>
  <si>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</si>
  <si>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</si>
  <si>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</si>
  <si>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</si>
  <si>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</si>
  <si>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</si>
  <si>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</si>
  <si>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</si>
  <si>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</si>
  <si>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</si>
  <si>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</si>
  <si>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</si>
  <si>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</si>
  <si>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</si>
  <si>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</si>
  <si>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</si>
  <si>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</si>
  <si>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</si>
  <si>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</si>
  <si>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</si>
  <si>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</si>
  <si>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</si>
  <si>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</si>
  <si>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</si>
  <si>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</si>
  <si>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</si>
  <si>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</si>
  <si>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</si>
  <si>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</si>
  <si>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</si>
  <si>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</si>
  <si>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</si>
  <si>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</si>
  <si>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</si>
  <si>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</si>
  <si>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</si>
  <si>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</si>
  <si>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</si>
  <si>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</si>
  <si>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</si>
  <si>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</si>
  <si>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</si>
  <si>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</si>
  <si>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</si>
  <si>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</si>
  <si>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</si>
  <si>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</si>
  <si>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</si>
  <si>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</si>
  <si>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</si>
  <si>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</si>
  <si>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</si>
  <si>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</si>
  <si>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</si>
  <si>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</si>
  <si>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</si>
  <si>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</si>
  <si>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</si>
  <si>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</si>
  <si>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</si>
  <si>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</si>
  <si>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</si>
  <si>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</si>
  <si>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</si>
  <si>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</si>
  <si>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</si>
  <si>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</si>
  <si>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</si>
  <si>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</si>
  <si>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</si>
  <si>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</si>
  <si>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</si>
  <si>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</si>
  <si>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</si>
  <si>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</si>
  <si>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</si>
  <si>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</si>
  <si>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</si>
  <si>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</si>
  <si>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</si>
  <si>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</si>
  <si>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</si>
  <si>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</si>
  <si>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</si>
  <si>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</si>
  <si>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</si>
  <si>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</si>
  <si>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</si>
  <si>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</si>
  <si>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</si>
  <si>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</si>
  <si>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</si>
  <si>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</si>
  <si>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</si>
  <si>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</si>
  <si>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</si>
  <si>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</si>
  <si>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</si>
  <si>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</si>
  <si>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</si>
  <si>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</si>
  <si>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</si>
  <si>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</si>
  <si>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</si>
  <si>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</si>
  <si>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</si>
  <si>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</si>
  <si>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</si>
  <si>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</si>
  <si>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</si>
  <si>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</si>
  <si>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</si>
  <si>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</si>
  <si>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</si>
  <si>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</si>
  <si>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</si>
  <si>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</si>
  <si>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</si>
  <si>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</si>
  <si>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</si>
  <si>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</si>
  <si>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</si>
  <si>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</si>
  <si>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</si>
  <si>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</si>
  <si>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</si>
  <si>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</si>
  <si>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</si>
  <si>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</si>
  <si>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</si>
  <si>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</si>
  <si>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</si>
  <si>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</si>
  <si>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</si>
  <si>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</si>
  <si>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</si>
  <si>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</si>
  <si>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</si>
  <si>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</si>
  <si>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</si>
  <si>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</si>
  <si>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</si>
  <si>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</si>
  <si>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</si>
  <si>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</si>
  <si>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</si>
  <si>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</si>
  <si>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</si>
  <si>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</si>
  <si>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</si>
  <si>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</si>
  <si>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</si>
  <si>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</si>
  <si>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</si>
  <si>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</si>
  <si>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</si>
  <si>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</si>
  <si>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</si>
  <si>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</si>
  <si>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</si>
  <si>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</si>
  <si>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</si>
  <si>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</si>
  <si>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</si>
  <si>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</si>
  <si>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</si>
  <si>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</si>
  <si>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</si>
  <si>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</si>
  <si>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</si>
  <si>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</si>
  <si>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</si>
  <si>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</si>
  <si>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</si>
  <si>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</si>
  <si>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</si>
  <si>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</si>
  <si>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</si>
  <si>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</si>
  <si>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</si>
  <si>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</si>
  <si>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</si>
  <si>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</si>
  <si>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</si>
  <si>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</si>
  <si>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</si>
  <si>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</si>
  <si>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</si>
  <si>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</si>
  <si>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</si>
  <si>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</si>
  <si>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</si>
  <si>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</si>
  <si>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</si>
  <si>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</si>
  <si>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</si>
  <si>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</si>
  <si>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</si>
  <si>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</si>
  <si>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</si>
  <si>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</si>
  <si>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</si>
  <si>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</si>
  <si>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</si>
  <si>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</si>
  <si>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</si>
  <si>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</si>
  <si>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</si>
  <si>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</si>
  <si>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</si>
  <si>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</si>
  <si>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</si>
  <si>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</si>
  <si>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</si>
  <si>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</si>
  <si>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</si>
  <si>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</si>
  <si>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</si>
  <si>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</si>
  <si>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</si>
  <si>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</si>
  <si>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</si>
  <si>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</si>
  <si>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</si>
  <si>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</si>
  <si>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</si>
  <si>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</si>
  <si>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</si>
  <si>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</si>
  <si>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</si>
  <si>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</si>
  <si>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</si>
  <si>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</si>
  <si>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</si>
  <si>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</si>
  <si>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</si>
  <si>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</si>
  <si>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</si>
  <si>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</si>
  <si>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</si>
  <si>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</si>
  <si>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</si>
  <si>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</si>
  <si>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</si>
  <si>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</si>
  <si>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</si>
  <si>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</si>
  <si>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</si>
  <si>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</si>
  <si>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</si>
  <si>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</si>
  <si>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</si>
  <si>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</si>
  <si>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</si>
  <si>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</si>
  <si>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</si>
  <si>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</si>
  <si>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</si>
  <si>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</si>
  <si>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</si>
  <si>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</si>
  <si>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</si>
  <si>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</si>
  <si>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</si>
  <si>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</si>
  <si>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</si>
  <si>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</si>
  <si>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</si>
  <si>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</si>
  <si>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</si>
  <si>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</si>
  <si>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</si>
  <si>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</si>
  <si>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</si>
  <si>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</si>
  <si>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</si>
  <si>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</si>
  <si>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</si>
  <si>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</si>
  <si>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</si>
  <si>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</si>
  <si>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</si>
  <si>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</si>
  <si>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</si>
  <si>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</si>
  <si>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</si>
  <si>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</si>
  <si>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</si>
  <si>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</si>
  <si>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</si>
  <si>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</si>
  <si>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</si>
  <si>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</si>
  <si>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</si>
  <si>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</si>
  <si>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</si>
  <si>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</si>
  <si>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</si>
  <si>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</si>
  <si>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</si>
  <si>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</si>
  <si>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</si>
  <si>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</si>
  <si>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</si>
  <si>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</si>
  <si>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</si>
  <si>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</si>
  <si>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</si>
  <si>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</si>
  <si>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</si>
  <si>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</si>
  <si>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</si>
  <si>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</si>
  <si>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</si>
  <si>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</si>
  <si>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</si>
  <si>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</si>
  <si>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</si>
  <si>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</si>
  <si>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</si>
  <si>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</si>
  <si>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</si>
  <si>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</si>
  <si>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</si>
  <si>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</si>
  <si>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</si>
  <si>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</si>
  <si>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</si>
  <si>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</si>
  <si>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</si>
  <si>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</si>
  <si>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</si>
  <si>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</si>
  <si>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</si>
  <si>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</si>
  <si>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</si>
  <si>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</si>
  <si>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</si>
  <si>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</si>
  <si>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</si>
  <si>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</si>
  <si>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</si>
  <si>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</si>
  <si>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</si>
  <si>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</si>
  <si>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</si>
  <si>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</si>
  <si>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</si>
  <si>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</si>
  <si>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</si>
  <si>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</si>
  <si>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</si>
  <si>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</si>
  <si>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</si>
  <si>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</si>
  <si>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</si>
  <si>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</si>
  <si>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</si>
  <si>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</si>
  <si>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</si>
  <si>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</si>
  <si>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</si>
  <si>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</si>
  <si>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</si>
  <si>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</si>
  <si>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</si>
  <si>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</si>
  <si>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</si>
  <si>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</si>
  <si>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</si>
  <si>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</si>
  <si>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</si>
  <si>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</si>
  <si>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</si>
  <si>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</si>
  <si>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</si>
  <si>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</si>
  <si>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</si>
  <si>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</si>
  <si>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</si>
  <si>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</si>
  <si>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</si>
  <si>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</si>
  <si>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</si>
  <si>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</si>
  <si>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</si>
  <si>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</si>
  <si>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</si>
  <si>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</si>
  <si>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</si>
  <si>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</si>
  <si>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</si>
  <si>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</si>
  <si>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</si>
  <si>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</si>
  <si>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</si>
  <si>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</si>
  <si>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</si>
  <si>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</si>
  <si>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</si>
  <si>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</si>
  <si>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</si>
  <si>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</si>
  <si>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</si>
  <si>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</si>
  <si>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</si>
  <si>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</si>
  <si>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</si>
  <si>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</si>
  <si>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</si>
  <si>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</si>
  <si>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</si>
  <si>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</si>
  <si>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</si>
  <si>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</si>
  <si>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</si>
  <si>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</si>
  <si>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</si>
  <si>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</si>
  <si>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</si>
  <si>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</si>
  <si>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</si>
  <si>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</si>
  <si>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</si>
  <si>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</si>
  <si>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</si>
  <si>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</si>
  <si>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</si>
  <si>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</si>
  <si>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</si>
  <si>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</si>
  <si>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</si>
  <si>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</si>
  <si>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</si>
  <si>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</si>
  <si>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</si>
  <si>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</si>
  <si>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</si>
  <si>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</si>
  <si>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</si>
  <si>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</si>
  <si>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</si>
  <si>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</si>
  <si>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</si>
  <si>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</si>
  <si>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</si>
  <si>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</si>
  <si>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</si>
  <si>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</si>
  <si>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</si>
  <si>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</si>
  <si>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</si>
  <si>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</si>
  <si>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</si>
  <si>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</si>
  <si>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</si>
  <si>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</si>
  <si>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</si>
  <si>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</si>
  <si>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</si>
  <si>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</si>
  <si>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</si>
  <si>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</si>
  <si>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</si>
  <si>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</si>
  <si>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</si>
  <si>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</si>
  <si>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</si>
  <si>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</si>
  <si>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</si>
  <si>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</si>
  <si>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</si>
  <si>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</si>
  <si>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</si>
  <si>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</si>
  <si>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</si>
  <si>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</si>
  <si>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</si>
  <si>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</si>
  <si>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</si>
  <si>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</si>
  <si>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</si>
  <si>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</si>
  <si>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</si>
  <si>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</si>
  <si>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</si>
  <si>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</si>
  <si>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</si>
  <si>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</si>
  <si>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</si>
  <si>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</si>
  <si>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</si>
  <si>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</si>
  <si>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</si>
  <si>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</si>
  <si>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</si>
  <si>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</si>
  <si>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</si>
  <si>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</si>
  <si>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</si>
  <si>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</si>
  <si>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</si>
  <si>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</si>
  <si>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</si>
  <si>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</si>
  <si>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</si>
  <si>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</si>
  <si>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</si>
  <si>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</si>
  <si>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</si>
  <si>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</si>
  <si>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</si>
  <si>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</si>
  <si>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</si>
  <si>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</si>
  <si>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</si>
  <si>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</si>
  <si>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</si>
  <si>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</si>
  <si>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</si>
  <si>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</si>
  <si>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</si>
  <si>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</si>
  <si>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</si>
  <si>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</si>
  <si>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</si>
  <si>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</si>
  <si>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</si>
  <si>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</si>
  <si>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</si>
  <si>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</si>
  <si>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</si>
  <si>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</si>
  <si>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</si>
  <si>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</si>
  <si>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</si>
  <si>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</si>
  <si>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</si>
  <si>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</si>
  <si>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</si>
  <si>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</si>
  <si>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</si>
  <si>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</si>
  <si>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</si>
  <si>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</si>
  <si>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</si>
  <si>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</si>
  <si>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</si>
  <si>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</si>
  <si>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</si>
  <si>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</si>
  <si>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</si>
  <si>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</si>
  <si>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</si>
  <si>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</si>
  <si>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</si>
  <si>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</si>
  <si>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</si>
  <si>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</si>
  <si>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</si>
  <si>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</si>
  <si>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</si>
  <si>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</si>
  <si>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</si>
  <si>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</si>
  <si>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</si>
  <si>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</si>
  <si>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</si>
  <si>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</si>
  <si>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</si>
  <si>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</si>
  <si>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</si>
  <si>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</si>
  <si>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</si>
  <si>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</si>
  <si>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</si>
  <si>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</si>
  <si>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</si>
  <si>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</si>
  <si>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</si>
  <si>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</si>
  <si>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</si>
  <si>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</si>
  <si>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</si>
  <si>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</si>
  <si>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</si>
  <si>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</si>
  <si>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</si>
  <si>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</si>
  <si>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</si>
  <si>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</si>
  <si>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</si>
  <si>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</si>
  <si>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</si>
  <si>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</si>
  <si>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</si>
  <si>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</si>
  <si>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</si>
  <si>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</si>
  <si>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</si>
  <si>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</si>
  <si>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</si>
  <si>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</si>
  <si>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</si>
  <si>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</si>
  <si>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</si>
  <si>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</si>
  <si>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</si>
  <si>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</si>
  <si>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</si>
  <si>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</si>
  <si>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</si>
  <si>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</si>
  <si>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</si>
  <si>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</si>
  <si>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</si>
  <si>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</si>
  <si>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</si>
  <si>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</si>
  <si>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</si>
  <si>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</si>
  <si>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</si>
  <si>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</si>
  <si>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</si>
  <si>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</si>
  <si>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</si>
  <si>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</si>
  <si>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</si>
  <si>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</si>
  <si>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</si>
  <si>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</si>
  <si>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</si>
  <si>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</si>
  <si>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</si>
  <si>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</si>
  <si>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</si>
  <si>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</si>
  <si>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</si>
  <si>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</si>
  <si>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</si>
  <si>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</si>
  <si>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</si>
  <si>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</si>
  <si>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</si>
  <si>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</si>
  <si>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</si>
  <si>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</si>
  <si>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</si>
  <si>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</si>
  <si>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</si>
  <si>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</si>
  <si>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</si>
  <si>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</si>
  <si>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</si>
  <si>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</si>
  <si>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</si>
  <si>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</si>
  <si>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</si>
  <si>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</si>
  <si>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</si>
  <si>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</si>
  <si>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</si>
  <si>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</si>
  <si>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</si>
  <si>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</si>
  <si>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</si>
  <si>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</si>
  <si>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</si>
  <si>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</si>
  <si>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</si>
  <si>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</si>
  <si>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</si>
  <si>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</si>
  <si>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</si>
  <si>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</si>
  <si>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</si>
  <si>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</si>
  <si>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</si>
  <si>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</si>
  <si>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</si>
  <si>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</si>
  <si>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</si>
  <si>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</si>
  <si>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</si>
  <si>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</si>
  <si>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</si>
  <si>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</si>
  <si>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</si>
  <si>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</si>
  <si>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</si>
  <si>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</si>
  <si>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</si>
  <si>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</si>
  <si>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</si>
  <si>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</si>
  <si>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</si>
  <si>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</si>
  <si>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</si>
  <si>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</si>
  <si>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</si>
  <si>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</si>
  <si>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</si>
  <si>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</si>
  <si>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</si>
  <si>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</si>
  <si>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</si>
  <si>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</si>
  <si>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</si>
  <si>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</si>
  <si>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</si>
  <si>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</si>
  <si>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</si>
  <si>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</si>
  <si>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</si>
  <si>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</si>
  <si>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</si>
  <si>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</si>
  <si>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</si>
  <si>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</si>
  <si>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</si>
  <si>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</si>
  <si>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</si>
  <si>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</si>
  <si>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</si>
  <si>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2026-2</t>
    <phoneticPr fontId="4" type="noConversion"/>
  </si>
  <si>
    <t>工业-城六区</t>
    <phoneticPr fontId="4" type="noConversion"/>
  </si>
  <si>
    <t>工业-城六区</t>
    <phoneticPr fontId="4" type="noConversion"/>
  </si>
  <si>
    <t>工业-规划新城</t>
    <phoneticPr fontId="4" type="noConversion"/>
  </si>
  <si>
    <t>ROUND(IF(J23="中心城区",SUMPRODUCT(('地价-分区'!A4:A28=YEAR(G23)&amp;"-"&amp;ROUNDUP(MONTH(G23)/3,0))*('地价-分区'!U2:Z2=E2)*('地价-分区'!U4:Z28)),</t>
    <phoneticPr fontId="4" type="noConversion"/>
  </si>
  <si>
    <t>IF(J23="工业-城六区",SUMPRODUCT(('地价-分区'!A4:A16=YEAR(G23)&amp;"-"&amp;ROUNDUP(MONTH(G23)/3,0))*('地价-分区'!Y4:Y16))，</t>
    <phoneticPr fontId="4" type="noConversion"/>
  </si>
  <si>
    <t>IF(J23="工业-规划新城",SUMPRODUCT(('地价-分区'!A36:A48=YEAR(G23)&amp;"-"&amp;ROUNDUP(MONTH(G23)/3,0))*('地价-分区'!Y36:Y48)))))),4)</t>
    <phoneticPr fontId="4" type="noConversion"/>
  </si>
  <si>
    <t>IF(J23="中心城区以外",SUMPRODUCT(('地价-分区'!A36:A60=YEAR(G23)&amp;"-"&amp;ROUNDUP(MONTH(G23)/3,0))*('地价-分区'!U34:Z34=E2)*('地价-分区'!U36:Z60)),</t>
    <phoneticPr fontId="4" type="noConversion"/>
  </si>
  <si>
    <t>销项税率</t>
    <phoneticPr fontId="135" type="noConversion"/>
  </si>
  <si>
    <t>9%</t>
    <phoneticPr fontId="135" type="noConversion"/>
  </si>
  <si>
    <t>建筑物残值</t>
    <phoneticPr fontId="135" type="noConversion"/>
  </si>
  <si>
    <t>楼面单价</t>
    <phoneticPr fontId="135" type="noConversion"/>
  </si>
  <si>
    <t>收益价值</t>
    <phoneticPr fontId="4" type="noConversion"/>
  </si>
  <si>
    <r>
      <t>收益价值</t>
    </r>
    <r>
      <rPr>
        <b/>
        <sz val="10"/>
        <color rgb="FFFF0000"/>
        <rFont val="宋体"/>
        <family val="3"/>
        <charset val="134"/>
      </rPr>
      <t>（含税）</t>
    </r>
    <phoneticPr fontId="135" type="noConversion"/>
  </si>
  <si>
    <t>（四）收益价值</t>
    <phoneticPr fontId="4" type="noConversion"/>
  </si>
  <si>
    <t>抵押</t>
  </si>
  <si>
    <t>房地产抵押价值</t>
  </si>
  <si>
    <t>北京市</t>
  </si>
  <si>
    <t>企业</t>
  </si>
  <si>
    <t>房山龙湖天街</t>
    <phoneticPr fontId="4" type="noConversion"/>
  </si>
  <si>
    <t>是</t>
  </si>
  <si>
    <t>分摊土地面积</t>
    <phoneticPr fontId="135" type="noConversion"/>
  </si>
  <si>
    <t>测绘分层</t>
    <phoneticPr fontId="135" type="noConversion"/>
  </si>
  <si>
    <t>建筑面积</t>
    <phoneticPr fontId="135" type="noConversion"/>
  </si>
  <si>
    <t>房地产价值</t>
    <phoneticPr fontId="135" type="noConversion"/>
  </si>
  <si>
    <t>建筑面积（含人防）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</si>
  <si>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</si>
  <si>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</si>
  <si>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</si>
  <si>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</si>
  <si>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</si>
  <si>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</si>
  <si>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</si>
  <si>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</si>
  <si>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</si>
  <si>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</si>
  <si>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</si>
  <si>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</si>
  <si>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</si>
  <si>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</si>
  <si>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</si>
  <si>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</si>
  <si>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</si>
  <si>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</si>
  <si>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</si>
  <si>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</si>
  <si>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</si>
  <si>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</si>
  <si>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</si>
  <si>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</si>
  <si>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</si>
  <si>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</si>
  <si>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</si>
  <si>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</si>
  <si>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</si>
  <si>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</si>
  <si>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</si>
  <si>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</si>
  <si>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</si>
  <si>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</si>
  <si>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</si>
  <si>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</si>
  <si>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</si>
  <si>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</si>
  <si>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</si>
  <si>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</si>
  <si>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</si>
  <si>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</si>
  <si>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</si>
  <si>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</si>
  <si>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</si>
  <si>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</si>
  <si>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</si>
  <si>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</si>
  <si>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</si>
  <si>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</si>
  <si>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</si>
  <si>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</si>
  <si>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</si>
  <si>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</si>
  <si>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</si>
  <si>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</si>
  <si>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</si>
  <si>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</si>
  <si>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</si>
  <si>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</si>
  <si>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r>
      <t>-</t>
    </r>
    <r>
      <rPr>
        <sz val="11"/>
        <color theme="1"/>
        <rFont val="宋体"/>
        <family val="3"/>
        <charset val="134"/>
        <scheme val="minor"/>
      </rPr>
      <t>1124</t>
    </r>
    <phoneticPr fontId="13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</si>
  <si>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</si>
  <si>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</si>
  <si>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t>地下车库</t>
    <phoneticPr fontId="135" type="noConversion"/>
  </si>
  <si>
    <r>
      <t>-</t>
    </r>
    <r>
      <rPr>
        <sz val="11"/>
        <color theme="1"/>
        <rFont val="宋体"/>
        <family val="3"/>
        <charset val="134"/>
        <scheme val="minor"/>
      </rPr>
      <t>1144</t>
    </r>
    <phoneticPr fontId="135" type="noConversion"/>
  </si>
  <si>
    <r>
      <t>-</t>
    </r>
    <r>
      <rPr>
        <sz val="11"/>
        <color theme="1"/>
        <rFont val="宋体"/>
        <family val="3"/>
        <charset val="134"/>
        <scheme val="minor"/>
      </rPr>
      <t>1145</t>
    </r>
    <phoneticPr fontId="135" type="noConversion"/>
  </si>
  <si>
    <r>
      <t>-</t>
    </r>
    <r>
      <rPr>
        <sz val="11"/>
        <color theme="1"/>
        <rFont val="宋体"/>
        <family val="3"/>
        <charset val="134"/>
        <scheme val="minor"/>
      </rPr>
      <t>1146</t>
    </r>
    <phoneticPr fontId="135" type="noConversion"/>
  </si>
  <si>
    <t>-3层合计</t>
    <phoneticPr fontId="135" type="noConversion"/>
  </si>
  <si>
    <t>地下商业</t>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</si>
  <si>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</si>
  <si>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</si>
  <si>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</si>
  <si>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</si>
  <si>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</si>
  <si>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</si>
  <si>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</si>
  <si>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</si>
  <si>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</si>
  <si>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</si>
  <si>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</si>
  <si>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</si>
  <si>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</si>
  <si>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</si>
  <si>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</si>
  <si>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</si>
  <si>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</si>
  <si>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</si>
  <si>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</si>
  <si>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</si>
  <si>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</si>
  <si>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</si>
  <si>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</si>
  <si>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</si>
  <si>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</si>
  <si>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</si>
  <si>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</si>
  <si>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</si>
  <si>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</si>
  <si>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</si>
  <si>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</si>
  <si>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</si>
  <si>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</si>
  <si>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</si>
  <si>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</si>
  <si>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</si>
  <si>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</si>
  <si>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</si>
  <si>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</si>
  <si>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</si>
  <si>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</si>
  <si>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</si>
  <si>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</si>
  <si>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</si>
  <si>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</si>
  <si>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</si>
  <si>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</si>
  <si>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</si>
  <si>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</si>
  <si>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</si>
  <si>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</si>
  <si>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</si>
  <si>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</si>
  <si>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</si>
  <si>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</si>
  <si>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</si>
  <si>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</si>
  <si>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</si>
  <si>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</si>
  <si>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</si>
  <si>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</si>
  <si>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</si>
  <si>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</si>
  <si>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</si>
  <si>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</si>
  <si>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</si>
  <si>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</si>
  <si>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</si>
  <si>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</si>
  <si>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</si>
  <si>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</si>
  <si>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</si>
  <si>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</si>
  <si>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</si>
  <si>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</si>
  <si>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</si>
  <si>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</si>
  <si>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</si>
  <si>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</si>
  <si>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</si>
  <si>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</si>
  <si>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</si>
  <si>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</si>
  <si>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</si>
  <si>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</si>
  <si>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</si>
  <si>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</si>
  <si>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</si>
  <si>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</si>
  <si>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</si>
  <si>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</si>
  <si>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</si>
  <si>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</si>
  <si>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</si>
  <si>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</si>
  <si>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</si>
  <si>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</si>
  <si>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</si>
  <si>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</si>
  <si>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</si>
  <si>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</si>
  <si>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</si>
  <si>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</si>
  <si>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</si>
  <si>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</si>
  <si>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</si>
  <si>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</si>
  <si>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</si>
  <si>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</si>
  <si>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</si>
  <si>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</si>
  <si>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</si>
  <si>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</si>
  <si>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</si>
  <si>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</si>
  <si>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</si>
  <si>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</si>
  <si>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</si>
  <si>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</si>
  <si>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</si>
  <si>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</si>
  <si>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</si>
  <si>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</si>
  <si>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</si>
  <si>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</si>
  <si>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</si>
  <si>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</si>
  <si>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</si>
  <si>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</si>
  <si>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</si>
  <si>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</si>
  <si>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</si>
  <si>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</si>
  <si>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</si>
  <si>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</si>
  <si>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</si>
  <si>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</si>
  <si>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</si>
  <si>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</si>
  <si>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</si>
  <si>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</si>
  <si>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</si>
  <si>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</si>
  <si>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</si>
  <si>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</si>
  <si>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</si>
  <si>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</si>
  <si>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</si>
  <si>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</si>
  <si>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</si>
  <si>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</si>
  <si>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</si>
  <si>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</si>
  <si>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</si>
  <si>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</si>
  <si>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</si>
  <si>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</si>
  <si>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</si>
  <si>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</si>
  <si>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</si>
  <si>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</si>
  <si>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</si>
  <si>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</si>
  <si>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</si>
  <si>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</si>
  <si>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</si>
  <si>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</si>
  <si>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</si>
  <si>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</si>
  <si>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</si>
  <si>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</si>
  <si>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</si>
  <si>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</si>
  <si>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</si>
  <si>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</si>
  <si>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</si>
  <si>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</si>
  <si>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</si>
  <si>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</si>
  <si>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</si>
  <si>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</si>
  <si>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</si>
  <si>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</si>
  <si>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</si>
  <si>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</si>
  <si>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</si>
  <si>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</si>
  <si>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</si>
  <si>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</si>
  <si>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</si>
  <si>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</si>
  <si>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</si>
  <si>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</si>
  <si>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</si>
  <si>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</si>
  <si>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</si>
  <si>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</si>
  <si>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</si>
  <si>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</si>
  <si>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</si>
  <si>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</si>
  <si>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</si>
  <si>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</si>
  <si>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</si>
  <si>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</si>
  <si>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</si>
  <si>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</si>
  <si>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</si>
  <si>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</si>
  <si>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</si>
  <si>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</si>
  <si>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</si>
  <si>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</si>
  <si>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</si>
  <si>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</si>
  <si>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</si>
  <si>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</si>
  <si>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</si>
  <si>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</si>
  <si>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</si>
  <si>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</si>
  <si>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</si>
  <si>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</si>
  <si>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</si>
  <si>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</si>
  <si>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</si>
  <si>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</si>
  <si>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</si>
  <si>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</si>
  <si>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</si>
  <si>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</si>
  <si>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</si>
  <si>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</si>
  <si>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</si>
  <si>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</si>
  <si>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</si>
  <si>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</si>
  <si>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</si>
  <si>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</si>
  <si>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</si>
  <si>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</si>
  <si>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</si>
  <si>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</si>
  <si>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</si>
  <si>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</si>
  <si>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</si>
  <si>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</si>
  <si>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</si>
  <si>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</si>
  <si>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</si>
  <si>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</si>
  <si>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</si>
  <si>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</si>
  <si>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</si>
  <si>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</si>
  <si>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</si>
  <si>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</si>
  <si>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</si>
  <si>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</si>
  <si>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</si>
  <si>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</si>
  <si>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</si>
  <si>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</si>
  <si>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</si>
  <si>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</si>
  <si>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</si>
  <si>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</si>
  <si>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</si>
  <si>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</si>
  <si>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</si>
  <si>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</si>
  <si>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</si>
  <si>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</si>
  <si>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</si>
  <si>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</si>
  <si>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</si>
  <si>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</si>
  <si>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</si>
  <si>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</si>
  <si>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</si>
  <si>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</si>
  <si>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</si>
  <si>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</si>
  <si>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</si>
  <si>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</si>
  <si>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</si>
  <si>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</si>
  <si>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</si>
  <si>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</si>
  <si>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</si>
  <si>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</si>
  <si>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</si>
  <si>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</si>
  <si>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</si>
  <si>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</si>
  <si>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</si>
  <si>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</si>
  <si>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</si>
  <si>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</si>
  <si>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</si>
  <si>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</si>
  <si>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</si>
  <si>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</si>
  <si>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</si>
  <si>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</si>
  <si>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</si>
  <si>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</si>
  <si>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</si>
  <si>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</si>
  <si>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</si>
  <si>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</si>
  <si>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t>成新度</t>
  </si>
  <si>
    <t>Ⅶ-房1</t>
  </si>
  <si>
    <t>高档</t>
  </si>
  <si>
    <t>单方造价</t>
  </si>
  <si>
    <t>成本科目</t>
  </si>
  <si>
    <t>商业9</t>
  </si>
  <si>
    <t>商业6</t>
  </si>
  <si>
    <t>商业3</t>
  </si>
  <si>
    <t>小区管网工程费</t>
  </si>
  <si>
    <t>建安费用</t>
  </si>
  <si>
    <t>占比</t>
  </si>
  <si>
    <t>自定义容积率</t>
  </si>
  <si>
    <t>不临65条商业街</t>
  </si>
  <si>
    <t>与级别开发程度一致</t>
  </si>
  <si>
    <t>按公示增长率计算</t>
  </si>
  <si>
    <t>中心城区以外</t>
  </si>
  <si>
    <t>容积率修正</t>
  </si>
  <si>
    <t>好</t>
  </si>
  <si>
    <t>含税</t>
  </si>
  <si>
    <t>押一</t>
  </si>
  <si>
    <t>按不含税租金收入（有效毛租金收入）计税</t>
  </si>
  <si>
    <t>钢混</t>
  </si>
  <si>
    <t>非生产用房</t>
  </si>
  <si>
    <t>否</t>
  </si>
  <si>
    <t>未包含在土地购买价格中</t>
  </si>
  <si>
    <t>全部缴纳</t>
  </si>
  <si>
    <t>已包含在土地取得成本中</t>
  </si>
  <si>
    <t>北京易创通景信息科技有限公司</t>
  </si>
  <si>
    <t>挂牌</t>
  </si>
  <si>
    <t>≤2.8</t>
  </si>
  <si>
    <t>商业 40 年、办公 50 年</t>
  </si>
  <si>
    <t>B4综合性商业金融服务业用地</t>
  </si>
  <si>
    <t>商业/办公用地</t>
  </si>
  <si>
    <t>京土储挂(通)〔2023〕004号</t>
  </si>
  <si>
    <t>北京市通州区永顺镇0401街区 46号地块(西马庄收储) B4综合性商业金融服务业用地</t>
  </si>
  <si>
    <t>北京京东方医院有限公司</t>
  </si>
  <si>
    <t>fs00-dd06-0018、0019容积率1.6;0023、0024容积率2.5</t>
  </si>
  <si>
    <t>商业40年办公50年</t>
  </si>
  <si>
    <t>F3其他类多功能用地</t>
  </si>
  <si>
    <t>京土储挂(房)[2023]013号</t>
  </si>
  <si>
    <t>北京市房山区窦店镇高端制造业基地06街区01地块FS00-DD06-0018、0019、0023、0024地块F3其他类多功能用地</t>
  </si>
  <si>
    <t>北京金唐丽行科技服务有限责任公司 、北京金唐建投科技服务中心(有限合伙) 、北京丽控建投科技服务中心(有限合伙)</t>
  </si>
  <si>
    <t>F3其他类多功能用地、S32公交场站设施用地</t>
  </si>
  <si>
    <t>京土储挂(丰)[2023]014号</t>
  </si>
  <si>
    <t>北京市丰台区丽泽金融商务区FT00-0612-0016等地块F3其他类多功能用地、S32公交场站设施用地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</si>
  <si>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</si>
  <si>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</si>
  <si>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</si>
  <si>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</si>
  <si>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</si>
  <si>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</si>
  <si>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商业40年办公50年公服50年</t>
  </si>
  <si>
    <t>京土储挂(通)[2023]042号</t>
  </si>
  <si>
    <t>北京城市副中心0201街区玉桥家园中心FZX-0201-0096、0102地块F3其他类多功能用地国有建设用地使用权出让公告</t>
  </si>
  <si>
    <t>中国南水北调集团综合服务有限公司</t>
  </si>
  <si>
    <t>小于等于7</t>
  </si>
  <si>
    <t>商业40年 办公50年</t>
  </si>
  <si>
    <t>京土储挂(丰)[2023]067号</t>
  </si>
  <si>
    <t>北京丽泽金融商务区北区A地块建设及综合治理项目FT00-0609-0037(2)地块B4综合性商业金融服务业用地</t>
  </si>
  <si>
    <t>北京保恒置业发展有限公司</t>
  </si>
  <si>
    <t>B23研发设计用地</t>
  </si>
  <si>
    <t>京土储挂(石)[2023]072号</t>
  </si>
  <si>
    <t>北京市石景山区中关村科技园区石景山园北I区1605-650地块B23研发设计用地</t>
  </si>
  <si>
    <t>北京城市副中心投资建设集团有限公司</t>
  </si>
  <si>
    <t>地面层:0.04、地下一层:0.43、地下二层:0.74</t>
  </si>
  <si>
    <t>商业 40 年 办公 50 年</t>
  </si>
  <si>
    <t>其他公园绿地、地下用地</t>
  </si>
  <si>
    <t>京土储挂(通)〔2024〕018号</t>
  </si>
  <si>
    <t>北京城市副中心通州运河核心区6号地项目VIII-09瓮城遗址公园地块国有建设用地使用权出让</t>
  </si>
  <si>
    <t>北京海创英才安居置业有限公司</t>
  </si>
  <si>
    <t>≤2.5</t>
  </si>
  <si>
    <t>商业40年,办公50年</t>
  </si>
  <si>
    <t>京土储挂(开)[2024]028号</t>
  </si>
  <si>
    <t>北京经济技术开发区亦庄新城0701 街区 N17F3地块F3其他类多功能用地</t>
  </si>
  <si>
    <t>北京航城兴贤商业管理有限公司</t>
  </si>
  <si>
    <t>京土储挂(兴临空)〔2024〕030号</t>
  </si>
  <si>
    <t>北京大兴国际机场临空经济区 DX16-0104-0013地块F3其他类多功能用地</t>
  </si>
  <si>
    <t>北京通州鲸航置业发展有限公司</t>
  </si>
  <si>
    <t>京土储挂(通)〔2024〕031号</t>
  </si>
  <si>
    <t>北京城市副中心1202街区FZX-1202-0074地块 F3其他类多功能用地国有建设用地使用权挂牌出让</t>
  </si>
  <si>
    <t>北京闼闼同创商务有限公司</t>
  </si>
  <si>
    <t>办公50年;商业40年</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</si>
  <si>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</si>
  <si>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</si>
  <si>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</si>
  <si>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</si>
  <si>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F81集体产业用地</t>
  </si>
  <si>
    <t>京规自集使挂(兴)[2024]003号</t>
  </si>
  <si>
    <t>大兴区榆垡镇DX09-1301-6401等地块F81集体产业用地</t>
  </si>
  <si>
    <t>北京水务投资集团有限公司</t>
  </si>
  <si>
    <t>商业40 年,办公50 年</t>
  </si>
  <si>
    <t>京土储挂(通)[2025]003号</t>
  </si>
  <si>
    <t>北京祥龙物业经营管理有限公司</t>
  </si>
  <si>
    <t>京土储挂(通)[2025]007号</t>
  </si>
  <si>
    <t>北京市基础设施投资有限公司</t>
  </si>
  <si>
    <t>0306:1.4, 0307(2):2.6,0309:7.5</t>
  </si>
  <si>
    <t>北京城市副中心站综合交通枢纽地区 FZX-0101-03单元FZX-0101-0306、 0307(2)、0309地块 F3其他类多功能用地</t>
  </si>
  <si>
    <t>北京市南郊农场有限公司</t>
  </si>
  <si>
    <t>京土储挂(开)[2025]030号</t>
  </si>
  <si>
    <t>北京经济技术开发区亦庄新城YZ00-0302街区 C4F1地块F3其他类多功能用地</t>
  </si>
  <si>
    <t>中国华冶科工集团有限公司</t>
  </si>
  <si>
    <t>京土储挂(开)[2025]031号</t>
  </si>
  <si>
    <t>北京经济技术开发区亦庄新城YZ00-0206街区X44B2地块B4综合性商业金融服务业用地</t>
  </si>
  <si>
    <t>北京京国盛置业有限责任公司</t>
  </si>
  <si>
    <t>≤6.35</t>
  </si>
  <si>
    <t>商业年40办公年50</t>
  </si>
  <si>
    <t>京土储挂(通)[2025]033号</t>
  </si>
  <si>
    <t>中能建(北京)智慧算力科技有限公司</t>
  </si>
  <si>
    <t>办公50年,商业40年</t>
  </si>
  <si>
    <t>商务金融用地(B2)</t>
  </si>
  <si>
    <t>京土储挂(开)[2025]046号</t>
  </si>
  <si>
    <t>北京经济技术开发区亦庄新城YZ00-0302街区B4B2地块商务金融用地(B2)</t>
  </si>
  <si>
    <t>北京石泰集团有限公司</t>
  </si>
  <si>
    <t>b4:2.7,f3:3.33.9</t>
  </si>
  <si>
    <t>B4综合性商业金融服务业用地、F3其他类多功能用地</t>
  </si>
  <si>
    <t>京土储挂(石)[2025]047号</t>
  </si>
  <si>
    <t>蓝箭航天空间科技股份有限公司</t>
  </si>
  <si>
    <t>商业40年、办公50年</t>
  </si>
  <si>
    <t>B2商务用地</t>
  </si>
  <si>
    <t>京土储挂(开)[2026]003号</t>
  </si>
  <si>
    <t>北京经济技术开发区亦庄新城YZ00-0107街区79B2地块B2商务用地</t>
  </si>
  <si>
    <t>北京兴创和盛置业有限公司</t>
  </si>
  <si>
    <t>≤1.25</t>
  </si>
  <si>
    <t>商业40年</t>
  </si>
  <si>
    <t>B4 综合性商业金融服务业用地</t>
  </si>
  <si>
    <t>京土储挂(兴)[2026]006号</t>
  </si>
  <si>
    <t>北京市大兴区采育镇DX15-0101-0067地块B4综合性商业金融服务业用地</t>
  </si>
  <si>
    <t>奥创维康医疗科技(北京)有限公司</t>
  </si>
  <si>
    <t>≤1.2</t>
  </si>
  <si>
    <t>京土储挂(通)[2026]009号</t>
  </si>
  <si>
    <t>北京市通州区永顺镇邓家窑及永顺村南部地块土地一级开发项目FZX-0501-6019地块B4综合性商业金融服务业用地</t>
  </si>
  <si>
    <t>北京通州帅府儒意房地产开发有限公司</t>
  </si>
  <si>
    <t>B1商业用地</t>
  </si>
  <si>
    <t>京土储挂(通)[2026]010号</t>
  </si>
  <si>
    <t>北京市通州区宋庄镇丁各庄等四村城中村改造二片区项目FZX-0703-6001地块B1商业用地</t>
  </si>
  <si>
    <t>地块名称</t>
  </si>
  <si>
    <t>地块编号</t>
  </si>
  <si>
    <t>建设用地面积(㎡)</t>
  </si>
  <si>
    <t>规划建筑面积(㎡)</t>
  </si>
  <si>
    <t>详细规划</t>
  </si>
  <si>
    <t>年限</t>
    <phoneticPr fontId="135" type="noConversion"/>
  </si>
  <si>
    <t>容积率</t>
  </si>
  <si>
    <t>出让方式</t>
  </si>
  <si>
    <t>成交日期</t>
  </si>
  <si>
    <t>成交价(万元)</t>
  </si>
  <si>
    <t>成交每亩价(万元/亩)</t>
  </si>
  <si>
    <t>溢价率</t>
    <phoneticPr fontId="135" type="noConversion"/>
  </si>
  <si>
    <t>成交楼面价(元/㎡)</t>
    <phoneticPr fontId="135" type="noConversion"/>
  </si>
  <si>
    <t>成交地面价(元/㎡)</t>
    <phoneticPr fontId="135" type="noConversion"/>
  </si>
  <si>
    <t>受让单位</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</si>
  <si>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</si>
  <si>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</si>
  <si>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</si>
  <si>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</si>
  <si>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</si>
  <si>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</si>
  <si>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</si>
  <si>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</si>
  <si>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</si>
  <si>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</si>
  <si>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</si>
  <si>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较适宜</t>
    <phoneticPr fontId="4" type="noConversion"/>
  </si>
  <si>
    <t>较好</t>
    <phoneticPr fontId="4" type="noConversion"/>
  </si>
  <si>
    <t>正常</t>
  </si>
  <si>
    <t>B4</t>
  </si>
  <si>
    <t xml:space="preserve">F3 </t>
  </si>
  <si>
    <t>自持限制</t>
    <phoneticPr fontId="31" type="noConversion"/>
  </si>
  <si>
    <r>
      <t>40%</t>
    </r>
    <r>
      <rPr>
        <sz val="11"/>
        <color indexed="8"/>
        <rFont val="宋体"/>
        <family val="3"/>
        <charset val="134"/>
      </rPr>
      <t>商业永久自持</t>
    </r>
    <phoneticPr fontId="31" type="noConversion"/>
  </si>
  <si>
    <t>无自持</t>
    <phoneticPr fontId="31" type="noConversion"/>
  </si>
  <si>
    <t>京土储挂(通)[2025]008号</t>
    <phoneticPr fontId="135" type="noConversion"/>
  </si>
  <si>
    <t>https://baijiahao.baidu.com/s?id=1847863309780508125&amp;wfr=spider&amp;for=pc</t>
  </si>
  <si>
    <t>北京城市副中心站综合交通枢纽地区 FZX-0101-03单元FZX-0101-0307 (3)地块F3其他类多功能用地</t>
    <phoneticPr fontId="135" type="noConversion"/>
  </si>
  <si>
    <t>较适宜</t>
  </si>
  <si>
    <t>https://mp.weixin.qq.com/s?__biz=MjM5NDA2MTU5Ng==&amp;mid=2671231611&amp;idx=1&amp;sn=5a7e3f6e88b45347f619373c3afb768c&amp;chksm=bd47a426d2c499fcb7289a5e6108dfe92da7eae3ea7a2d77be9879d3135c64e72e2dba25aa98&amp;scene=27</t>
  </si>
  <si>
    <t>估价对象周边居住用地比例、居住小区规模和社区发展完善程度，综合评价居住社区成熟度一般</t>
    <phoneticPr fontId="41" type="noConversion"/>
  </si>
  <si>
    <t>估价对象周边3公里范围有华冠购物中心、国泰良辰百货等购物中心及社区配套商业用房，人流量较大，集中程度较好，商业繁华度较好。</t>
    <phoneticPr fontId="25" type="noConversion"/>
  </si>
  <si>
    <t>估价对象周边有多条城市主次干道通过，路网密集程度较好，道路通达程度较好。周边有952路、953路、F33路、F37路、F85路等多条公交线路，综合评价交通便捷度较好。</t>
    <phoneticPr fontId="41" type="noConversion"/>
  </si>
  <si>
    <t>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t>
    <phoneticPr fontId="41" type="noConversion"/>
  </si>
  <si>
    <t>估价对象周边有房山人民公园、北潞园健身公园等绿化景观，自然环境较好；有房山区良乡体育中心等人文场所，人文环境较好；综合评价环境状况较好。</t>
    <phoneticPr fontId="41" type="noConversion"/>
  </si>
  <si>
    <t>七通</t>
    <phoneticPr fontId="25" type="noConversion"/>
  </si>
  <si>
    <r>
      <rPr>
        <sz val="11"/>
        <rFont val="宋体"/>
        <family val="3"/>
        <charset val="134"/>
      </rPr>
      <t>周边</t>
    </r>
    <r>
      <rPr>
        <sz val="11"/>
        <rFont val="Arial"/>
        <family val="2"/>
      </rPr>
      <t>3</t>
    </r>
    <r>
      <rPr>
        <sz val="11"/>
        <rFont val="宋体"/>
        <family val="3"/>
        <charset val="134"/>
      </rPr>
      <t>公里范围有北京华联</t>
    </r>
    <r>
      <rPr>
        <sz val="11"/>
        <rFont val="Arial"/>
        <family val="2"/>
      </rPr>
      <t>BHG Mall(</t>
    </r>
    <r>
      <rPr>
        <sz val="11"/>
        <rFont val="宋体"/>
        <family val="3"/>
        <charset val="134"/>
      </rPr>
      <t>武夷店</t>
    </r>
    <r>
      <rPr>
        <sz val="11"/>
        <rFont val="Arial"/>
        <family val="2"/>
      </rPr>
      <t>)</t>
    </r>
    <r>
      <rPr>
        <sz val="11"/>
        <rFont val="宋体"/>
        <family val="3"/>
        <charset val="134"/>
      </rPr>
      <t>、合景悠方天地购物中心</t>
    </r>
    <r>
      <rPr>
        <sz val="11"/>
        <rFont val="Arial"/>
        <family val="2"/>
      </rPr>
      <t>(</t>
    </r>
    <r>
      <rPr>
        <sz val="11"/>
        <rFont val="宋体"/>
        <family val="3"/>
        <charset val="134"/>
      </rPr>
      <t>合景中心店</t>
    </r>
    <r>
      <rPr>
        <sz val="11"/>
        <rFont val="Arial"/>
        <family val="2"/>
      </rPr>
      <t>)</t>
    </r>
    <r>
      <rPr>
        <sz val="11"/>
        <rFont val="宋体"/>
        <family val="3"/>
        <charset val="134"/>
      </rPr>
      <t>及社区配套商业用房，人流量较大，集中程度较好，商业繁华度较好。</t>
    </r>
    <phoneticPr fontId="31"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</si>
  <si>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1" type="noConversion"/>
  </si>
  <si>
    <r>
      <rPr>
        <sz val="11"/>
        <rFont val="宋体"/>
        <family val="3"/>
        <charset val="134"/>
      </rPr>
      <t>周边</t>
    </r>
    <r>
      <rPr>
        <sz val="11"/>
        <rFont val="Arial"/>
        <family val="2"/>
      </rPr>
      <t>2</t>
    </r>
    <r>
      <rPr>
        <sz val="11"/>
        <rFont val="宋体"/>
        <family val="3"/>
        <charset val="134"/>
      </rPr>
      <t>公里内的公共服务配套设施齐备度较好，有医院（北京市通州区潞城镇运河广场社区卫生服务站、北京京通医院）、银行（北京通州中银富登村镇银行</t>
    </r>
    <r>
      <rPr>
        <sz val="11"/>
        <rFont val="Arial"/>
        <family val="2"/>
      </rPr>
      <t>(</t>
    </r>
    <r>
      <rPr>
        <sz val="11"/>
        <rFont val="宋体"/>
        <family val="3"/>
        <charset val="134"/>
      </rPr>
      <t>潞城支行</t>
    </r>
    <r>
      <rPr>
        <sz val="11"/>
        <rFont val="Arial"/>
        <family val="2"/>
      </rPr>
      <t>)</t>
    </r>
    <r>
      <rPr>
        <sz val="11"/>
        <rFont val="宋体"/>
        <family val="3"/>
        <charset val="134"/>
      </rPr>
      <t>等）、学校（北京市通州区通运小学、北京市第二中学</t>
    </r>
    <r>
      <rPr>
        <sz val="11"/>
        <rFont val="Arial"/>
        <family val="2"/>
      </rPr>
      <t>(</t>
    </r>
    <r>
      <rPr>
        <sz val="11"/>
        <rFont val="宋体"/>
        <family val="3"/>
        <charset val="134"/>
      </rPr>
      <t>通州校区</t>
    </r>
    <r>
      <rPr>
        <sz val="11"/>
        <rFont val="Arial"/>
        <family val="2"/>
      </rPr>
      <t>)</t>
    </r>
    <r>
      <rPr>
        <sz val="11"/>
        <rFont val="宋体"/>
        <family val="3"/>
        <charset val="134"/>
      </rPr>
      <t>等）等公共服务配套设施。</t>
    </r>
    <phoneticPr fontId="31" type="noConversion"/>
  </si>
  <si>
    <r>
      <rPr>
        <sz val="11"/>
        <rFont val="宋体"/>
        <family val="3"/>
        <charset val="134"/>
      </rPr>
      <t>周边有运河生态公园、通州运河公园等绿化景观，自然环境较好；有通州区文化馆、中国人民大学</t>
    </r>
    <r>
      <rPr>
        <sz val="11"/>
        <rFont val="Arial"/>
        <family val="2"/>
      </rPr>
      <t>(</t>
    </r>
    <r>
      <rPr>
        <sz val="11"/>
        <rFont val="宋体"/>
        <family val="3"/>
        <charset val="134"/>
      </rPr>
      <t>通州校区</t>
    </r>
    <r>
      <rPr>
        <sz val="11"/>
        <rFont val="Arial"/>
        <family val="2"/>
      </rPr>
      <t>)</t>
    </r>
    <r>
      <rPr>
        <sz val="11"/>
        <rFont val="宋体"/>
        <family val="3"/>
        <charset val="134"/>
      </rPr>
      <t>等人文场所，人文环境较好；综合评价环境状况较好。</t>
    </r>
    <phoneticPr fontId="31" type="noConversion"/>
  </si>
  <si>
    <t>房山天街最新租赁台账</t>
    <phoneticPr fontId="244" type="noConversion"/>
  </si>
  <si>
    <t>序号</t>
    <phoneticPr fontId="244" type="noConversion"/>
  </si>
  <si>
    <t>合同类型</t>
    <phoneticPr fontId="244" type="noConversion"/>
  </si>
  <si>
    <t>品牌名称</t>
    <phoneticPr fontId="244" type="noConversion"/>
  </si>
  <si>
    <t>租赁面积</t>
    <phoneticPr fontId="244" type="noConversion"/>
  </si>
  <si>
    <t>开始日期</t>
  </si>
  <si>
    <t>计划结束日期</t>
  </si>
  <si>
    <t>主力店租赁合同</t>
  </si>
  <si>
    <t>耀莱成龙国际影城</t>
  </si>
  <si>
    <t>2018-09-21</t>
  </si>
  <si>
    <t>2033-09-20</t>
  </si>
  <si>
    <t>盒马鲜生</t>
  </si>
  <si>
    <t>2025-11-28</t>
  </si>
  <si>
    <t>2040-11-27</t>
  </si>
  <si>
    <t>次主力店租赁合同</t>
  </si>
  <si>
    <t>UNIQLO</t>
  </si>
  <si>
    <t>2028-09-20</t>
  </si>
  <si>
    <t>夸特糖乐园(QUARTSUGLAND)</t>
  </si>
  <si>
    <t>2023-05-28</t>
  </si>
  <si>
    <t>2028-03-31</t>
  </si>
  <si>
    <t>滔搏运动(TOP SPORTS)</t>
  </si>
  <si>
    <t>2026-04-01</t>
  </si>
  <si>
    <t>2026-04-30</t>
  </si>
  <si>
    <t>URBAN REVIVO（UR）</t>
  </si>
  <si>
    <t>专卖店租赁合同</t>
  </si>
  <si>
    <t>海底捞</t>
  </si>
  <si>
    <t>骆驼(CAMEL)</t>
  </si>
  <si>
    <t>2025-04-21</t>
  </si>
  <si>
    <t>2031-04-30</t>
  </si>
  <si>
    <t>KKV</t>
  </si>
  <si>
    <t>2024-12-09</t>
  </si>
  <si>
    <t>2030-10-09</t>
  </si>
  <si>
    <t>THE LINES</t>
  </si>
  <si>
    <t>2026-01-30</t>
  </si>
  <si>
    <t>2030-10-31</t>
  </si>
  <si>
    <t>青年公社</t>
  </si>
  <si>
    <t>2023-03-31</t>
  </si>
  <si>
    <t>2030-11-30</t>
  </si>
  <si>
    <t>王和李</t>
  </si>
  <si>
    <t>2026-05-24</t>
  </si>
  <si>
    <t>2031-03-31</t>
  </si>
  <si>
    <t>名创优品(MINISO)</t>
  </si>
  <si>
    <t>2025-11-24</t>
  </si>
  <si>
    <t>京娱酷秀</t>
  </si>
  <si>
    <t>2023-11-24</t>
  </si>
  <si>
    <t>很久以前羊肉串</t>
  </si>
  <si>
    <t>2024-05-31</t>
  </si>
  <si>
    <t>2029-02-28</t>
  </si>
  <si>
    <t>能量驿站健身(ENERGY STATION FITNESS)</t>
  </si>
  <si>
    <t>2024-11-20</t>
  </si>
  <si>
    <t>2028-09-30</t>
  </si>
  <si>
    <t>西塔老太太(xitalaotaitai)</t>
  </si>
  <si>
    <t>2022-07-01</t>
  </si>
  <si>
    <t>2027-02-28</t>
  </si>
  <si>
    <t>俄士厨房</t>
  </si>
  <si>
    <t>2023-12-15</t>
  </si>
  <si>
    <t>2029-12-14</t>
  </si>
  <si>
    <t>比格比萨(BigPizza)</t>
  </si>
  <si>
    <t>2025-09-01</t>
  </si>
  <si>
    <t>2030-08-31</t>
  </si>
  <si>
    <t>滨寿司(HAMASUSHI)</t>
  </si>
  <si>
    <t>2025-09-29</t>
  </si>
  <si>
    <t>2031-06-30</t>
  </si>
  <si>
    <t>西西弗(SISYPHE)</t>
  </si>
  <si>
    <t>2026-09-20</t>
  </si>
  <si>
    <t>巴拉巴拉(balabala)</t>
  </si>
  <si>
    <t>2024-09-14</t>
  </si>
  <si>
    <t>2027-07-31</t>
  </si>
  <si>
    <t>娱非凡</t>
  </si>
  <si>
    <t>2023-10-31</t>
  </si>
  <si>
    <t>2027-09-20</t>
  </si>
  <si>
    <t>南京大牌档</t>
  </si>
  <si>
    <t>2023-12-30</t>
  </si>
  <si>
    <t>2029-12-29</t>
  </si>
  <si>
    <t>依我之见(AMON AVIS)</t>
  </si>
  <si>
    <t>2025-10-04</t>
  </si>
  <si>
    <t>2029-08-04</t>
  </si>
  <si>
    <t>屈臣氏(Watsons)</t>
  </si>
  <si>
    <t>The Green Party</t>
  </si>
  <si>
    <t>2024-10-01</t>
  </si>
  <si>
    <t>2027-08-31</t>
  </si>
  <si>
    <t>尚翔国际(SHANGXIANG SUNSHINE KIDS)</t>
  </si>
  <si>
    <t>2025-04-15</t>
  </si>
  <si>
    <t>2028-02-29</t>
  </si>
  <si>
    <t>热风(hotwind)</t>
  </si>
  <si>
    <t>2025-12-16</t>
  </si>
  <si>
    <t>2027-12-15</t>
  </si>
  <si>
    <t>杰克琼斯(JACK&amp;JONES)</t>
  </si>
  <si>
    <t>2026-06-30</t>
  </si>
  <si>
    <t>火炉火</t>
  </si>
  <si>
    <t>2023-11-04</t>
  </si>
  <si>
    <t>2029-08-09</t>
  </si>
  <si>
    <t>贾国龙,西贝</t>
  </si>
  <si>
    <t>云潇潇</t>
  </si>
  <si>
    <t>2031-02-28</t>
  </si>
  <si>
    <t>Noblekids</t>
  </si>
  <si>
    <t>2025-12-23</t>
  </si>
  <si>
    <t>2029-11-07</t>
  </si>
  <si>
    <t>丝芙兰(SEPHORA)</t>
  </si>
  <si>
    <t>2020-11-27</t>
  </si>
  <si>
    <t>2028-11-26</t>
  </si>
  <si>
    <t>大吉利</t>
  </si>
  <si>
    <t>2024-07-31</t>
  </si>
  <si>
    <t>2028-07-30</t>
  </si>
  <si>
    <t>胖哥俩肉蟹煲(PANG GELIA)</t>
  </si>
  <si>
    <t>2023-12-07</t>
  </si>
  <si>
    <t>2028-10-07</t>
  </si>
  <si>
    <t>源氏木语(YESWOOD)</t>
  </si>
  <si>
    <t>2024-03-31</t>
  </si>
  <si>
    <t>黎明屯小锅烀饼</t>
  </si>
  <si>
    <t>2025-06-13</t>
  </si>
  <si>
    <t>2029-03-31</t>
  </si>
  <si>
    <t>李宁(LI-NING)</t>
  </si>
  <si>
    <t>大渔(TAIRYO)</t>
  </si>
  <si>
    <t>2024-09-21</t>
  </si>
  <si>
    <t>小象动悟公园</t>
  </si>
  <si>
    <t>2024-10-10</t>
  </si>
  <si>
    <t>2027-09-09</t>
  </si>
  <si>
    <t>bb boom,异时刻(xcape)</t>
  </si>
  <si>
    <t>2025-04-01</t>
  </si>
  <si>
    <t>2030-03-31</t>
  </si>
  <si>
    <t>奥莉(ONLY)</t>
  </si>
  <si>
    <t>2023-09-21</t>
  </si>
  <si>
    <t>2026-09-21</t>
  </si>
  <si>
    <t>绿茶(Green Tea)</t>
  </si>
  <si>
    <t>2025-12-02</t>
  </si>
  <si>
    <t>乐友(Leyou)</t>
  </si>
  <si>
    <t>2026-03-16</t>
  </si>
  <si>
    <t>2026-05-31</t>
  </si>
  <si>
    <t>丽家宝贝(lijia baby)</t>
  </si>
  <si>
    <t>北往西</t>
  </si>
  <si>
    <t>2025-08-19</t>
  </si>
  <si>
    <t>2029-06-30</t>
  </si>
  <si>
    <t>酷乐潮玩</t>
  </si>
  <si>
    <t>2023-10-01</t>
  </si>
  <si>
    <t>2026-08-31</t>
  </si>
  <si>
    <t>费大厨</t>
  </si>
  <si>
    <t>2024-02-01</t>
  </si>
  <si>
    <t>2028-11-12</t>
  </si>
  <si>
    <t>光铄童心</t>
  </si>
  <si>
    <t>2023-11-01</t>
  </si>
  <si>
    <t>2026-10-31</t>
  </si>
  <si>
    <t>卡普瑜伽(K.P YOGA)</t>
  </si>
  <si>
    <t>2025-12-08</t>
  </si>
  <si>
    <t>2029-10-31</t>
  </si>
  <si>
    <t>金掌勺</t>
  </si>
  <si>
    <t>2026-01-29</t>
  </si>
  <si>
    <t>2030-12-31</t>
  </si>
  <si>
    <t>明洞阿姨</t>
  </si>
  <si>
    <t>2025-01-01</t>
  </si>
  <si>
    <t>2028-11-30</t>
  </si>
  <si>
    <t>沙胆彪炭炉牛杂煲</t>
  </si>
  <si>
    <t>2023-07-19</t>
  </si>
  <si>
    <t>2028-05-19</t>
  </si>
  <si>
    <t>蛮涮</t>
  </si>
  <si>
    <t>2025-12-20</t>
  </si>
  <si>
    <t>2029-12-31</t>
  </si>
  <si>
    <t>必胜客(Pizza Hut)</t>
  </si>
  <si>
    <t>太二</t>
  </si>
  <si>
    <t>2021-01-01</t>
  </si>
  <si>
    <t>目村</t>
  </si>
  <si>
    <t>2028-01-31</t>
  </si>
  <si>
    <t>泡泡玛特(POP MART)</t>
  </si>
  <si>
    <t>2025-12-01</t>
  </si>
  <si>
    <t>江边城外烤全鱼(JIANG BIAN CHENG WAI)</t>
  </si>
  <si>
    <t>2023-01-01</t>
  </si>
  <si>
    <t>2028-12-31</t>
  </si>
  <si>
    <t>呷哺呷哺</t>
  </si>
  <si>
    <t>2025-12-30</t>
  </si>
  <si>
    <t>2030-11-09</t>
  </si>
  <si>
    <t>野谷飞鸟(pain en I’ air)</t>
  </si>
  <si>
    <t>2025-11-22</t>
  </si>
  <si>
    <t>2028-10-31</t>
  </si>
  <si>
    <t>夸特世界</t>
  </si>
  <si>
    <t>2024-09-01</t>
  </si>
  <si>
    <t>方砖厂69号炸酱面</t>
  </si>
  <si>
    <t>环球车象</t>
  </si>
  <si>
    <t>2026-03-01</t>
  </si>
  <si>
    <t>乐道(ONVO)</t>
  </si>
  <si>
    <t>2025-01-25</t>
  </si>
  <si>
    <t>2026-12-31</t>
  </si>
  <si>
    <t>Dream Room</t>
  </si>
  <si>
    <t>DW+ Beauty Salon</t>
  </si>
  <si>
    <t>2026-09-30</t>
  </si>
  <si>
    <t>松山棉店</t>
  </si>
  <si>
    <t>2027-09-30</t>
  </si>
  <si>
    <t>361°</t>
  </si>
  <si>
    <t>2025-05-21</t>
  </si>
  <si>
    <t>2027-05-21</t>
  </si>
  <si>
    <t>nordic by nature VERO MODA</t>
  </si>
  <si>
    <t>2023-12-01</t>
  </si>
  <si>
    <t>OCE</t>
  </si>
  <si>
    <t>2026-02-09</t>
  </si>
  <si>
    <t>2029-02-09</t>
  </si>
  <si>
    <t>九牧王(JOEONE)</t>
  </si>
  <si>
    <t>2025-11-19</t>
  </si>
  <si>
    <t>2028-10-19</t>
  </si>
  <si>
    <t>anta kids</t>
  </si>
  <si>
    <t>Mini Peace</t>
  </si>
  <si>
    <t>2025-07-01</t>
  </si>
  <si>
    <t>DE</t>
  </si>
  <si>
    <t>2027-06-30</t>
  </si>
  <si>
    <t>赣乡野</t>
  </si>
  <si>
    <t>2025-05-16</t>
  </si>
  <si>
    <t>乐斯国际艺术中心</t>
  </si>
  <si>
    <t>名见(Musee)</t>
  </si>
  <si>
    <t>王奋斗</t>
  </si>
  <si>
    <t>2025-06-28</t>
  </si>
  <si>
    <t>2029-05-13</t>
  </si>
  <si>
    <t>LEGO</t>
  </si>
  <si>
    <t>2024-09-29</t>
  </si>
  <si>
    <t>海馬体(HIMO)</t>
  </si>
  <si>
    <t>Teenie Weenie</t>
  </si>
  <si>
    <t>2025-10-01</t>
  </si>
  <si>
    <t>汉堡王(BURGER KING)</t>
  </si>
  <si>
    <t>紫涵(ZI HAN)</t>
  </si>
  <si>
    <t>2027-03-31</t>
  </si>
  <si>
    <t>渔匠味道</t>
  </si>
  <si>
    <t>2024-05-01</t>
  </si>
  <si>
    <t>小米(MI)</t>
  </si>
  <si>
    <t>2025-11-01</t>
  </si>
  <si>
    <t>Rookie</t>
  </si>
  <si>
    <t>星巴克(STARBUCKS)</t>
  </si>
  <si>
    <t>嗨特购(HitGoo)</t>
  </si>
  <si>
    <t>2025-09-27</t>
  </si>
  <si>
    <t>Vento Teso</t>
  </si>
  <si>
    <t>2023-12-25</t>
  </si>
  <si>
    <t>2026-11-24</t>
  </si>
  <si>
    <t>英氏(YeehoO)</t>
  </si>
  <si>
    <t>FILA KIDS</t>
  </si>
  <si>
    <t>乡村基</t>
  </si>
  <si>
    <t>2024-10-16</t>
  </si>
  <si>
    <t>2027-10-31</t>
  </si>
  <si>
    <t>盒子探长</t>
  </si>
  <si>
    <t>2026-04-02</t>
  </si>
  <si>
    <t>finelyhome</t>
  </si>
  <si>
    <t>2025-03-22</t>
  </si>
  <si>
    <t>LI-NING YOUNG</t>
  </si>
  <si>
    <t>一麻一辣</t>
  </si>
  <si>
    <t>2025-09-21</t>
  </si>
  <si>
    <t>爭鮮(SUSHI EXPRESS)</t>
  </si>
  <si>
    <t>2024-08-14</t>
  </si>
  <si>
    <t>2027-08-13</t>
  </si>
  <si>
    <t>联想(Lenovo)</t>
  </si>
  <si>
    <t>2025-08-14</t>
  </si>
  <si>
    <t>遇见小面</t>
  </si>
  <si>
    <t>2023-10-16</t>
  </si>
  <si>
    <t>广场服务合同</t>
  </si>
  <si>
    <t>特斯拉</t>
  </si>
  <si>
    <t>2025-08-01</t>
  </si>
  <si>
    <t>2030-07-31</t>
  </si>
  <si>
    <t>痴毛肚</t>
  </si>
  <si>
    <t>2023-12-16</t>
  </si>
  <si>
    <t>摩安珂(MO&amp;Co.)</t>
  </si>
  <si>
    <t>包小姐与鞋先生(MS.Bag&amp;Mr.Shoe)</t>
  </si>
  <si>
    <t>伊芙丽(eifini)</t>
  </si>
  <si>
    <t>MLB</t>
  </si>
  <si>
    <t>2025-06-24</t>
  </si>
  <si>
    <t>2028-08-31</t>
  </si>
  <si>
    <t>艾诺丝雅诗(ARIOSEYEARS)</t>
  </si>
  <si>
    <t>2025-06-01</t>
  </si>
  <si>
    <t>甲乙饼</t>
  </si>
  <si>
    <t>昊铂(Hyper GTR)</t>
  </si>
  <si>
    <t>2025-11-15</t>
  </si>
  <si>
    <t>2026-05-14</t>
  </si>
  <si>
    <t>米村</t>
  </si>
  <si>
    <t>2023-05-01</t>
  </si>
  <si>
    <t>华为(HUAWEI)</t>
  </si>
  <si>
    <t>2025-01-24</t>
  </si>
  <si>
    <t>2027-12-14</t>
  </si>
  <si>
    <t>记忆的起点(ORIGIN MEMORY)</t>
  </si>
  <si>
    <t>2025-05-01</t>
  </si>
  <si>
    <t>水肌后</t>
  </si>
  <si>
    <t>2027-09-15</t>
  </si>
  <si>
    <t>bossini</t>
  </si>
  <si>
    <t>2028-05-31</t>
  </si>
  <si>
    <t>阿布溜溜</t>
  </si>
  <si>
    <t>老凤祥藏宝金</t>
  </si>
  <si>
    <t>2024-06-15</t>
  </si>
  <si>
    <t>2027-05-31</t>
  </si>
  <si>
    <t>火花思维成长中心</t>
  </si>
  <si>
    <t>罗丽丝(Rolise)</t>
  </si>
  <si>
    <t>江博士(DR·KONG)</t>
  </si>
  <si>
    <t>2023-09-01</t>
  </si>
  <si>
    <t>2026-07-31</t>
  </si>
  <si>
    <t>大疆(DJI)</t>
  </si>
  <si>
    <t>2025-12-11</t>
  </si>
  <si>
    <t>荣耀(HONOR)</t>
  </si>
  <si>
    <t>玛丝恩迪(MASIENDI)</t>
  </si>
  <si>
    <t>2025-09-30</t>
  </si>
  <si>
    <t>矢量咖啡(UPCOFFEE)</t>
  </si>
  <si>
    <t>爱惢崎(Airiqi)</t>
  </si>
  <si>
    <t>2025-11-08</t>
  </si>
  <si>
    <t>MAKA HAIR LON</t>
  </si>
  <si>
    <t>2024-08-09</t>
  </si>
  <si>
    <t>2027-07-09</t>
  </si>
  <si>
    <t>蓝图life</t>
  </si>
  <si>
    <t>木花巷MUHUAXIANG</t>
  </si>
  <si>
    <t>江南布衣(JNBY)</t>
  </si>
  <si>
    <t>诗凡黎(SEIFINI)</t>
  </si>
  <si>
    <t>WAKeN</t>
  </si>
  <si>
    <t>2023-07-25</t>
  </si>
  <si>
    <t>肯德基(KFC)</t>
  </si>
  <si>
    <t>2031-09-20</t>
  </si>
  <si>
    <t>泸溪河</t>
  </si>
  <si>
    <t>2023-11-05</t>
  </si>
  <si>
    <t>babycare</t>
  </si>
  <si>
    <t>2025-05-15</t>
  </si>
  <si>
    <t>村上一屋</t>
  </si>
  <si>
    <t>2023-06-15</t>
  </si>
  <si>
    <t>2027-04-30</t>
  </si>
  <si>
    <t>肖蘸</t>
  </si>
  <si>
    <t>2025-12-31</t>
  </si>
  <si>
    <t>2027-11-30</t>
  </si>
  <si>
    <t>哈根达斯(Haagen-Dazs)</t>
  </si>
  <si>
    <t>煲仔皇</t>
  </si>
  <si>
    <t>my body</t>
  </si>
  <si>
    <t>摩卡潮</t>
  </si>
  <si>
    <t>船尾喵(Marikitty)</t>
  </si>
  <si>
    <t>2026-05-01</t>
  </si>
  <si>
    <t>周大福(CHOW TAI FOOK)</t>
  </si>
  <si>
    <t>2024-08-01</t>
  </si>
  <si>
    <t>2027-06-01</t>
  </si>
  <si>
    <t>USHI</t>
  </si>
  <si>
    <t>盈然</t>
  </si>
  <si>
    <t>Peet's Coffee</t>
  </si>
  <si>
    <t>2024-01-01</t>
  </si>
  <si>
    <t>哥弟(GIRDEAR)</t>
  </si>
  <si>
    <t>黄记煌</t>
  </si>
  <si>
    <t>2027-12-09</t>
  </si>
  <si>
    <t>品真阁(PINZHEN)</t>
  </si>
  <si>
    <t>2024-09-25</t>
  </si>
  <si>
    <t>百丽(BeLLE)</t>
  </si>
  <si>
    <t>结绳记</t>
  </si>
  <si>
    <t>海鸥(SEA-GULL)</t>
  </si>
  <si>
    <t>2024-10-22</t>
  </si>
  <si>
    <t>好利来(Holiland)</t>
  </si>
  <si>
    <t>库房租赁合同</t>
  </si>
  <si>
    <t>火花线下课堂</t>
  </si>
  <si>
    <t>中国黄金(China Gold)</t>
  </si>
  <si>
    <t>2028-10-15</t>
  </si>
  <si>
    <t>开迈斯</t>
  </si>
  <si>
    <t>2025-09-15</t>
  </si>
  <si>
    <t>2030-09-14</t>
  </si>
  <si>
    <t>霸蛮</t>
  </si>
  <si>
    <t>2025-05-10</t>
  </si>
  <si>
    <t>2028-04-09</t>
  </si>
  <si>
    <t>束野叁(SUNEEIRRY SAN)</t>
  </si>
  <si>
    <t>片断(LOVLIFE)</t>
  </si>
  <si>
    <t>2024-11-01</t>
  </si>
  <si>
    <t>喜茶(HEYTEA)</t>
  </si>
  <si>
    <t>2025-12-09</t>
  </si>
  <si>
    <t>RE-BLUE</t>
  </si>
  <si>
    <t>2024-12-01</t>
  </si>
  <si>
    <t>海澜之家(HLA)</t>
  </si>
  <si>
    <t>2025-09-20</t>
  </si>
  <si>
    <t>2028-08-20</t>
  </si>
  <si>
    <t>Siv RUM</t>
  </si>
  <si>
    <t>罗莱超柔床品</t>
  </si>
  <si>
    <t>2024-11-26</t>
  </si>
  <si>
    <t>城市衣柜(CEVEL)</t>
  </si>
  <si>
    <t>2026-03-31</t>
  </si>
  <si>
    <t>茜可可(CEKEKE)</t>
  </si>
  <si>
    <t>2026-07-10</t>
  </si>
  <si>
    <t>周生生(Chow SangSang)</t>
  </si>
  <si>
    <t>九木杂物社</t>
  </si>
  <si>
    <t>叙函</t>
  </si>
  <si>
    <t>2025-11-14</t>
  </si>
  <si>
    <t>Modsfa</t>
  </si>
  <si>
    <t>2023-11-08</t>
  </si>
  <si>
    <t>manner</t>
  </si>
  <si>
    <t>六福珠宝(LUKFOOK JEWELLERY)</t>
  </si>
  <si>
    <t>霸王茶姬(CHAGEE)</t>
  </si>
  <si>
    <t>六桂福珠宝</t>
  </si>
  <si>
    <t>果栗园(guoliyuan)</t>
  </si>
  <si>
    <t>玩个手作</t>
  </si>
  <si>
    <t>2025-07-10</t>
  </si>
  <si>
    <t>yid-zudui</t>
  </si>
  <si>
    <t>2025-07-03</t>
  </si>
  <si>
    <t>2026-07-02</t>
  </si>
  <si>
    <t>悦指间(Lady Yue)</t>
  </si>
  <si>
    <t>丝域养发(HAIROLOGY)</t>
  </si>
  <si>
    <t>Darry ring</t>
  </si>
  <si>
    <t>2024-10-18</t>
  </si>
  <si>
    <t>SAMSUNG</t>
  </si>
  <si>
    <t>周大福传承</t>
  </si>
  <si>
    <t>2026-02-20</t>
  </si>
  <si>
    <t>小愚</t>
  </si>
  <si>
    <t>vivo</t>
  </si>
  <si>
    <t>鲜芋仙(Meet Fresh)</t>
  </si>
  <si>
    <t>5G 5g</t>
  </si>
  <si>
    <t>2024-06-25</t>
  </si>
  <si>
    <t>2026-06-04</t>
  </si>
  <si>
    <t>泰兰尼斯(TARANIS)</t>
  </si>
  <si>
    <t>宝岛眼镜</t>
  </si>
  <si>
    <t>婷美小屋(TIMIER HOUSE)</t>
  </si>
  <si>
    <t>2026-03-04</t>
  </si>
  <si>
    <t>麦记牛</t>
  </si>
  <si>
    <t>2026-03-24</t>
  </si>
  <si>
    <t>2026-04-10</t>
  </si>
  <si>
    <t>2026-01-01</t>
  </si>
  <si>
    <t>蕾蕾安(LADYN)</t>
  </si>
  <si>
    <t>2025-11-25</t>
  </si>
  <si>
    <t>2026-03-27</t>
  </si>
  <si>
    <t>2026-04-19</t>
  </si>
  <si>
    <t>华夏典当行(HUAXIA PAWNSHOP)</t>
  </si>
  <si>
    <t>warming colours</t>
  </si>
  <si>
    <t>2025-09-14</t>
  </si>
  <si>
    <t>2028-09-21</t>
  </si>
  <si>
    <t>川合成</t>
  </si>
  <si>
    <t>CROCS</t>
  </si>
  <si>
    <t>卡游(KAYOU)</t>
  </si>
  <si>
    <t>2025-04-04</t>
  </si>
  <si>
    <t>2027-03-09</t>
  </si>
  <si>
    <t>阿吉豆(AJIDOU)</t>
  </si>
  <si>
    <t>黑羊博士</t>
  </si>
  <si>
    <t>2028-04-30</t>
  </si>
  <si>
    <t>RC造型</t>
  </si>
  <si>
    <t>2026-02-01</t>
  </si>
  <si>
    <t>2027-01-31</t>
  </si>
  <si>
    <t>辣哥辣妹</t>
  </si>
  <si>
    <t>D.Phone UP+</t>
  </si>
  <si>
    <t>巅峰秘境勇士</t>
  </si>
  <si>
    <t>2024-12-10</t>
  </si>
  <si>
    <t>2026-11-14</t>
  </si>
  <si>
    <t>周大生(CHOW TAI SENG)</t>
  </si>
  <si>
    <t>2027-10-15</t>
  </si>
  <si>
    <t>你好头疗</t>
  </si>
  <si>
    <t>爱の坐标</t>
  </si>
  <si>
    <t>2025-05-20</t>
  </si>
  <si>
    <t>2027-04-19</t>
  </si>
  <si>
    <t>脸红秦田田</t>
  </si>
  <si>
    <t>2025-07-20</t>
  </si>
  <si>
    <t>瑾淳</t>
  </si>
  <si>
    <t>2021-02-01</t>
  </si>
  <si>
    <t>薛记炒货</t>
  </si>
  <si>
    <t>毛戈平(MAOGEPING)</t>
  </si>
  <si>
    <t>九芝堂</t>
  </si>
  <si>
    <t>茉莉奶白</t>
  </si>
  <si>
    <t>2024-08-31</t>
  </si>
  <si>
    <t>岚图(VOYAH)</t>
  </si>
  <si>
    <t>瑞幸咖啡(luckin coffee)</t>
  </si>
  <si>
    <t>野人先生</t>
  </si>
  <si>
    <t>2026-01-05</t>
  </si>
  <si>
    <t>2025-11-27</t>
  </si>
  <si>
    <t>2026-11-26</t>
  </si>
  <si>
    <t>洗脸猫</t>
  </si>
  <si>
    <t>2026-11-30</t>
  </si>
  <si>
    <t>木九十</t>
  </si>
  <si>
    <t>2024-03-01</t>
  </si>
  <si>
    <t>Dairy Queen</t>
  </si>
  <si>
    <t>夸父</t>
  </si>
  <si>
    <t>2026-04-18</t>
  </si>
  <si>
    <t>英伦</t>
  </si>
  <si>
    <t>2024-07-01</t>
  </si>
  <si>
    <t>2026-04-15</t>
  </si>
  <si>
    <t>aojo</t>
  </si>
  <si>
    <t>2022-12-01</t>
  </si>
  <si>
    <t>LINLEE</t>
  </si>
  <si>
    <t>鲜果时间(Fruitime)</t>
  </si>
  <si>
    <t>兰熊</t>
  </si>
  <si>
    <t>爷爷不泡茶(NOYEYENOTEA)</t>
  </si>
  <si>
    <t>2024-11-24</t>
  </si>
  <si>
    <t>沪上阿姨(AUNTEA JENNY)</t>
  </si>
  <si>
    <t>BLUEGLASS</t>
  </si>
  <si>
    <t>2023-12-26</t>
  </si>
  <si>
    <t>蜂袅美发</t>
  </si>
  <si>
    <t>2025-09-22</t>
  </si>
  <si>
    <t>布瑞琳(BRANEW)</t>
  </si>
  <si>
    <t>2025-05-04</t>
  </si>
  <si>
    <t>2026-05-03</t>
  </si>
  <si>
    <t>西树泡芙(CHEZ CHOUX)</t>
  </si>
  <si>
    <t>2024-05-15</t>
  </si>
  <si>
    <t>2026-04-14</t>
  </si>
  <si>
    <t>赫寿司</t>
  </si>
  <si>
    <t>鸡柳大人</t>
  </si>
  <si>
    <t>2025-01-14</t>
  </si>
  <si>
    <t>2026-12-14</t>
  </si>
  <si>
    <t>2026-02-25</t>
  </si>
  <si>
    <t>阿甘锅盔(A GAN GUO KUI)</t>
  </si>
  <si>
    <t>2026-08-20</t>
  </si>
  <si>
    <t>爆脾气</t>
  </si>
  <si>
    <t>2026-01-28</t>
  </si>
  <si>
    <t>老庙</t>
  </si>
  <si>
    <t>2027-11-04</t>
  </si>
  <si>
    <t>一点点</t>
  </si>
  <si>
    <t>七七银饰</t>
  </si>
  <si>
    <t>2027-11-25</t>
  </si>
  <si>
    <t>2026-07-09</t>
  </si>
  <si>
    <t>2025-04-12</t>
  </si>
  <si>
    <t>2026-04-11</t>
  </si>
  <si>
    <t>2018-11-01</t>
  </si>
  <si>
    <t>库迪(COTTI COFFEE)</t>
  </si>
  <si>
    <t>卤力</t>
  </si>
  <si>
    <t>2025-06-26</t>
  </si>
  <si>
    <t>2026-01-20</t>
  </si>
  <si>
    <t>2027-01-19</t>
  </si>
  <si>
    <t>科大讯飞(iFLYTEK)</t>
  </si>
  <si>
    <t>麦吉丽(Mageline)</t>
  </si>
  <si>
    <t>单柜机合同/外摆协议</t>
  </si>
  <si>
    <t>2025-06-25</t>
  </si>
  <si>
    <t>2026-06-24</t>
  </si>
  <si>
    <t>清筑自然</t>
  </si>
  <si>
    <t>诗碧曼(Sipimo)</t>
  </si>
  <si>
    <t>茉酸奶(MORE YOGURT)</t>
  </si>
  <si>
    <t>2026-02-10</t>
  </si>
  <si>
    <t>2026-04-09</t>
  </si>
  <si>
    <t>2026-03-02</t>
  </si>
  <si>
    <t>2026-06-01</t>
  </si>
  <si>
    <t>乐贴(Le stick)</t>
  </si>
  <si>
    <t>慢赏莳光</t>
  </si>
  <si>
    <t>琦王</t>
  </si>
  <si>
    <t>老银匠</t>
  </si>
  <si>
    <t>2024-10-31</t>
  </si>
  <si>
    <t>小天才</t>
  </si>
  <si>
    <t>2025-09-16</t>
  </si>
  <si>
    <t>七度银饰7℃(SEVEN DEGREE)</t>
  </si>
  <si>
    <t>2026-03-11</t>
  </si>
  <si>
    <t>咏巷</t>
  </si>
  <si>
    <t>2023-08-15</t>
  </si>
  <si>
    <t>2024-03-16</t>
  </si>
  <si>
    <t>2025-10-28</t>
  </si>
  <si>
    <t>2026-10-27</t>
  </si>
  <si>
    <t>童真阿呆</t>
  </si>
  <si>
    <t>转转</t>
  </si>
  <si>
    <t>2026-01-15</t>
  </si>
  <si>
    <t>馋百妹</t>
  </si>
  <si>
    <t>优布劳精酿酒馆</t>
  </si>
  <si>
    <t>飞猪旅行</t>
  </si>
  <si>
    <t>举个栗子</t>
  </si>
  <si>
    <t>OPPO</t>
  </si>
  <si>
    <t>富马爷</t>
  </si>
  <si>
    <t>2025-12-29</t>
  </si>
  <si>
    <t>玩刻</t>
  </si>
  <si>
    <t>我喜我生</t>
  </si>
  <si>
    <t>2025-08-25</t>
  </si>
  <si>
    <t>2026-08-24</t>
  </si>
  <si>
    <t>珚仓</t>
  </si>
  <si>
    <t>BLUEO</t>
  </si>
  <si>
    <t>2025-08-10</t>
  </si>
  <si>
    <t>糖糖多滋</t>
  </si>
  <si>
    <t>2026-02-04</t>
  </si>
  <si>
    <t>闲鱼小站</t>
  </si>
  <si>
    <t>绝味</t>
  </si>
  <si>
    <t>2026-03-13</t>
  </si>
  <si>
    <t>2026-06-12</t>
  </si>
  <si>
    <t>中国福利彩票</t>
  </si>
  <si>
    <t>2026-01-16</t>
  </si>
  <si>
    <t>2026-01-14</t>
  </si>
  <si>
    <t>2026-04-13</t>
  </si>
  <si>
    <t>中国福利彩票,中国体育彩票</t>
  </si>
  <si>
    <t>爱回收</t>
  </si>
  <si>
    <t>2025-08-15</t>
  </si>
  <si>
    <t>2026-08-14</t>
  </si>
  <si>
    <t>2026-03-20</t>
  </si>
  <si>
    <t>2027-03-19</t>
  </si>
  <si>
    <t>经纬光环</t>
  </si>
  <si>
    <t>2025-09-09</t>
  </si>
  <si>
    <t>2026-09-08</t>
  </si>
  <si>
    <t>2025-12-26</t>
  </si>
  <si>
    <t>2026-12-25</t>
  </si>
  <si>
    <t>2025-11-23</t>
  </si>
  <si>
    <t>2026-11-22</t>
  </si>
  <si>
    <t>2025-08-06</t>
  </si>
  <si>
    <t>2026-08-05</t>
  </si>
  <si>
    <t>2023-03-06</t>
  </si>
  <si>
    <t>2024-06-30</t>
  </si>
  <si>
    <t>2026-01-17</t>
  </si>
  <si>
    <t>2026-07-16</t>
  </si>
  <si>
    <t>2025-08-12</t>
  </si>
  <si>
    <t>2026-04-20</t>
  </si>
  <si>
    <t>停车收入合同</t>
  </si>
  <si>
    <t>广告位租赁合同</t>
  </si>
  <si>
    <t>2026-06-19</t>
  </si>
  <si>
    <t>2026-02-28</t>
  </si>
  <si>
    <t>2026-07-15</t>
  </si>
  <si>
    <t>2025-12-27</t>
  </si>
  <si>
    <t>2026-12-26</t>
  </si>
  <si>
    <t>2025-07-13</t>
  </si>
  <si>
    <t>2026-07-12</t>
  </si>
  <si>
    <t>优衣库(UNIQLO)</t>
  </si>
  <si>
    <t>创新收入-其他创新</t>
  </si>
  <si>
    <t>创新合同（线上销售平台收入）</t>
  </si>
  <si>
    <t>2026-03-23</t>
  </si>
  <si>
    <t>创新合同商户增值服务</t>
  </si>
  <si>
    <t>2026-02-21</t>
  </si>
  <si>
    <t>2027-02-20</t>
  </si>
  <si>
    <t>2025-12-18</t>
  </si>
  <si>
    <t>2027-12-31</t>
  </si>
  <si>
    <t>2025-07-18</t>
  </si>
  <si>
    <t>2025-07-05</t>
  </si>
  <si>
    <t>2026-07-04</t>
  </si>
  <si>
    <t>2025-06-23</t>
  </si>
  <si>
    <t>2027-06-15</t>
  </si>
  <si>
    <t>2026-02-13</t>
  </si>
  <si>
    <t>2026-08-11</t>
  </si>
  <si>
    <t>2026-01-08</t>
  </si>
  <si>
    <t>2026-03-25</t>
  </si>
  <si>
    <t>2026-06-22</t>
  </si>
  <si>
    <t>2025-04-20</t>
  </si>
  <si>
    <t>2024-06-01</t>
  </si>
  <si>
    <t>2033-04-30</t>
  </si>
  <si>
    <t>2026-03-15</t>
  </si>
  <si>
    <t>2027-03-14</t>
  </si>
  <si>
    <t>2025-11-18</t>
  </si>
  <si>
    <t>2027-11-17</t>
  </si>
  <si>
    <t>2024-09-06</t>
  </si>
  <si>
    <t>2026-03-06</t>
  </si>
  <si>
    <t>2026-09-01</t>
  </si>
  <si>
    <t>2028-01-07</t>
  </si>
  <si>
    <t>2025-12-15</t>
  </si>
  <si>
    <t>2025-12-21</t>
  </si>
  <si>
    <t>2026-12-20</t>
  </si>
  <si>
    <t>2026-01-23</t>
  </si>
  <si>
    <t>2027-01-22</t>
  </si>
  <si>
    <t>2025-06-02</t>
  </si>
  <si>
    <t>房山天街2025年收入达成(万元）</t>
    <phoneticPr fontId="244" type="noConversion"/>
  </si>
  <si>
    <t>合同号</t>
  </si>
  <si>
    <t>1-12月</t>
    <phoneticPr fontId="244" type="noConversion"/>
  </si>
  <si>
    <t>1</t>
    <phoneticPr fontId="244" type="noConversion"/>
  </si>
  <si>
    <t>201712083655</t>
  </si>
  <si>
    <t>2025</t>
    <phoneticPr fontId="244" type="noConversion"/>
  </si>
  <si>
    <t>年总收入</t>
    <phoneticPr fontId="244" type="noConversion"/>
  </si>
  <si>
    <t>2</t>
    <phoneticPr fontId="244" type="noConversion"/>
  </si>
  <si>
    <t>202303220017</t>
  </si>
  <si>
    <t>2024</t>
    <phoneticPr fontId="244" type="noConversion"/>
  </si>
  <si>
    <t>3</t>
  </si>
  <si>
    <t>201711083201</t>
  </si>
  <si>
    <t>2023</t>
    <phoneticPr fontId="244" type="noConversion"/>
  </si>
  <si>
    <t>4</t>
  </si>
  <si>
    <t>201711133243</t>
  </si>
  <si>
    <t>5</t>
  </si>
  <si>
    <t>ZS2024082310036</t>
  </si>
  <si>
    <t>6</t>
  </si>
  <si>
    <t>201712263827</t>
  </si>
  <si>
    <t>7</t>
  </si>
  <si>
    <t>202107190169</t>
  </si>
  <si>
    <t>8</t>
  </si>
  <si>
    <t>ZS2024081310183</t>
  </si>
  <si>
    <t>9</t>
  </si>
  <si>
    <t>ZS2024102410160</t>
  </si>
  <si>
    <t>10</t>
  </si>
  <si>
    <t>201802094196</t>
  </si>
  <si>
    <t>11</t>
  </si>
  <si>
    <t>202307240019</t>
  </si>
  <si>
    <t>12</t>
  </si>
  <si>
    <t>202112070037</t>
  </si>
  <si>
    <t>13</t>
  </si>
  <si>
    <t>ZS2024070110176</t>
  </si>
  <si>
    <t>14</t>
  </si>
  <si>
    <t>ZS2023080410068</t>
  </si>
  <si>
    <t>15</t>
  </si>
  <si>
    <t>ZS2023062810227</t>
  </si>
  <si>
    <t>16</t>
  </si>
  <si>
    <t>ZS2024111510100</t>
  </si>
  <si>
    <t>17</t>
  </si>
  <si>
    <t>202007210064</t>
  </si>
  <si>
    <t>18</t>
  </si>
  <si>
    <t>ZS2023102410010</t>
  </si>
  <si>
    <t>19</t>
  </si>
  <si>
    <t>202209210018</t>
  </si>
  <si>
    <t>20</t>
  </si>
  <si>
    <t>ZS2024071710177</t>
  </si>
  <si>
    <t>21</t>
  </si>
  <si>
    <t>201712273857</t>
  </si>
  <si>
    <t>22</t>
  </si>
  <si>
    <t>ZS2024071510136</t>
  </si>
  <si>
    <t>23</t>
  </si>
  <si>
    <t>ZS2024090210148</t>
  </si>
  <si>
    <t>24</t>
  </si>
  <si>
    <t>ZS2023081710026</t>
  </si>
  <si>
    <t>25</t>
  </si>
  <si>
    <t>ZS2023090410161</t>
  </si>
  <si>
    <t>26</t>
  </si>
  <si>
    <t>ZS2023072810127</t>
  </si>
  <si>
    <t>27</t>
  </si>
  <si>
    <t>202210210053</t>
  </si>
  <si>
    <t>28</t>
  </si>
  <si>
    <t>ZS2024080910047</t>
  </si>
  <si>
    <t>29</t>
  </si>
  <si>
    <t>ZS2024062510178</t>
  </si>
  <si>
    <t>30</t>
  </si>
  <si>
    <t>ZS2024112110250</t>
  </si>
  <si>
    <t>31</t>
  </si>
  <si>
    <t>ZS2023082710020</t>
  </si>
  <si>
    <t>32</t>
  </si>
  <si>
    <t>202304240069</t>
  </si>
  <si>
    <t>33</t>
  </si>
  <si>
    <t>ZS2024020210115</t>
  </si>
  <si>
    <t>34</t>
  </si>
  <si>
    <t>ZS2023090810051</t>
  </si>
  <si>
    <t>202008100131</t>
  </si>
  <si>
    <t>36</t>
  </si>
  <si>
    <t>201712043547</t>
  </si>
  <si>
    <t>37</t>
  </si>
  <si>
    <t>ZS2024112510106</t>
  </si>
  <si>
    <t>38</t>
  </si>
  <si>
    <t>ZS2024082010155</t>
  </si>
  <si>
    <t>39</t>
  </si>
  <si>
    <t>ZS2024041910230</t>
  </si>
  <si>
    <t>40</t>
  </si>
  <si>
    <t>ZS2024081410148</t>
  </si>
  <si>
    <t>41</t>
  </si>
  <si>
    <t>202009210019</t>
  </si>
  <si>
    <t>ZS2023050410077</t>
  </si>
  <si>
    <t>43</t>
  </si>
  <si>
    <t>202207250092</t>
  </si>
  <si>
    <t>44</t>
  </si>
  <si>
    <t>201804134690</t>
  </si>
  <si>
    <t>202007280087</t>
  </si>
  <si>
    <t>46</t>
  </si>
  <si>
    <t>ZS2024072910131</t>
  </si>
  <si>
    <t>47</t>
  </si>
  <si>
    <t>ZS2023090510048</t>
  </si>
  <si>
    <t>48</t>
  </si>
  <si>
    <t>ZS2023072510006</t>
  </si>
  <si>
    <t>49</t>
  </si>
  <si>
    <t>ZS2024041710088</t>
  </si>
  <si>
    <t>50</t>
  </si>
  <si>
    <t>ZS2024091810097</t>
  </si>
  <si>
    <t>51</t>
  </si>
  <si>
    <t>202307180017</t>
  </si>
  <si>
    <t>52</t>
  </si>
  <si>
    <t>202205270008</t>
  </si>
  <si>
    <t>53</t>
  </si>
  <si>
    <t>202206160043</t>
  </si>
  <si>
    <t>54</t>
  </si>
  <si>
    <t>ZS2024052010079</t>
  </si>
  <si>
    <t>55</t>
  </si>
  <si>
    <t>202008140082</t>
  </si>
  <si>
    <t>56</t>
  </si>
  <si>
    <t>ZS2024073010015</t>
  </si>
  <si>
    <t>57</t>
  </si>
  <si>
    <t>ZS2024091210024</t>
  </si>
  <si>
    <t>58</t>
  </si>
  <si>
    <t>ZS2024082210172</t>
  </si>
  <si>
    <t>59</t>
  </si>
  <si>
    <t>ZS2024080510195</t>
  </si>
  <si>
    <t>60</t>
  </si>
  <si>
    <t>202008110166</t>
  </si>
  <si>
    <t>61</t>
  </si>
  <si>
    <t>ZS2024062010143</t>
  </si>
  <si>
    <t>62</t>
  </si>
  <si>
    <t>ZS2025022510115</t>
  </si>
  <si>
    <t>63</t>
  </si>
  <si>
    <t>ZS2024091410216</t>
  </si>
  <si>
    <t>64</t>
  </si>
  <si>
    <t>ZS2024041910095</t>
  </si>
  <si>
    <t>65</t>
  </si>
  <si>
    <t>202301060007</t>
  </si>
  <si>
    <t>66</t>
  </si>
  <si>
    <t>202307170009</t>
  </si>
  <si>
    <t>67</t>
  </si>
  <si>
    <t>ZS2023071810100</t>
  </si>
  <si>
    <t>68</t>
  </si>
  <si>
    <t>ZS2024102910127</t>
  </si>
  <si>
    <t>69</t>
  </si>
  <si>
    <t>ZS2024010910023</t>
  </si>
  <si>
    <t>70</t>
  </si>
  <si>
    <t>ZS2024102310179</t>
  </si>
  <si>
    <t>71</t>
  </si>
  <si>
    <t>202208010069</t>
  </si>
  <si>
    <t>72</t>
  </si>
  <si>
    <t>ZS2024082110217</t>
  </si>
  <si>
    <t>73</t>
  </si>
  <si>
    <t>201712133692</t>
  </si>
  <si>
    <t>74</t>
  </si>
  <si>
    <t>ZS2024101510123</t>
  </si>
  <si>
    <t>75</t>
  </si>
  <si>
    <t>202108100143</t>
  </si>
  <si>
    <t>76</t>
  </si>
  <si>
    <t>2019091210316</t>
  </si>
  <si>
    <t>77</t>
  </si>
  <si>
    <t>ZS2023070610129</t>
  </si>
  <si>
    <t>78</t>
  </si>
  <si>
    <t>ZS2024082610023</t>
  </si>
  <si>
    <t>79</t>
  </si>
  <si>
    <t>ZS2024080510125</t>
  </si>
  <si>
    <t>80</t>
  </si>
  <si>
    <t>ZS2024062510128</t>
  </si>
  <si>
    <t>81</t>
  </si>
  <si>
    <t>ZS2024072610153</t>
  </si>
  <si>
    <t>82</t>
  </si>
  <si>
    <t>201712143705</t>
  </si>
  <si>
    <t>83</t>
  </si>
  <si>
    <t>ZS2023090410106</t>
  </si>
  <si>
    <t>84</t>
  </si>
  <si>
    <t>ZS2024070210132</t>
  </si>
  <si>
    <t>85</t>
  </si>
  <si>
    <t>202205120085</t>
  </si>
  <si>
    <t>86</t>
  </si>
  <si>
    <t>ZS2025050710028</t>
  </si>
  <si>
    <t>87</t>
  </si>
  <si>
    <t>ZS2025022010122</t>
  </si>
  <si>
    <t>88</t>
  </si>
  <si>
    <t>ZS2024122310046</t>
  </si>
  <si>
    <t>89</t>
  </si>
  <si>
    <t>202303170032</t>
  </si>
  <si>
    <t>90</t>
  </si>
  <si>
    <t>ZS2025031410190</t>
  </si>
  <si>
    <t>91</t>
  </si>
  <si>
    <t>201802024158</t>
  </si>
  <si>
    <t>92</t>
  </si>
  <si>
    <t>ZS2025012010142</t>
  </si>
  <si>
    <t>93</t>
  </si>
  <si>
    <t>ZS2024112510169</t>
  </si>
  <si>
    <t>94</t>
  </si>
  <si>
    <t>202301060015</t>
  </si>
  <si>
    <t>95</t>
  </si>
  <si>
    <t>ZS2024073010126</t>
  </si>
  <si>
    <t>96</t>
  </si>
  <si>
    <t>ZS2024122710104</t>
  </si>
  <si>
    <t>97</t>
  </si>
  <si>
    <t>ZS2023052210177</t>
  </si>
  <si>
    <t>98</t>
  </si>
  <si>
    <t>ZS2023051210129</t>
  </si>
  <si>
    <t>99</t>
  </si>
  <si>
    <t>ZS2023082510335</t>
  </si>
  <si>
    <t>100</t>
  </si>
  <si>
    <t>ZS2025011510159</t>
  </si>
  <si>
    <t>101</t>
  </si>
  <si>
    <t>201804234775</t>
  </si>
  <si>
    <t>102</t>
  </si>
  <si>
    <t>ZS2024082010034</t>
  </si>
  <si>
    <t>103</t>
  </si>
  <si>
    <t>ZS2024111810047</t>
  </si>
  <si>
    <t>104</t>
  </si>
  <si>
    <t>ZS2024073110039</t>
  </si>
  <si>
    <t>105</t>
  </si>
  <si>
    <t>ZS2023081710037</t>
  </si>
  <si>
    <t>106</t>
  </si>
  <si>
    <t>ZS2024012410133</t>
  </si>
  <si>
    <t>107</t>
  </si>
  <si>
    <t>ZS2025012010145</t>
  </si>
  <si>
    <t>108</t>
  </si>
  <si>
    <t>ZS2024012610018</t>
  </si>
  <si>
    <t>109</t>
  </si>
  <si>
    <t>202307040007</t>
  </si>
  <si>
    <t>110</t>
  </si>
  <si>
    <t>ZS2024010510024</t>
  </si>
  <si>
    <t>111</t>
  </si>
  <si>
    <t>ZS2025012010043</t>
  </si>
  <si>
    <t>112</t>
  </si>
  <si>
    <t>ZS2024030610088</t>
  </si>
  <si>
    <t>113</t>
  </si>
  <si>
    <t>ZS2023071110065</t>
  </si>
  <si>
    <t>114</t>
  </si>
  <si>
    <t>ZS2024101010022</t>
  </si>
  <si>
    <t>115</t>
  </si>
  <si>
    <t>ZS2023102410022</t>
  </si>
  <si>
    <t>116</t>
  </si>
  <si>
    <t>ZS2024081610086</t>
  </si>
  <si>
    <t>117</t>
  </si>
  <si>
    <t>ZS2024071510090</t>
  </si>
  <si>
    <t>118</t>
  </si>
  <si>
    <t>ZS2024072310169</t>
  </si>
  <si>
    <t>119</t>
  </si>
  <si>
    <t>ZS2025042510184</t>
  </si>
  <si>
    <t>120</t>
  </si>
  <si>
    <t>ZS2025041810021</t>
  </si>
  <si>
    <t>121</t>
  </si>
  <si>
    <t>ZS2024071510082</t>
  </si>
  <si>
    <t>122</t>
  </si>
  <si>
    <t>ZS2025022610233</t>
  </si>
  <si>
    <t>123</t>
  </si>
  <si>
    <t>ZS2024072210123</t>
  </si>
  <si>
    <t>124</t>
  </si>
  <si>
    <t>ZS2023051610057</t>
  </si>
  <si>
    <t>125</t>
  </si>
  <si>
    <t>202207250095</t>
  </si>
  <si>
    <t>126</t>
  </si>
  <si>
    <t>202305110018</t>
  </si>
  <si>
    <t>127</t>
  </si>
  <si>
    <t>ZS2024061210087</t>
  </si>
  <si>
    <t>128</t>
  </si>
  <si>
    <t>ZS2025061710072</t>
  </si>
  <si>
    <t>129</t>
  </si>
  <si>
    <t>ZS2023081710201</t>
  </si>
  <si>
    <t>130</t>
  </si>
  <si>
    <t>ZS2024061410021</t>
  </si>
  <si>
    <t>131</t>
  </si>
  <si>
    <t>ZS2024072310039</t>
  </si>
  <si>
    <t>132</t>
  </si>
  <si>
    <t>ZS2024120510063</t>
  </si>
  <si>
    <t>133</t>
  </si>
  <si>
    <t>ZS2023062810075</t>
  </si>
  <si>
    <t>134</t>
  </si>
  <si>
    <t>ZS2023052310036</t>
  </si>
  <si>
    <t>135</t>
  </si>
  <si>
    <t>ZS2024090610003</t>
  </si>
  <si>
    <t>136</t>
  </si>
  <si>
    <t>ZS2025041510139</t>
  </si>
  <si>
    <t>137</t>
  </si>
  <si>
    <t>ZS2024091410198</t>
  </si>
  <si>
    <t>138</t>
  </si>
  <si>
    <t>ZS2024101510160</t>
  </si>
  <si>
    <t>139</t>
  </si>
  <si>
    <t>ZS2024062410234</t>
  </si>
  <si>
    <t>140</t>
  </si>
  <si>
    <t>201712243793</t>
  </si>
  <si>
    <t>141</t>
  </si>
  <si>
    <t>ZS2025082210132</t>
  </si>
  <si>
    <t>142</t>
  </si>
  <si>
    <t>202303210052</t>
  </si>
  <si>
    <t>143</t>
  </si>
  <si>
    <t>202303240040</t>
  </si>
  <si>
    <t>144</t>
  </si>
  <si>
    <t>ZS2023081810046</t>
  </si>
  <si>
    <t>145</t>
  </si>
  <si>
    <t>ZS2024101510107</t>
  </si>
  <si>
    <t>146</t>
  </si>
  <si>
    <t>ZS2025081210152</t>
  </si>
  <si>
    <t>147</t>
  </si>
  <si>
    <t>ZS2025061710048</t>
  </si>
  <si>
    <t>148</t>
  </si>
  <si>
    <t>ZS2024061410134</t>
  </si>
  <si>
    <t>149</t>
  </si>
  <si>
    <t>ZS2025011010125</t>
  </si>
  <si>
    <t>150</t>
  </si>
  <si>
    <t>ZS2024081610095</t>
  </si>
  <si>
    <t>151</t>
  </si>
  <si>
    <t>ZS2025062010185</t>
  </si>
  <si>
    <t>152</t>
  </si>
  <si>
    <t>ZS2025012210016</t>
  </si>
  <si>
    <t>153</t>
  </si>
  <si>
    <t>ZS2023081710148</t>
  </si>
  <si>
    <t>154</t>
  </si>
  <si>
    <t>ZS2025040710171</t>
  </si>
  <si>
    <t>155</t>
  </si>
  <si>
    <t>GC2024111210149</t>
  </si>
  <si>
    <t>156</t>
  </si>
  <si>
    <t>ZS2025032510111</t>
  </si>
  <si>
    <t>157</t>
  </si>
  <si>
    <t>CX2024031210205</t>
  </si>
  <si>
    <t>158</t>
  </si>
  <si>
    <t>ZS2025051510054</t>
  </si>
  <si>
    <t>159</t>
  </si>
  <si>
    <t>ZS2024102310126</t>
  </si>
  <si>
    <t>160</t>
  </si>
  <si>
    <t>ZS2023122110046</t>
  </si>
  <si>
    <t>161</t>
  </si>
  <si>
    <t>202205070080</t>
  </si>
  <si>
    <t>162</t>
  </si>
  <si>
    <t>202210080035</t>
  </si>
  <si>
    <t>163</t>
  </si>
  <si>
    <t>ZS2025041710113</t>
  </si>
  <si>
    <t>164</t>
  </si>
  <si>
    <t>ZS2023092610050</t>
  </si>
  <si>
    <t>165</t>
  </si>
  <si>
    <t>ZS2024073010181</t>
  </si>
  <si>
    <t>166</t>
  </si>
  <si>
    <t>202206270003</t>
  </si>
  <si>
    <t>167</t>
  </si>
  <si>
    <t>ZS2024060710049</t>
  </si>
  <si>
    <t>168</t>
  </si>
  <si>
    <t>202206170016</t>
  </si>
  <si>
    <t>169</t>
  </si>
  <si>
    <t>ZS2025012210109</t>
  </si>
  <si>
    <t>170</t>
  </si>
  <si>
    <t>ZS2024051410047</t>
  </si>
  <si>
    <t>171</t>
  </si>
  <si>
    <t>ZS2025080110096</t>
  </si>
  <si>
    <t>172</t>
  </si>
  <si>
    <t>ZS2024040910041</t>
  </si>
  <si>
    <t>173</t>
  </si>
  <si>
    <t>ZS2025071010189</t>
  </si>
  <si>
    <t>174</t>
  </si>
  <si>
    <t>ZS2024112610197</t>
  </si>
  <si>
    <t>175</t>
  </si>
  <si>
    <t>ZS2024082310055</t>
  </si>
  <si>
    <t>176</t>
  </si>
  <si>
    <t>ZS2024081910199</t>
  </si>
  <si>
    <t>177</t>
  </si>
  <si>
    <t>202304180059</t>
  </si>
  <si>
    <t>178</t>
  </si>
  <si>
    <t>ZS2023101810075</t>
  </si>
  <si>
    <t>179</t>
  </si>
  <si>
    <t>ZS2025061710051</t>
  </si>
  <si>
    <t>180</t>
  </si>
  <si>
    <t>ZS2024060510091</t>
  </si>
  <si>
    <t>181</t>
  </si>
  <si>
    <t>ZS2023082810321</t>
  </si>
  <si>
    <t>182</t>
  </si>
  <si>
    <t>ZS2024092910133</t>
  </si>
  <si>
    <t>183</t>
  </si>
  <si>
    <t>ZS2025021710017</t>
  </si>
  <si>
    <t>184</t>
  </si>
  <si>
    <t>ZS2025042110179</t>
  </si>
  <si>
    <t>185</t>
  </si>
  <si>
    <t>ZS2025020810050</t>
  </si>
  <si>
    <t>186</t>
  </si>
  <si>
    <t>ZS2024061310132</t>
  </si>
  <si>
    <t>187</t>
  </si>
  <si>
    <t>ZS2025021110107</t>
  </si>
  <si>
    <t>188</t>
  </si>
  <si>
    <t>ZS2024081610052</t>
  </si>
  <si>
    <t>189</t>
  </si>
  <si>
    <t>ZS2025101710081</t>
  </si>
  <si>
    <t>190</t>
  </si>
  <si>
    <t>ZS2025082710266</t>
  </si>
  <si>
    <t>191</t>
  </si>
  <si>
    <t>ZS2024112510140</t>
  </si>
  <si>
    <t>192</t>
  </si>
  <si>
    <t>ZS2025040810061</t>
  </si>
  <si>
    <t>193</t>
  </si>
  <si>
    <t>ZS2024101710044</t>
  </si>
  <si>
    <t>194</t>
  </si>
  <si>
    <t>ZS2025012010055</t>
  </si>
  <si>
    <t>195</t>
  </si>
  <si>
    <t>ZS2024040810179</t>
  </si>
  <si>
    <t>196</t>
  </si>
  <si>
    <t>ZS2025021210059</t>
  </si>
  <si>
    <t>197</t>
  </si>
  <si>
    <t>ZS2023090610062</t>
  </si>
  <si>
    <t>198</t>
  </si>
  <si>
    <t>ZS2025090310173</t>
  </si>
  <si>
    <t>199</t>
  </si>
  <si>
    <t>ZS2024061210078</t>
  </si>
  <si>
    <t>200</t>
  </si>
  <si>
    <t>ZS2025052010126</t>
  </si>
  <si>
    <t>201</t>
  </si>
  <si>
    <t>ZS2025052110135</t>
  </si>
  <si>
    <t>202</t>
  </si>
  <si>
    <t>ZS2025090310176</t>
  </si>
  <si>
    <t>203</t>
  </si>
  <si>
    <t>ZS2025031210141</t>
  </si>
  <si>
    <t>204</t>
  </si>
  <si>
    <t>202206230076</t>
  </si>
  <si>
    <t>205</t>
  </si>
  <si>
    <t>ZS2025020810100</t>
  </si>
  <si>
    <t>206</t>
  </si>
  <si>
    <t>202207080016</t>
  </si>
  <si>
    <t>207</t>
  </si>
  <si>
    <t>ZS2024052410027</t>
  </si>
  <si>
    <t>208</t>
  </si>
  <si>
    <t>ZS2025081310060</t>
  </si>
  <si>
    <t>209</t>
  </si>
  <si>
    <t>ZS2025031310024</t>
  </si>
  <si>
    <t>210</t>
  </si>
  <si>
    <t>ZS2025031210160</t>
  </si>
  <si>
    <t>211</t>
  </si>
  <si>
    <t>ZS2024072210177</t>
  </si>
  <si>
    <t>212</t>
  </si>
  <si>
    <t>ZS2024062510114</t>
  </si>
  <si>
    <t>213</t>
  </si>
  <si>
    <t>ZS2024052310126</t>
  </si>
  <si>
    <t>214</t>
  </si>
  <si>
    <t>202109170017</t>
  </si>
  <si>
    <t>215</t>
  </si>
  <si>
    <t>ZS2024110110030</t>
  </si>
  <si>
    <t>216</t>
  </si>
  <si>
    <t>ZS2025010310103</t>
  </si>
  <si>
    <t>217</t>
  </si>
  <si>
    <t>ZS2023102510050</t>
  </si>
  <si>
    <t>218</t>
  </si>
  <si>
    <t>ZS2023050510025</t>
  </si>
  <si>
    <t>219</t>
  </si>
  <si>
    <t>ZS2024112210157</t>
  </si>
  <si>
    <t>220</t>
  </si>
  <si>
    <t>ZS2025082210098</t>
  </si>
  <si>
    <t>221</t>
  </si>
  <si>
    <t>ZS2024042610246</t>
  </si>
  <si>
    <t>222</t>
  </si>
  <si>
    <t>202208240080</t>
  </si>
  <si>
    <t>223</t>
  </si>
  <si>
    <t>ZS2025052710106</t>
  </si>
  <si>
    <t>224</t>
  </si>
  <si>
    <t>CX2025032110023</t>
  </si>
  <si>
    <t>225</t>
  </si>
  <si>
    <t>ZS2025072810094</t>
  </si>
  <si>
    <t>226</t>
  </si>
  <si>
    <t>ZS2024121810175</t>
  </si>
  <si>
    <t>227</t>
  </si>
  <si>
    <t>ZS2025090310196</t>
  </si>
  <si>
    <t>228</t>
  </si>
  <si>
    <t>229</t>
  </si>
  <si>
    <t>ZS2024071910207</t>
  </si>
  <si>
    <t>230</t>
  </si>
  <si>
    <t>ZS2024071810024</t>
  </si>
  <si>
    <t>231</t>
  </si>
  <si>
    <t>ZS2023081010037</t>
  </si>
  <si>
    <t>232</t>
  </si>
  <si>
    <t>ZS2025031010217</t>
  </si>
  <si>
    <t>233</t>
  </si>
  <si>
    <t>ZS2024102110032</t>
  </si>
  <si>
    <t>234</t>
  </si>
  <si>
    <t>ZS2024090910178</t>
  </si>
  <si>
    <t>235</t>
  </si>
  <si>
    <t>ZS2025051910137</t>
  </si>
  <si>
    <t>236</t>
  </si>
  <si>
    <t>ZS2025082610163</t>
  </si>
  <si>
    <t>237</t>
  </si>
  <si>
    <t>ZS2025012110183</t>
  </si>
  <si>
    <t>238</t>
  </si>
  <si>
    <t>ZS2024112210172</t>
  </si>
  <si>
    <t>239</t>
  </si>
  <si>
    <t>ZS2024081510162</t>
  </si>
  <si>
    <t>240</t>
  </si>
  <si>
    <t>ZS2025060910160</t>
  </si>
  <si>
    <t>241</t>
  </si>
  <si>
    <t>202101080019</t>
  </si>
  <si>
    <t>242</t>
  </si>
  <si>
    <t>202012210037</t>
  </si>
  <si>
    <t>创新合同空间极致利用</t>
  </si>
  <si>
    <t>243</t>
  </si>
  <si>
    <t>ZS2025041010162</t>
  </si>
  <si>
    <t>244</t>
  </si>
  <si>
    <t>ZS2023082510191</t>
  </si>
  <si>
    <t>245</t>
  </si>
  <si>
    <t>ZS2025052710201</t>
  </si>
  <si>
    <t>246</t>
  </si>
  <si>
    <t>ZS2025081210160</t>
  </si>
  <si>
    <t>247</t>
  </si>
  <si>
    <t>202007030045</t>
  </si>
  <si>
    <t>248</t>
  </si>
  <si>
    <t>ZS2024031810046</t>
  </si>
  <si>
    <t>249</t>
  </si>
  <si>
    <t>ZS2025082210104</t>
  </si>
  <si>
    <t>250</t>
  </si>
  <si>
    <t>ZS2024101710058</t>
  </si>
  <si>
    <t>251</t>
  </si>
  <si>
    <t>202012220033</t>
  </si>
  <si>
    <t>252</t>
  </si>
  <si>
    <t>GC2024042210268</t>
  </si>
  <si>
    <t>253</t>
  </si>
  <si>
    <t>ZS2024091210189</t>
  </si>
  <si>
    <t>254</t>
  </si>
  <si>
    <t>ZS2025080510142</t>
  </si>
  <si>
    <t>255</t>
  </si>
  <si>
    <t>ZS2024100810149</t>
  </si>
  <si>
    <t>256</t>
  </si>
  <si>
    <t>ZS2023051510098</t>
  </si>
  <si>
    <t>257</t>
  </si>
  <si>
    <t>ZS2025080110037</t>
  </si>
  <si>
    <t>258</t>
  </si>
  <si>
    <t>ZS2025042910057</t>
  </si>
  <si>
    <t>259</t>
  </si>
  <si>
    <t>ZS2025062710078</t>
  </si>
  <si>
    <t>260</t>
  </si>
  <si>
    <t>ZS2025091210211</t>
  </si>
  <si>
    <t>261</t>
  </si>
  <si>
    <t>GC2025092510335</t>
  </si>
  <si>
    <t>262</t>
  </si>
  <si>
    <t>ZS2025071010077</t>
  </si>
  <si>
    <t>263</t>
  </si>
  <si>
    <t>ZS2024122710106</t>
  </si>
  <si>
    <t>264</t>
  </si>
  <si>
    <t>ZS2023090710050</t>
  </si>
  <si>
    <t>265</t>
  </si>
  <si>
    <t>ZS2024101510136</t>
  </si>
  <si>
    <t>266</t>
  </si>
  <si>
    <t>202204270016</t>
  </si>
  <si>
    <t>267</t>
  </si>
  <si>
    <t>ZS2025050710135</t>
  </si>
  <si>
    <t>268</t>
  </si>
  <si>
    <t>ZS2023070610050</t>
  </si>
  <si>
    <t>269</t>
  </si>
  <si>
    <t>ZS2025091810166</t>
  </si>
  <si>
    <t>270</t>
  </si>
  <si>
    <t>202202150011</t>
  </si>
  <si>
    <t>271</t>
  </si>
  <si>
    <t>ZS2024082110028</t>
  </si>
  <si>
    <t>272</t>
  </si>
  <si>
    <t>ZS2024032210030</t>
  </si>
  <si>
    <t>273</t>
  </si>
  <si>
    <t>ZS2025082210165</t>
  </si>
  <si>
    <t>274</t>
  </si>
  <si>
    <t>ZS2025052310146</t>
  </si>
  <si>
    <t>275</t>
  </si>
  <si>
    <t>ZS2025071610113</t>
  </si>
  <si>
    <t>276</t>
  </si>
  <si>
    <t>ZS2023122210172</t>
  </si>
  <si>
    <t>277</t>
  </si>
  <si>
    <t>ZS2025092410217</t>
  </si>
  <si>
    <t>278</t>
  </si>
  <si>
    <t>ZS2023062510021</t>
  </si>
  <si>
    <t>279</t>
  </si>
  <si>
    <t>ZS2024091910114</t>
  </si>
  <si>
    <t>280</t>
  </si>
  <si>
    <t>ZS2024040910049</t>
  </si>
  <si>
    <t>281</t>
  </si>
  <si>
    <t>ZS2025091610164</t>
  </si>
  <si>
    <t>282</t>
  </si>
  <si>
    <t>ZS2025082810173</t>
  </si>
  <si>
    <t>283</t>
  </si>
  <si>
    <t>ZS2025060910098</t>
  </si>
  <si>
    <t>284</t>
  </si>
  <si>
    <t>ZS2025021710126</t>
  </si>
  <si>
    <t>285</t>
  </si>
  <si>
    <t>ZS2025033110202</t>
  </si>
  <si>
    <t>286</t>
  </si>
  <si>
    <t>ZS2025081410180</t>
  </si>
  <si>
    <t>287</t>
  </si>
  <si>
    <t>ZS2025061110156</t>
  </si>
  <si>
    <t>288</t>
  </si>
  <si>
    <t>ZS2024081510109</t>
  </si>
  <si>
    <t>289</t>
  </si>
  <si>
    <t>ZS2024112010143</t>
  </si>
  <si>
    <t>290</t>
  </si>
  <si>
    <t>ZS2025031110215</t>
  </si>
  <si>
    <t>291</t>
  </si>
  <si>
    <t>202203250032</t>
  </si>
  <si>
    <t>292</t>
  </si>
  <si>
    <t>ZS2025051410056</t>
  </si>
  <si>
    <t>293</t>
  </si>
  <si>
    <t>ZS2025060410015</t>
  </si>
  <si>
    <t>294</t>
  </si>
  <si>
    <t>ZS2025042710081</t>
  </si>
  <si>
    <t>295</t>
  </si>
  <si>
    <t>ZS2025071010154</t>
  </si>
  <si>
    <t>296</t>
  </si>
  <si>
    <t>202101290112</t>
  </si>
  <si>
    <t>297</t>
  </si>
  <si>
    <t>ZS2025062610144</t>
  </si>
  <si>
    <t>298</t>
  </si>
  <si>
    <t>ZS2024051510202</t>
  </si>
  <si>
    <t>299</t>
  </si>
  <si>
    <t>ZS2025082110214</t>
  </si>
  <si>
    <t>300</t>
  </si>
  <si>
    <t>GG2024112910053</t>
  </si>
  <si>
    <t>301</t>
  </si>
  <si>
    <t>ZS2024052010108</t>
  </si>
  <si>
    <t>302</t>
  </si>
  <si>
    <t>ZS2025042410225</t>
  </si>
  <si>
    <t>303</t>
  </si>
  <si>
    <t>ZS2025022410192</t>
  </si>
  <si>
    <t>304</t>
  </si>
  <si>
    <t>ZS2023082110105</t>
  </si>
  <si>
    <t>305</t>
  </si>
  <si>
    <t>ZS2025041410018</t>
  </si>
  <si>
    <t>306</t>
  </si>
  <si>
    <t>ZS2025032610177</t>
  </si>
  <si>
    <t>307</t>
  </si>
  <si>
    <t>ZS2025102010121</t>
  </si>
  <si>
    <t>308</t>
  </si>
  <si>
    <t>ZS2025071610103</t>
  </si>
  <si>
    <t>309</t>
  </si>
  <si>
    <t>ZS2025032610159</t>
  </si>
  <si>
    <t>310</t>
  </si>
  <si>
    <t>ZS2024100810171</t>
  </si>
  <si>
    <t>311</t>
  </si>
  <si>
    <t>ZS2025051610151</t>
  </si>
  <si>
    <t>312</t>
  </si>
  <si>
    <t>ZS2023122610004</t>
  </si>
  <si>
    <t>313</t>
  </si>
  <si>
    <t>ZS2025082010102</t>
  </si>
  <si>
    <t>314</t>
  </si>
  <si>
    <t>ZS2024111910155</t>
  </si>
  <si>
    <t>315</t>
  </si>
  <si>
    <t>ZS2024080810165</t>
  </si>
  <si>
    <t>316</t>
  </si>
  <si>
    <t>ZS2025041010148</t>
  </si>
  <si>
    <t>317</t>
  </si>
  <si>
    <t>ZS2025102810105</t>
  </si>
  <si>
    <t>318</t>
  </si>
  <si>
    <t>GG2024061210211</t>
  </si>
  <si>
    <t>319</t>
  </si>
  <si>
    <t>ZS2025031210181</t>
  </si>
  <si>
    <t>320</t>
  </si>
  <si>
    <t>ZS2025042810153</t>
  </si>
  <si>
    <t>321</t>
  </si>
  <si>
    <t>ZS2025042810144</t>
  </si>
  <si>
    <t>322</t>
  </si>
  <si>
    <t>GG2025041110125</t>
  </si>
  <si>
    <t>323</t>
  </si>
  <si>
    <t>ZS2025081310105</t>
  </si>
  <si>
    <t>324</t>
  </si>
  <si>
    <t>ZS2025072810095</t>
  </si>
  <si>
    <t>325</t>
  </si>
  <si>
    <t>ZS2024041810201</t>
  </si>
  <si>
    <t>326</t>
  </si>
  <si>
    <t>ZS2025101110054</t>
  </si>
  <si>
    <t>327</t>
  </si>
  <si>
    <t>ZS2024061910117</t>
  </si>
  <si>
    <t>328</t>
  </si>
  <si>
    <t>201712243792</t>
  </si>
  <si>
    <t>329</t>
  </si>
  <si>
    <t>ZS2024070910016</t>
  </si>
  <si>
    <t>330</t>
  </si>
  <si>
    <t>ZS2024111810036</t>
  </si>
  <si>
    <t>331</t>
  </si>
  <si>
    <t>GC2025050910167</t>
  </si>
  <si>
    <t>332</t>
  </si>
  <si>
    <t>GC2025062610020</t>
  </si>
  <si>
    <t>333</t>
  </si>
  <si>
    <t>GC2025072910303</t>
  </si>
  <si>
    <t>334</t>
  </si>
  <si>
    <t>GC2025082510184</t>
  </si>
  <si>
    <t>335</t>
  </si>
  <si>
    <t>GC2025092410087</t>
  </si>
  <si>
    <t>336</t>
  </si>
  <si>
    <t>GC2025103010031</t>
  </si>
  <si>
    <t>337</t>
  </si>
  <si>
    <t>ZS2025052210219</t>
  </si>
  <si>
    <t>338</t>
  </si>
  <si>
    <t>GC2025113010040</t>
  </si>
  <si>
    <t>339</t>
  </si>
  <si>
    <t>202304100054</t>
  </si>
  <si>
    <t>340</t>
  </si>
  <si>
    <t>ZS2025080710204</t>
  </si>
  <si>
    <t>341</t>
  </si>
  <si>
    <t>GG2024120610183</t>
  </si>
  <si>
    <t>342</t>
  </si>
  <si>
    <t>202303170069</t>
  </si>
  <si>
    <t>343</t>
  </si>
  <si>
    <t>ZS2024121010228</t>
  </si>
  <si>
    <t>344</t>
  </si>
  <si>
    <t>ZS2024101810150</t>
  </si>
  <si>
    <t>345</t>
  </si>
  <si>
    <t>GC2025080510057</t>
  </si>
  <si>
    <t>346</t>
  </si>
  <si>
    <t>GC2024112710055</t>
  </si>
  <si>
    <t>347</t>
  </si>
  <si>
    <t>ZS2025062610210</t>
  </si>
  <si>
    <t>348</t>
  </si>
  <si>
    <t>ZS2025081410122</t>
  </si>
  <si>
    <t>349</t>
  </si>
  <si>
    <t>PT2023040310077</t>
  </si>
  <si>
    <t>350</t>
  </si>
  <si>
    <t>ZS2024081610076</t>
  </si>
  <si>
    <t>351</t>
  </si>
  <si>
    <t>GC2025012210028</t>
  </si>
  <si>
    <t>352</t>
  </si>
  <si>
    <t>GG2024010310102</t>
  </si>
  <si>
    <t>353</t>
  </si>
  <si>
    <t>ZS2024032210087</t>
  </si>
  <si>
    <t>354</t>
  </si>
  <si>
    <t>ZS2025090310072</t>
  </si>
  <si>
    <t>355</t>
  </si>
  <si>
    <t>ZS2025091210148</t>
  </si>
  <si>
    <t>356</t>
  </si>
  <si>
    <t>ZS2025101110168</t>
  </si>
  <si>
    <t>357</t>
  </si>
  <si>
    <t>ZS2025081210038</t>
  </si>
  <si>
    <t>358</t>
  </si>
  <si>
    <t>ZS2025062510063</t>
  </si>
  <si>
    <t>359</t>
  </si>
  <si>
    <t>ZS2024032710172</t>
  </si>
  <si>
    <t>360</t>
  </si>
  <si>
    <t>GC2025031110190</t>
  </si>
  <si>
    <t>361</t>
  </si>
  <si>
    <t>ZS2025101010151</t>
  </si>
  <si>
    <t>362</t>
  </si>
  <si>
    <t>ZS2025111110256</t>
  </si>
  <si>
    <t>363</t>
  </si>
  <si>
    <t>ZS2025091610105</t>
  </si>
  <si>
    <t>364</t>
  </si>
  <si>
    <t>ZS2024062410016</t>
  </si>
  <si>
    <t>365</t>
  </si>
  <si>
    <t>ZS2024073110030</t>
  </si>
  <si>
    <t>366</t>
  </si>
  <si>
    <t>GC2025042810134</t>
  </si>
  <si>
    <t>367</t>
  </si>
  <si>
    <t>GC2024080910145</t>
  </si>
  <si>
    <t>368</t>
  </si>
  <si>
    <t>ZS2025081810167</t>
  </si>
  <si>
    <t>369</t>
  </si>
  <si>
    <t>ZS2025092610185</t>
  </si>
  <si>
    <t>370</t>
  </si>
  <si>
    <t>202202140039</t>
  </si>
  <si>
    <t>371</t>
  </si>
  <si>
    <t>ZS2025091810062</t>
  </si>
  <si>
    <t>372</t>
  </si>
  <si>
    <t>GG2025061010218</t>
  </si>
  <si>
    <t>373</t>
  </si>
  <si>
    <t>ZS2025042910096</t>
  </si>
  <si>
    <t>374</t>
  </si>
  <si>
    <t>GG2024042910207</t>
  </si>
  <si>
    <t>375</t>
  </si>
  <si>
    <t>ZS2024051510199</t>
  </si>
  <si>
    <t>376</t>
  </si>
  <si>
    <t>ZS2025021910098</t>
  </si>
  <si>
    <t>377</t>
  </si>
  <si>
    <t>ZS2025072810301</t>
  </si>
  <si>
    <t>378</t>
  </si>
  <si>
    <t>ZS2024061310099</t>
  </si>
  <si>
    <t>379</t>
  </si>
  <si>
    <t>202201120062</t>
  </si>
  <si>
    <t>380</t>
  </si>
  <si>
    <t>ZS2024061910237</t>
  </si>
  <si>
    <t>381</t>
  </si>
  <si>
    <t>GC2025021710105</t>
  </si>
  <si>
    <t>382</t>
  </si>
  <si>
    <t>ZS2025102910199</t>
  </si>
  <si>
    <t>383</t>
  </si>
  <si>
    <t>202303080018</t>
  </si>
  <si>
    <t>384</t>
  </si>
  <si>
    <t>GC2025072510251</t>
  </si>
  <si>
    <t>385</t>
  </si>
  <si>
    <t>ZS2024072310188</t>
  </si>
  <si>
    <t>386</t>
  </si>
  <si>
    <t>ZS2024010910058</t>
  </si>
  <si>
    <t>387</t>
  </si>
  <si>
    <t>202008300033</t>
  </si>
  <si>
    <t>创新合同（共享服务）</t>
  </si>
  <si>
    <t>388</t>
  </si>
  <si>
    <t>ZS2025091810225</t>
  </si>
  <si>
    <t>389</t>
  </si>
  <si>
    <t>ZS2025092810270</t>
  </si>
  <si>
    <t>390</t>
  </si>
  <si>
    <t>ZS2025062010150</t>
  </si>
  <si>
    <t>391</t>
  </si>
  <si>
    <t>ZS2024040810087</t>
  </si>
  <si>
    <t>392</t>
  </si>
  <si>
    <t>ZS2025082110285</t>
  </si>
  <si>
    <t>393</t>
  </si>
  <si>
    <t>ZS2024042210063</t>
  </si>
  <si>
    <t>394</t>
  </si>
  <si>
    <t>ZS2024123010190</t>
  </si>
  <si>
    <t>395</t>
  </si>
  <si>
    <t>ZS2025082210111</t>
  </si>
  <si>
    <t>396</t>
  </si>
  <si>
    <t>ZS2024032110186</t>
  </si>
  <si>
    <t>397</t>
  </si>
  <si>
    <t>ZS2025042710089</t>
  </si>
  <si>
    <t>398</t>
  </si>
  <si>
    <t>GG2025010810043</t>
  </si>
  <si>
    <t>399</t>
  </si>
  <si>
    <t>GC2025102910264</t>
  </si>
  <si>
    <t>400</t>
  </si>
  <si>
    <t>GC2025042510100</t>
  </si>
  <si>
    <t>401</t>
  </si>
  <si>
    <t>GC2025042510201</t>
  </si>
  <si>
    <t>402</t>
  </si>
  <si>
    <t>GC2025112710033</t>
  </si>
  <si>
    <t>403</t>
  </si>
  <si>
    <t>PT2023111010007</t>
  </si>
  <si>
    <t>404</t>
  </si>
  <si>
    <t>PT2024060510102</t>
  </si>
  <si>
    <t>405</t>
  </si>
  <si>
    <t>ZS2024041810196</t>
  </si>
  <si>
    <t>406</t>
  </si>
  <si>
    <t>ZS2024030610140</t>
  </si>
  <si>
    <t>407</t>
  </si>
  <si>
    <t>CX2025032410124</t>
  </si>
  <si>
    <t>408</t>
  </si>
  <si>
    <t>ZS2025072810214</t>
  </si>
  <si>
    <t>409</t>
  </si>
  <si>
    <t>ZS2025082210131</t>
  </si>
  <si>
    <t>410</t>
  </si>
  <si>
    <t>ZS2024060610061</t>
  </si>
  <si>
    <t>411</t>
  </si>
  <si>
    <t>GC2024120510079</t>
  </si>
  <si>
    <t>412</t>
  </si>
  <si>
    <t>ZS2025092410232</t>
  </si>
  <si>
    <t>413</t>
  </si>
  <si>
    <t>ZS2025072310004</t>
  </si>
  <si>
    <t>414</t>
  </si>
  <si>
    <t>GC2025072410093</t>
  </si>
  <si>
    <t>415</t>
  </si>
  <si>
    <t>GC2025072410095</t>
  </si>
  <si>
    <t>416</t>
  </si>
  <si>
    <t>ZS2024051610116</t>
  </si>
  <si>
    <t>417</t>
  </si>
  <si>
    <t>ZS2025072410167</t>
  </si>
  <si>
    <t>418</t>
  </si>
  <si>
    <t>CX2025032410120</t>
  </si>
  <si>
    <t>419</t>
  </si>
  <si>
    <t>ZS2025061910133</t>
  </si>
  <si>
    <t>420</t>
  </si>
  <si>
    <t>GG2024121010037</t>
  </si>
  <si>
    <t>421</t>
  </si>
  <si>
    <t>ZS2025092210295</t>
  </si>
  <si>
    <t>422</t>
  </si>
  <si>
    <t>ZS2024120910101</t>
  </si>
  <si>
    <t>423</t>
  </si>
  <si>
    <t>GG2024111410130</t>
  </si>
  <si>
    <t>424</t>
  </si>
  <si>
    <t>ZS2024041510070</t>
  </si>
  <si>
    <t>425</t>
  </si>
  <si>
    <t>ZS2025112510246</t>
  </si>
  <si>
    <t>426</t>
  </si>
  <si>
    <t>GC2025042810006</t>
  </si>
  <si>
    <t>427</t>
  </si>
  <si>
    <t>ZS2024031410176</t>
  </si>
  <si>
    <t>428</t>
  </si>
  <si>
    <t>ZS2024012610127</t>
  </si>
  <si>
    <t>429</t>
  </si>
  <si>
    <t>ZS2025072510160</t>
  </si>
  <si>
    <t>430</t>
  </si>
  <si>
    <t>ZS2025052810132</t>
  </si>
  <si>
    <t>431</t>
  </si>
  <si>
    <t>ZS2024050910056</t>
  </si>
  <si>
    <t>432</t>
  </si>
  <si>
    <t>ZS2024070810185</t>
  </si>
  <si>
    <t>433</t>
  </si>
  <si>
    <t>GC2025052210221</t>
  </si>
  <si>
    <t>434</t>
  </si>
  <si>
    <t>ZS2025062610279</t>
  </si>
  <si>
    <t>435</t>
  </si>
  <si>
    <t>ZS2025072110190</t>
  </si>
  <si>
    <t>436</t>
  </si>
  <si>
    <t>GC2025061110176</t>
  </si>
  <si>
    <t>437</t>
  </si>
  <si>
    <t>GC2025101010061</t>
  </si>
  <si>
    <t>438</t>
  </si>
  <si>
    <t>ZS2025100910123</t>
  </si>
  <si>
    <t>439</t>
  </si>
  <si>
    <t>ZS2025072410181</t>
  </si>
  <si>
    <t>440</t>
  </si>
  <si>
    <t>ZS2025082710335</t>
  </si>
  <si>
    <t>441</t>
  </si>
  <si>
    <t>ZS2025101410092</t>
  </si>
  <si>
    <t>442</t>
  </si>
  <si>
    <t>GG2024120210269</t>
  </si>
  <si>
    <t>443</t>
  </si>
  <si>
    <t>ZS2025090110207</t>
  </si>
  <si>
    <t>444</t>
  </si>
  <si>
    <t>ZS2024012210017</t>
  </si>
  <si>
    <t>445</t>
  </si>
  <si>
    <t>ZS2025011710109</t>
  </si>
  <si>
    <t>446</t>
  </si>
  <si>
    <t>GC2025053010025</t>
  </si>
  <si>
    <t>447</t>
  </si>
  <si>
    <t>CX2025061610189</t>
  </si>
  <si>
    <t>448</t>
  </si>
  <si>
    <t>ZS2025022010093</t>
  </si>
  <si>
    <t>449</t>
  </si>
  <si>
    <t>ZS2025092610042</t>
  </si>
  <si>
    <t>450</t>
  </si>
  <si>
    <t>GC2025072510222</t>
  </si>
  <si>
    <t>451</t>
  </si>
  <si>
    <t>GG2024111310264</t>
  </si>
  <si>
    <t>452</t>
  </si>
  <si>
    <t>PT2023111010011</t>
  </si>
  <si>
    <t>453</t>
  </si>
  <si>
    <t>GG2025111310194</t>
  </si>
  <si>
    <t>454</t>
  </si>
  <si>
    <t>ZS2025111110044</t>
  </si>
  <si>
    <t>455</t>
  </si>
  <si>
    <t>GC2025082110253</t>
  </si>
  <si>
    <t>456</t>
  </si>
  <si>
    <t>GC2025050910072</t>
  </si>
  <si>
    <t>457</t>
  </si>
  <si>
    <t>CX2025080810024</t>
  </si>
  <si>
    <t>458</t>
  </si>
  <si>
    <t>ZS2025120310055</t>
  </si>
  <si>
    <t>459</t>
  </si>
  <si>
    <t>GC2024071210023</t>
  </si>
  <si>
    <t>460</t>
  </si>
  <si>
    <t>GC2025040810189</t>
  </si>
  <si>
    <t>461</t>
  </si>
  <si>
    <t>ZS2025082210164</t>
  </si>
  <si>
    <t>462</t>
  </si>
  <si>
    <t>GC2025101710195</t>
  </si>
  <si>
    <t>463</t>
  </si>
  <si>
    <t>ZS2025093010065</t>
  </si>
  <si>
    <t>464</t>
  </si>
  <si>
    <t>ZS2025101610149</t>
  </si>
  <si>
    <t>465</t>
  </si>
  <si>
    <t>GG2024061210217</t>
  </si>
  <si>
    <t>466</t>
  </si>
  <si>
    <t>ZS2025082110215</t>
  </si>
  <si>
    <t>467</t>
  </si>
  <si>
    <t>GG2024111810071</t>
  </si>
  <si>
    <t>468</t>
  </si>
  <si>
    <t>PT2024120210260</t>
  </si>
  <si>
    <t>469</t>
  </si>
  <si>
    <t>ZS2025111110149</t>
  </si>
  <si>
    <t>470</t>
  </si>
  <si>
    <t>GC2025050910023</t>
  </si>
  <si>
    <t>471</t>
  </si>
  <si>
    <t>GG2024100410016</t>
  </si>
  <si>
    <t>472</t>
  </si>
  <si>
    <t>ZS2025081810184</t>
  </si>
  <si>
    <t>473</t>
  </si>
  <si>
    <t>GC2025070310036</t>
  </si>
  <si>
    <t>474</t>
  </si>
  <si>
    <t>GC2025041510287</t>
  </si>
  <si>
    <t>475</t>
  </si>
  <si>
    <t>GC2025082010283</t>
  </si>
  <si>
    <t>476</t>
  </si>
  <si>
    <t>202301050031</t>
  </si>
  <si>
    <t>477</t>
  </si>
  <si>
    <t>ZS2025072910021</t>
  </si>
  <si>
    <t>478</t>
  </si>
  <si>
    <t>ZS2025062710239</t>
  </si>
  <si>
    <t>479</t>
  </si>
  <si>
    <t>GC2024111210259</t>
  </si>
  <si>
    <t>480</t>
  </si>
  <si>
    <t>GC2025032110003</t>
  </si>
  <si>
    <t>481</t>
  </si>
  <si>
    <t>GC2025032110004</t>
  </si>
  <si>
    <t>482</t>
  </si>
  <si>
    <t>GG2025061010214</t>
  </si>
  <si>
    <t>483</t>
  </si>
  <si>
    <t>GC2025072910283</t>
  </si>
  <si>
    <t>484</t>
  </si>
  <si>
    <t>ZS2024030610094</t>
  </si>
  <si>
    <t>485</t>
  </si>
  <si>
    <t>GC2024122710024</t>
  </si>
  <si>
    <t>486</t>
  </si>
  <si>
    <t>GC2025021710099</t>
  </si>
  <si>
    <t>487</t>
  </si>
  <si>
    <t>PT2025041410082</t>
  </si>
  <si>
    <t>488</t>
  </si>
  <si>
    <t>GG2025031910070</t>
  </si>
  <si>
    <t>489</t>
  </si>
  <si>
    <t>GC2025082710048</t>
  </si>
  <si>
    <t>490</t>
  </si>
  <si>
    <t>ZS2025090210022</t>
  </si>
  <si>
    <t>491</t>
  </si>
  <si>
    <t>GC2024121110026</t>
  </si>
  <si>
    <t>492</t>
  </si>
  <si>
    <t>ZS2025082610295</t>
  </si>
  <si>
    <t>493</t>
  </si>
  <si>
    <t>ZS2025072110103</t>
  </si>
  <si>
    <t>494</t>
  </si>
  <si>
    <t>GC2024112610088</t>
  </si>
  <si>
    <t>495</t>
  </si>
  <si>
    <t>GC2025020810119</t>
  </si>
  <si>
    <t>496</t>
  </si>
  <si>
    <t>ZS2025102310065</t>
  </si>
  <si>
    <t>497</t>
  </si>
  <si>
    <t>ZS2025092910092</t>
  </si>
  <si>
    <t>498</t>
  </si>
  <si>
    <t>ZS2024101610165</t>
  </si>
  <si>
    <t>499</t>
  </si>
  <si>
    <t>GC2025022010061</t>
  </si>
  <si>
    <t>500</t>
  </si>
  <si>
    <t>GC2025012110108</t>
  </si>
  <si>
    <t>501</t>
  </si>
  <si>
    <t>GC2025092910136</t>
  </si>
  <si>
    <t>502</t>
  </si>
  <si>
    <t>GC2024102110122</t>
  </si>
  <si>
    <t>503</t>
  </si>
  <si>
    <t>ZS2025111110184</t>
  </si>
  <si>
    <t>504</t>
  </si>
  <si>
    <t>PT2025041010192</t>
  </si>
  <si>
    <t>505</t>
  </si>
  <si>
    <t>GC2024122410078</t>
  </si>
  <si>
    <t>506</t>
  </si>
  <si>
    <t>GC2025032510028</t>
  </si>
  <si>
    <t>507</t>
  </si>
  <si>
    <t>GC2025061910253</t>
  </si>
  <si>
    <t>508</t>
  </si>
  <si>
    <t>ZS2025101410125</t>
  </si>
  <si>
    <t>509</t>
  </si>
  <si>
    <t>CX2025070110067</t>
  </si>
  <si>
    <t>510</t>
  </si>
  <si>
    <t>GC2025032110005</t>
  </si>
  <si>
    <t>511</t>
  </si>
  <si>
    <t>PT2023122810162</t>
  </si>
  <si>
    <t>512</t>
  </si>
  <si>
    <t>CX2025012010064</t>
  </si>
  <si>
    <t>513</t>
  </si>
  <si>
    <t>ZS2025051910182</t>
  </si>
  <si>
    <t>514</t>
  </si>
  <si>
    <t>GC2025110310220</t>
  </si>
  <si>
    <t>515</t>
  </si>
  <si>
    <t>GC2025082110265</t>
  </si>
  <si>
    <t>516</t>
  </si>
  <si>
    <t>GC2024051710084</t>
  </si>
  <si>
    <t>517</t>
  </si>
  <si>
    <t>ZS2023072810103</t>
  </si>
  <si>
    <t>518</t>
  </si>
  <si>
    <t>GC2025052610326</t>
  </si>
  <si>
    <t>519</t>
  </si>
  <si>
    <t>GG2024052110110</t>
  </si>
  <si>
    <t>520</t>
  </si>
  <si>
    <t>GG2025061810048</t>
  </si>
  <si>
    <t>521</t>
  </si>
  <si>
    <t>GC2025053010141</t>
  </si>
  <si>
    <t>522</t>
  </si>
  <si>
    <t>GC2025102210169</t>
  </si>
  <si>
    <t>523</t>
  </si>
  <si>
    <t>GC2025082710054</t>
  </si>
  <si>
    <t>524</t>
  </si>
  <si>
    <t>GC2024091810234</t>
  </si>
  <si>
    <t>525</t>
  </si>
  <si>
    <t>GG2024061710165</t>
  </si>
  <si>
    <t>526</t>
  </si>
  <si>
    <t>GG2025052810303</t>
  </si>
  <si>
    <t>527</t>
  </si>
  <si>
    <t>ZS2025121710164</t>
  </si>
  <si>
    <t>528</t>
  </si>
  <si>
    <t>ZS2025091510180</t>
  </si>
  <si>
    <t>529</t>
  </si>
  <si>
    <t>GC2025062410309</t>
  </si>
  <si>
    <t>530</t>
  </si>
  <si>
    <t>ZS2025091510147</t>
  </si>
  <si>
    <t>531</t>
  </si>
  <si>
    <t>GC2025010110016</t>
  </si>
  <si>
    <t>532</t>
  </si>
  <si>
    <t>PT2024022110046</t>
  </si>
  <si>
    <t>533</t>
  </si>
  <si>
    <t>201809136038</t>
  </si>
  <si>
    <t>534</t>
  </si>
  <si>
    <t>GC2024031410096</t>
  </si>
  <si>
    <t>535</t>
  </si>
  <si>
    <t>GC2025031810008</t>
  </si>
  <si>
    <t>536</t>
  </si>
  <si>
    <t>GC2025060310162</t>
  </si>
  <si>
    <t>537</t>
  </si>
  <si>
    <t>GC2025022310006</t>
  </si>
  <si>
    <t>538</t>
  </si>
  <si>
    <t>GC2025070310084</t>
  </si>
  <si>
    <t>539</t>
  </si>
  <si>
    <t>ZS2025082710262</t>
  </si>
  <si>
    <t>540</t>
  </si>
  <si>
    <t>CX2024083010058</t>
  </si>
  <si>
    <t>541</t>
  </si>
  <si>
    <t>ZS2025092610158</t>
  </si>
  <si>
    <t>542</t>
  </si>
  <si>
    <t>GC2025042310202</t>
  </si>
  <si>
    <t>543</t>
  </si>
  <si>
    <t>GC2025070410149</t>
  </si>
  <si>
    <t>544</t>
  </si>
  <si>
    <t>GG2025052010062</t>
  </si>
  <si>
    <t>545</t>
  </si>
  <si>
    <t>PT2025020710052</t>
  </si>
  <si>
    <t>546</t>
  </si>
  <si>
    <t>PT2024112210218</t>
  </si>
  <si>
    <t>547</t>
  </si>
  <si>
    <t>ZS2025101610124</t>
  </si>
  <si>
    <t>548</t>
  </si>
  <si>
    <t>PT2024070410151</t>
  </si>
  <si>
    <t>549</t>
  </si>
  <si>
    <t>GC2025030610173</t>
  </si>
  <si>
    <t>550</t>
  </si>
  <si>
    <t>ZS2025090110066</t>
  </si>
  <si>
    <t>551</t>
  </si>
  <si>
    <t>GG2025050710133</t>
  </si>
  <si>
    <t>552</t>
  </si>
  <si>
    <t>GC2024112610213</t>
  </si>
  <si>
    <t>553</t>
  </si>
  <si>
    <t>GC2024122710085</t>
  </si>
  <si>
    <t>554</t>
  </si>
  <si>
    <t>GC2025022410250</t>
  </si>
  <si>
    <t>555</t>
  </si>
  <si>
    <t>GC2025042910206</t>
  </si>
  <si>
    <t>556</t>
  </si>
  <si>
    <t>GC2025061610204</t>
  </si>
  <si>
    <t>557</t>
  </si>
  <si>
    <t>GC2025092910131</t>
  </si>
  <si>
    <t>558</t>
  </si>
  <si>
    <t>GC2025121110245</t>
  </si>
  <si>
    <t>559</t>
  </si>
  <si>
    <t>GG2025041810043</t>
  </si>
  <si>
    <t>560</t>
  </si>
  <si>
    <t>GG2025082910207</t>
  </si>
  <si>
    <t>561</t>
  </si>
  <si>
    <t>GC2025012010197</t>
  </si>
  <si>
    <t>562</t>
  </si>
  <si>
    <t>ZS2024112610188</t>
  </si>
  <si>
    <t>563</t>
  </si>
  <si>
    <t>GG2025082510180</t>
  </si>
  <si>
    <t>564</t>
  </si>
  <si>
    <t>GC2025112710007</t>
  </si>
  <si>
    <t>565</t>
  </si>
  <si>
    <t>PT2025042210038</t>
  </si>
  <si>
    <t>566</t>
  </si>
  <si>
    <t>GC2024072910234</t>
  </si>
  <si>
    <t>567</t>
  </si>
  <si>
    <t>GC2024120310052</t>
  </si>
  <si>
    <t>568</t>
  </si>
  <si>
    <t>ZS2025092810206</t>
  </si>
  <si>
    <t>569</t>
  </si>
  <si>
    <t>GC2025102710062</t>
  </si>
  <si>
    <t>570</t>
  </si>
  <si>
    <t>GG2025052310123</t>
  </si>
  <si>
    <t>571</t>
  </si>
  <si>
    <t>PT2025060910243</t>
  </si>
  <si>
    <t>572</t>
  </si>
  <si>
    <t>GC2025081210253</t>
  </si>
  <si>
    <t>573</t>
  </si>
  <si>
    <t>GC2024112610127</t>
  </si>
  <si>
    <t>574</t>
  </si>
  <si>
    <t>GG2025092910296</t>
  </si>
  <si>
    <t>575</t>
  </si>
  <si>
    <t>GC2025030610205</t>
  </si>
  <si>
    <t>576</t>
  </si>
  <si>
    <t>GC2025031410018</t>
  </si>
  <si>
    <t>577</t>
  </si>
  <si>
    <t>GC2025032710269</t>
  </si>
  <si>
    <t>578</t>
  </si>
  <si>
    <t>GC2024120210140</t>
  </si>
  <si>
    <t>579</t>
  </si>
  <si>
    <t>GC2025031810093</t>
  </si>
  <si>
    <t>580</t>
  </si>
  <si>
    <t>GC2025063010074</t>
  </si>
  <si>
    <t>581</t>
  </si>
  <si>
    <t>GC2025063010169</t>
  </si>
  <si>
    <t>582</t>
  </si>
  <si>
    <t>GC2025072910262</t>
  </si>
  <si>
    <t>583</t>
  </si>
  <si>
    <t>GC2025120310101</t>
  </si>
  <si>
    <t>584</t>
  </si>
  <si>
    <t>GG2025032010092</t>
  </si>
  <si>
    <t>585</t>
  </si>
  <si>
    <t>ZS2025030710057</t>
  </si>
  <si>
    <t>586</t>
  </si>
  <si>
    <t>GG2024042210154</t>
  </si>
  <si>
    <t>587</t>
  </si>
  <si>
    <t>GC2025010610198</t>
  </si>
  <si>
    <t>588</t>
  </si>
  <si>
    <t>GC2025041010163</t>
  </si>
  <si>
    <t>589</t>
  </si>
  <si>
    <t>GC2025070710179</t>
  </si>
  <si>
    <t>590</t>
  </si>
  <si>
    <t>GG2025030410171</t>
  </si>
  <si>
    <t>591</t>
  </si>
  <si>
    <t>GC2025031710241</t>
  </si>
  <si>
    <t>592</t>
  </si>
  <si>
    <t>GC2025032510102</t>
  </si>
  <si>
    <t>593</t>
  </si>
  <si>
    <t>GC2025112510074</t>
  </si>
  <si>
    <t>594</t>
  </si>
  <si>
    <t>GC2025011210021</t>
  </si>
  <si>
    <t>595</t>
  </si>
  <si>
    <t>GC2025040910099</t>
  </si>
  <si>
    <t>596</t>
  </si>
  <si>
    <t>GC2025092210278</t>
  </si>
  <si>
    <t>597</t>
  </si>
  <si>
    <t>GC2025102610070</t>
  </si>
  <si>
    <t>598</t>
  </si>
  <si>
    <t>GG2025061910296</t>
  </si>
  <si>
    <t>599</t>
  </si>
  <si>
    <t>ZS2024041510099</t>
  </si>
  <si>
    <t>600</t>
  </si>
  <si>
    <t>ZS2025111210038</t>
  </si>
  <si>
    <t>601</t>
  </si>
  <si>
    <t>GC2025080410231</t>
  </si>
  <si>
    <t>602</t>
  </si>
  <si>
    <t>PT2025062210012</t>
  </si>
  <si>
    <t>603</t>
  </si>
  <si>
    <t>GG2025041110098</t>
  </si>
  <si>
    <t>604</t>
  </si>
  <si>
    <t>PT2024090810024</t>
  </si>
  <si>
    <t>605</t>
  </si>
  <si>
    <t>GC2024072210013</t>
  </si>
  <si>
    <t>606</t>
  </si>
  <si>
    <t>GC2025070510033</t>
  </si>
  <si>
    <t>607</t>
  </si>
  <si>
    <t>GC2025090310240</t>
  </si>
  <si>
    <t>608</t>
  </si>
  <si>
    <t>GC2025102210241</t>
  </si>
  <si>
    <t>609</t>
  </si>
  <si>
    <t>GG2025010710031</t>
  </si>
  <si>
    <t>610</t>
  </si>
  <si>
    <t>GG2025041110093</t>
  </si>
  <si>
    <t>611</t>
  </si>
  <si>
    <t>GG2025062310095</t>
  </si>
  <si>
    <t>612</t>
  </si>
  <si>
    <t>ZS2025072810101</t>
  </si>
  <si>
    <t>613</t>
  </si>
  <si>
    <t>GG2024051010029</t>
  </si>
  <si>
    <t>614</t>
  </si>
  <si>
    <t>ZS2025091710176</t>
  </si>
  <si>
    <t>615</t>
  </si>
  <si>
    <t>ZS2025082810286</t>
  </si>
  <si>
    <t>616</t>
  </si>
  <si>
    <t>PT2025010310107</t>
  </si>
  <si>
    <t>617</t>
  </si>
  <si>
    <t>GC2024120110018</t>
  </si>
  <si>
    <t>618</t>
  </si>
  <si>
    <t>GC2025040310148</t>
  </si>
  <si>
    <t>619</t>
  </si>
  <si>
    <t>GC2024031410095</t>
  </si>
  <si>
    <t>620</t>
  </si>
  <si>
    <t>GC2025052610085</t>
  </si>
  <si>
    <t>621</t>
  </si>
  <si>
    <t>GC2025031910299</t>
  </si>
  <si>
    <t>622</t>
  </si>
  <si>
    <t>GC2025031910179</t>
  </si>
  <si>
    <t>623</t>
  </si>
  <si>
    <t>PT2024072610160</t>
  </si>
  <si>
    <t>624</t>
  </si>
  <si>
    <t>GC2025101110100</t>
  </si>
  <si>
    <t>625</t>
  </si>
  <si>
    <t>ZS2024082110069</t>
  </si>
  <si>
    <t>626</t>
  </si>
  <si>
    <t>ZS2025092210201</t>
  </si>
  <si>
    <t>627</t>
  </si>
  <si>
    <t>PT2024040910112</t>
  </si>
  <si>
    <t>628</t>
  </si>
  <si>
    <t>GC2025060310180</t>
  </si>
  <si>
    <t>629</t>
  </si>
  <si>
    <t>GC2025082810298</t>
  </si>
  <si>
    <t>630</t>
  </si>
  <si>
    <t>GC2025070710267</t>
  </si>
  <si>
    <t>631</t>
  </si>
  <si>
    <t>GC2025072110122</t>
  </si>
  <si>
    <t>632</t>
  </si>
  <si>
    <t>GG2024042210092</t>
  </si>
  <si>
    <t>633</t>
  </si>
  <si>
    <t>ZS2025102910119</t>
  </si>
  <si>
    <t>634</t>
  </si>
  <si>
    <t>GC2024101510137</t>
  </si>
  <si>
    <t>635</t>
  </si>
  <si>
    <t>CX2025032410104</t>
  </si>
  <si>
    <t>636</t>
  </si>
  <si>
    <t>GC2025072910172</t>
  </si>
  <si>
    <t>637</t>
  </si>
  <si>
    <t>GC2025010810080</t>
  </si>
  <si>
    <t>638</t>
  </si>
  <si>
    <t>GC2025042110196</t>
  </si>
  <si>
    <t>639</t>
  </si>
  <si>
    <t>GC2025051410202</t>
  </si>
  <si>
    <t>640</t>
  </si>
  <si>
    <t>GC2025082510306</t>
  </si>
  <si>
    <t>641</t>
  </si>
  <si>
    <t>GC2025091510036</t>
  </si>
  <si>
    <t>642</t>
  </si>
  <si>
    <t>GC2025102110064</t>
  </si>
  <si>
    <t>643</t>
  </si>
  <si>
    <t>GC2025110310080</t>
  </si>
  <si>
    <t>644</t>
  </si>
  <si>
    <t>GG2025021310155</t>
  </si>
  <si>
    <t>645</t>
  </si>
  <si>
    <t>GG2025102710271</t>
  </si>
  <si>
    <t>646</t>
  </si>
  <si>
    <t>GG2025103010068</t>
  </si>
  <si>
    <t>647</t>
  </si>
  <si>
    <t>GG2025122610186</t>
  </si>
  <si>
    <t>648</t>
  </si>
  <si>
    <t>202206130065</t>
  </si>
  <si>
    <t>649</t>
  </si>
  <si>
    <t>GC2025041010147</t>
  </si>
  <si>
    <t>650</t>
  </si>
  <si>
    <t>GC2025120310121</t>
  </si>
  <si>
    <t>651</t>
  </si>
  <si>
    <t>GC2024123110151</t>
  </si>
  <si>
    <t>652</t>
  </si>
  <si>
    <t>ZS2025111310018</t>
  </si>
  <si>
    <t>653</t>
  </si>
  <si>
    <t>GC2025010610203</t>
  </si>
  <si>
    <t>654</t>
  </si>
  <si>
    <t>GG2024072310140</t>
  </si>
  <si>
    <t>655</t>
  </si>
  <si>
    <t>GC2024120210125</t>
  </si>
  <si>
    <t>656</t>
  </si>
  <si>
    <t>GG2025072910249</t>
  </si>
  <si>
    <t>657</t>
  </si>
  <si>
    <t>GC2025021010081</t>
  </si>
  <si>
    <t>658</t>
  </si>
  <si>
    <t>GC2025061810064</t>
  </si>
  <si>
    <t>659</t>
  </si>
  <si>
    <t>GG2024042210009</t>
  </si>
  <si>
    <t>660</t>
  </si>
  <si>
    <t>GG2025112810246</t>
  </si>
  <si>
    <t>661</t>
  </si>
  <si>
    <t>GC2025031410258</t>
  </si>
  <si>
    <t>662</t>
  </si>
  <si>
    <t>2020032212832</t>
  </si>
  <si>
    <t>663</t>
  </si>
  <si>
    <t>GC2025070910002</t>
  </si>
  <si>
    <t>664</t>
  </si>
  <si>
    <t>GC2025080610151</t>
  </si>
  <si>
    <t>665</t>
  </si>
  <si>
    <t>PT2023121310115</t>
  </si>
  <si>
    <t>666</t>
  </si>
  <si>
    <t>PT2025061810271</t>
  </si>
  <si>
    <t>667</t>
  </si>
  <si>
    <t>ZS2025032810155</t>
  </si>
  <si>
    <t>668</t>
  </si>
  <si>
    <t>PT2024060510130</t>
  </si>
  <si>
    <t>669</t>
  </si>
  <si>
    <t>GC2025102810015</t>
  </si>
  <si>
    <t>670</t>
  </si>
  <si>
    <t>PT2025060410090</t>
  </si>
  <si>
    <t>671</t>
  </si>
  <si>
    <t>GC2025020710120</t>
  </si>
  <si>
    <t>672</t>
  </si>
  <si>
    <t>GC2025042310231</t>
  </si>
  <si>
    <t>673</t>
  </si>
  <si>
    <t>ZS2025111410087</t>
  </si>
  <si>
    <t>674</t>
  </si>
  <si>
    <t>GG2025052310204</t>
  </si>
  <si>
    <t>675</t>
  </si>
  <si>
    <t>GC2025011610207</t>
  </si>
  <si>
    <t>676</t>
  </si>
  <si>
    <t>GC2025031910177</t>
  </si>
  <si>
    <t>677</t>
  </si>
  <si>
    <t>GG2025032010103</t>
  </si>
  <si>
    <t>678</t>
  </si>
  <si>
    <t>GG2025042710211</t>
  </si>
  <si>
    <t>679</t>
  </si>
  <si>
    <t>GG2025043010042</t>
  </si>
  <si>
    <t>680</t>
  </si>
  <si>
    <t>GG2025061210166</t>
  </si>
  <si>
    <t>681</t>
  </si>
  <si>
    <t>GG2025061610054</t>
  </si>
  <si>
    <t>682</t>
  </si>
  <si>
    <t>GG2025072910184</t>
  </si>
  <si>
    <t>683</t>
  </si>
  <si>
    <t>ZS2025111910114</t>
  </si>
  <si>
    <t>684</t>
  </si>
  <si>
    <t>ZS2025111210040</t>
  </si>
  <si>
    <t>685</t>
  </si>
  <si>
    <t>PT2024082810292</t>
  </si>
  <si>
    <t>686</t>
  </si>
  <si>
    <t>ZS2025071510028</t>
  </si>
  <si>
    <t>687</t>
  </si>
  <si>
    <t>ZS2025062610159</t>
  </si>
  <si>
    <t>688</t>
  </si>
  <si>
    <t>GC2025061510034</t>
  </si>
  <si>
    <t>689</t>
  </si>
  <si>
    <t>GC2025120310151</t>
  </si>
  <si>
    <t>690</t>
  </si>
  <si>
    <t>PT2025072110137</t>
  </si>
  <si>
    <t>691</t>
  </si>
  <si>
    <t>ZS2025032510215</t>
  </si>
  <si>
    <t>692</t>
  </si>
  <si>
    <t>ZS2025111910148</t>
  </si>
  <si>
    <t>693</t>
  </si>
  <si>
    <t>CX2025010710197</t>
  </si>
  <si>
    <t>694</t>
  </si>
  <si>
    <t>PT2024031310251</t>
  </si>
  <si>
    <t>695</t>
  </si>
  <si>
    <t>GC2024122110031</t>
  </si>
  <si>
    <t>696</t>
  </si>
  <si>
    <t>GC2025063010155</t>
  </si>
  <si>
    <t>697</t>
  </si>
  <si>
    <t>GC2025071110118</t>
  </si>
  <si>
    <t>698</t>
  </si>
  <si>
    <t>GC2025092910029</t>
  </si>
  <si>
    <t>699</t>
  </si>
  <si>
    <t>ZS2024081210046</t>
  </si>
  <si>
    <t>700</t>
  </si>
  <si>
    <t>CX2023042010133</t>
  </si>
  <si>
    <t>701</t>
  </si>
  <si>
    <t>GC2025070110105</t>
  </si>
  <si>
    <t>702</t>
  </si>
  <si>
    <t>PT2024093010060</t>
  </si>
  <si>
    <t>703</t>
  </si>
  <si>
    <t>GC2025032410097</t>
  </si>
  <si>
    <t>704</t>
  </si>
  <si>
    <t>GC2025033110231</t>
  </si>
  <si>
    <t>705</t>
  </si>
  <si>
    <t>GC2025050610008</t>
  </si>
  <si>
    <t>706</t>
  </si>
  <si>
    <t>GC2025101010103</t>
  </si>
  <si>
    <t>707</t>
  </si>
  <si>
    <t>GG2024031210145</t>
  </si>
  <si>
    <t>708</t>
  </si>
  <si>
    <t>GG2025042110218</t>
  </si>
  <si>
    <t>709</t>
  </si>
  <si>
    <t>GG2025081210230</t>
  </si>
  <si>
    <t>710</t>
  </si>
  <si>
    <t>GG2025120910268</t>
  </si>
  <si>
    <t>711</t>
  </si>
  <si>
    <t>ZS2025111910057</t>
  </si>
  <si>
    <t>712</t>
  </si>
  <si>
    <t>PT2025072410214</t>
  </si>
  <si>
    <t>713</t>
  </si>
  <si>
    <t>GG2025022510264</t>
  </si>
  <si>
    <t>714</t>
  </si>
  <si>
    <t>PT2024100110003</t>
  </si>
  <si>
    <t>715</t>
  </si>
  <si>
    <t>GG2024032710275</t>
  </si>
  <si>
    <t>716</t>
  </si>
  <si>
    <t>PT2025070910098</t>
  </si>
  <si>
    <t>717</t>
  </si>
  <si>
    <t>GG2024062910073</t>
  </si>
  <si>
    <t>718</t>
  </si>
  <si>
    <t>GG2024111510168</t>
  </si>
  <si>
    <t>719</t>
  </si>
  <si>
    <t>GC2024112510232</t>
  </si>
  <si>
    <t>720</t>
  </si>
  <si>
    <t>PT2024120210258</t>
  </si>
  <si>
    <t>721</t>
  </si>
  <si>
    <t>CX2023111910023</t>
  </si>
  <si>
    <t>722</t>
  </si>
  <si>
    <t>ZS2025110310021</t>
  </si>
  <si>
    <t>723</t>
  </si>
  <si>
    <t>ZS2025103010059</t>
  </si>
  <si>
    <t>724</t>
  </si>
  <si>
    <t>CX2025032410160</t>
  </si>
  <si>
    <t>725</t>
  </si>
  <si>
    <t>ZS2025111710212</t>
  </si>
  <si>
    <t>726</t>
  </si>
  <si>
    <t>PT2025093010074</t>
  </si>
  <si>
    <t>727</t>
  </si>
  <si>
    <t>GC2024111510164</t>
  </si>
  <si>
    <t>728</t>
  </si>
  <si>
    <t>GC2025051610021</t>
  </si>
  <si>
    <t>729</t>
  </si>
  <si>
    <t>GC2025052610186</t>
  </si>
  <si>
    <t>730</t>
  </si>
  <si>
    <t>GC2025072110060</t>
  </si>
  <si>
    <t>731</t>
  </si>
  <si>
    <t>GC2025081910212</t>
  </si>
  <si>
    <t>732</t>
  </si>
  <si>
    <t>GG2025061910185</t>
  </si>
  <si>
    <t>733</t>
  </si>
  <si>
    <t>GG2025070110089</t>
  </si>
  <si>
    <t>734</t>
  </si>
  <si>
    <t>ZS2024021810016</t>
  </si>
  <si>
    <t>735</t>
  </si>
  <si>
    <t>PT2025090410220</t>
  </si>
  <si>
    <t>736</t>
  </si>
  <si>
    <t>GG2024080110088</t>
  </si>
  <si>
    <t>737</t>
  </si>
  <si>
    <t>ZS2025112110214</t>
  </si>
  <si>
    <t>738</t>
  </si>
  <si>
    <t>GG2025070210118</t>
  </si>
  <si>
    <t>739</t>
  </si>
  <si>
    <t>GC2025032510067</t>
  </si>
  <si>
    <t>740</t>
  </si>
  <si>
    <t>GG2024121010070</t>
  </si>
  <si>
    <t>741</t>
  </si>
  <si>
    <t>GG2025051810003</t>
  </si>
  <si>
    <t>742</t>
  </si>
  <si>
    <t>GC2025082210153</t>
  </si>
  <si>
    <t>743</t>
  </si>
  <si>
    <t>GG2025021410172</t>
  </si>
  <si>
    <t>744</t>
  </si>
  <si>
    <t>GG2025102910246</t>
  </si>
  <si>
    <t>745</t>
  </si>
  <si>
    <t>ZS2025121610182</t>
  </si>
  <si>
    <t>746</t>
  </si>
  <si>
    <t>GC2025030510276</t>
  </si>
  <si>
    <t>747</t>
  </si>
  <si>
    <t>GG2024112810250</t>
  </si>
  <si>
    <t>748</t>
  </si>
  <si>
    <t>GC2025120810164</t>
  </si>
  <si>
    <t>749</t>
  </si>
  <si>
    <t>GG2024073110164</t>
  </si>
  <si>
    <t>750</t>
  </si>
  <si>
    <t>GG2025111810118</t>
  </si>
  <si>
    <t>751</t>
  </si>
  <si>
    <t>GG2025090210130</t>
  </si>
  <si>
    <t>752</t>
  </si>
  <si>
    <t>GC2025053010151</t>
  </si>
  <si>
    <t>753</t>
  </si>
  <si>
    <t>GG2024051610178</t>
  </si>
  <si>
    <t>754</t>
  </si>
  <si>
    <t>GG2025041510195</t>
  </si>
  <si>
    <t>755</t>
  </si>
  <si>
    <t>PT2024120210076</t>
  </si>
  <si>
    <t>756</t>
  </si>
  <si>
    <t>GC2025031910089</t>
  </si>
  <si>
    <t>757</t>
  </si>
  <si>
    <t>PT2025011410107</t>
  </si>
  <si>
    <t>758</t>
  </si>
  <si>
    <t>GG2025091710043</t>
  </si>
  <si>
    <t>759</t>
  </si>
  <si>
    <t>GC2025043010040</t>
  </si>
  <si>
    <t>760</t>
  </si>
  <si>
    <t>GC2025060410080</t>
  </si>
  <si>
    <t>761</t>
  </si>
  <si>
    <t>GG2025042510085</t>
  </si>
  <si>
    <t>762</t>
  </si>
  <si>
    <t>GG2025053010142</t>
  </si>
  <si>
    <t>763</t>
  </si>
  <si>
    <t>GG2025071110124</t>
  </si>
  <si>
    <t>764</t>
  </si>
  <si>
    <t>GG2025090510122</t>
  </si>
  <si>
    <t>765</t>
  </si>
  <si>
    <t>GG2025122610216</t>
  </si>
  <si>
    <t>766</t>
  </si>
  <si>
    <t>GC2024030810038</t>
  </si>
  <si>
    <t>767</t>
  </si>
  <si>
    <t>ZS2024032210097</t>
  </si>
  <si>
    <t>768</t>
  </si>
  <si>
    <t>PT2025091510027</t>
  </si>
  <si>
    <t>769</t>
  </si>
  <si>
    <t>GG2024043010040</t>
  </si>
  <si>
    <t>770</t>
  </si>
  <si>
    <t>PT2025101410244</t>
  </si>
  <si>
    <t>771</t>
  </si>
  <si>
    <t>PT2023021410118</t>
  </si>
  <si>
    <t>772</t>
  </si>
  <si>
    <t>PT2025040310154</t>
  </si>
  <si>
    <t>773</t>
  </si>
  <si>
    <t>GC2025032610245</t>
  </si>
  <si>
    <t>774</t>
  </si>
  <si>
    <t>GC2025040810109</t>
  </si>
  <si>
    <t>775</t>
  </si>
  <si>
    <t>GC2025041810039</t>
  </si>
  <si>
    <t>776</t>
  </si>
  <si>
    <t>GC2025080710067</t>
  </si>
  <si>
    <t>777</t>
  </si>
  <si>
    <t>GC2025081310241</t>
  </si>
  <si>
    <t>778</t>
  </si>
  <si>
    <t>GG2025051610116</t>
  </si>
  <si>
    <t>779</t>
  </si>
  <si>
    <t>GC2025052210097</t>
  </si>
  <si>
    <t>780</t>
  </si>
  <si>
    <t>GG2025112010072</t>
  </si>
  <si>
    <t>781</t>
  </si>
  <si>
    <t>ZS2025102210062</t>
  </si>
  <si>
    <t>782</t>
  </si>
  <si>
    <t>GG2025091210274</t>
  </si>
  <si>
    <t>783</t>
  </si>
  <si>
    <t>PT2025070510035</t>
  </si>
  <si>
    <t>784</t>
  </si>
  <si>
    <t>GG2025101010179</t>
  </si>
  <si>
    <t>785</t>
  </si>
  <si>
    <t>GG2025101010184</t>
  </si>
  <si>
    <t>786</t>
  </si>
  <si>
    <t>GC2025102110083</t>
  </si>
  <si>
    <t>787</t>
  </si>
  <si>
    <t>GG2025080510156</t>
  </si>
  <si>
    <t>788</t>
  </si>
  <si>
    <t>GC2025020610124</t>
  </si>
  <si>
    <t>789</t>
  </si>
  <si>
    <t>GC2025021110177</t>
  </si>
  <si>
    <t>790</t>
  </si>
  <si>
    <t>GC2025022110139</t>
  </si>
  <si>
    <t>791</t>
  </si>
  <si>
    <t>GC2025031810091</t>
  </si>
  <si>
    <t>792</t>
  </si>
  <si>
    <t>GC2025050610150</t>
  </si>
  <si>
    <t>793</t>
  </si>
  <si>
    <t>GC2025061910300</t>
  </si>
  <si>
    <t>794</t>
  </si>
  <si>
    <t>GG2024111910143</t>
  </si>
  <si>
    <t>795</t>
  </si>
  <si>
    <t>GG2025012010168</t>
  </si>
  <si>
    <t>796</t>
  </si>
  <si>
    <t>GG2025030510206</t>
  </si>
  <si>
    <t>797</t>
  </si>
  <si>
    <t>GG2025081310211</t>
  </si>
  <si>
    <t>798</t>
  </si>
  <si>
    <t>GG2025092910328</t>
  </si>
  <si>
    <t>799</t>
  </si>
  <si>
    <t>GG2024120910146</t>
  </si>
  <si>
    <t>800</t>
  </si>
  <si>
    <t>ZS2025090210026</t>
  </si>
  <si>
    <t>801</t>
  </si>
  <si>
    <t>GC2024120210230</t>
  </si>
  <si>
    <t>802</t>
  </si>
  <si>
    <t>CX2025111910083</t>
  </si>
  <si>
    <t>803</t>
  </si>
  <si>
    <t>GG2025022510217</t>
  </si>
  <si>
    <t>804</t>
  </si>
  <si>
    <t>GG2025071110117</t>
  </si>
  <si>
    <t>805</t>
  </si>
  <si>
    <t>PT2025011510005</t>
  </si>
  <si>
    <t>806</t>
  </si>
  <si>
    <t>GC2025111310028</t>
  </si>
  <si>
    <t>807</t>
  </si>
  <si>
    <t>GG2025011310053</t>
  </si>
  <si>
    <t>808</t>
  </si>
  <si>
    <t>GC2025121610183</t>
  </si>
  <si>
    <t>809</t>
  </si>
  <si>
    <t>GC2025121910096</t>
  </si>
  <si>
    <t>810</t>
  </si>
  <si>
    <t>GG2025081410126</t>
  </si>
  <si>
    <t>811</t>
  </si>
  <si>
    <t>GG2025102810229</t>
  </si>
  <si>
    <t>812</t>
  </si>
  <si>
    <t>GC2024100810060</t>
  </si>
  <si>
    <t>813</t>
  </si>
  <si>
    <t>GC2025080910018</t>
  </si>
  <si>
    <t>814</t>
  </si>
  <si>
    <t>PT2024011210034</t>
  </si>
  <si>
    <t>815</t>
  </si>
  <si>
    <t>PT2025011710195</t>
  </si>
  <si>
    <t>816</t>
  </si>
  <si>
    <t>GG2025120410101</t>
  </si>
  <si>
    <t>817</t>
  </si>
  <si>
    <t>PT2025010810054</t>
  </si>
  <si>
    <t>818</t>
  </si>
  <si>
    <t>CX2024091210081</t>
  </si>
  <si>
    <t>819</t>
  </si>
  <si>
    <t>GG2024070210058</t>
  </si>
  <si>
    <t>820</t>
  </si>
  <si>
    <t>GG2025032410006</t>
  </si>
  <si>
    <t>821</t>
  </si>
  <si>
    <t>GG2025032510273</t>
  </si>
  <si>
    <t>822</t>
  </si>
  <si>
    <t>GG2025052610180</t>
  </si>
  <si>
    <t>823</t>
  </si>
  <si>
    <t>GG2025072910151</t>
  </si>
  <si>
    <t>824</t>
  </si>
  <si>
    <t>GG2025091910263</t>
  </si>
  <si>
    <t>825</t>
  </si>
  <si>
    <t>GG2025092410195</t>
  </si>
  <si>
    <t>826</t>
  </si>
  <si>
    <t>GG2024030510144</t>
  </si>
  <si>
    <t>827</t>
  </si>
  <si>
    <t>PT2025110310187</t>
  </si>
  <si>
    <t>828</t>
  </si>
  <si>
    <t>GG2024021710006</t>
  </si>
  <si>
    <t>829</t>
  </si>
  <si>
    <t>GG2024111110237</t>
  </si>
  <si>
    <t>830</t>
  </si>
  <si>
    <t>202010230092</t>
  </si>
  <si>
    <t>831</t>
  </si>
  <si>
    <t>PT2024072410166</t>
  </si>
  <si>
    <t>832</t>
  </si>
  <si>
    <t>GG2024101510050</t>
  </si>
  <si>
    <t>833</t>
  </si>
  <si>
    <t>GG2025042510086</t>
  </si>
  <si>
    <t>834</t>
  </si>
  <si>
    <t>PT2025072510118</t>
  </si>
  <si>
    <t>835</t>
  </si>
  <si>
    <t>GC2025050610163</t>
  </si>
  <si>
    <t>836</t>
  </si>
  <si>
    <t>GC2025071610204</t>
  </si>
  <si>
    <t>837</t>
  </si>
  <si>
    <t>ZS2025032410202</t>
  </si>
  <si>
    <t>838</t>
  </si>
  <si>
    <t>GC2025082810072</t>
  </si>
  <si>
    <t>839</t>
  </si>
  <si>
    <t>GC2025110710121</t>
  </si>
  <si>
    <t>840</t>
  </si>
  <si>
    <t>GG2024123110145</t>
  </si>
  <si>
    <t>841</t>
  </si>
  <si>
    <t>GG2025101610007</t>
  </si>
  <si>
    <t>842</t>
  </si>
  <si>
    <t>GG2025121510118</t>
  </si>
  <si>
    <t>843</t>
  </si>
  <si>
    <t>PT2025082810199</t>
  </si>
  <si>
    <t>844</t>
  </si>
  <si>
    <t>GC2022112110067</t>
  </si>
  <si>
    <t>845</t>
  </si>
  <si>
    <t>GC2024062710181</t>
  </si>
  <si>
    <t>846</t>
  </si>
  <si>
    <t>GG2025120310043</t>
  </si>
  <si>
    <t>847</t>
  </si>
  <si>
    <t>ZS2023111610089</t>
  </si>
  <si>
    <t>848</t>
  </si>
  <si>
    <t>GC2024070810132</t>
  </si>
  <si>
    <t>849</t>
  </si>
  <si>
    <t>ZS2024022610015</t>
  </si>
  <si>
    <t>850</t>
  </si>
  <si>
    <t>ZS2025121610195</t>
  </si>
  <si>
    <t>851</t>
  </si>
  <si>
    <t>GG2025042110305</t>
  </si>
  <si>
    <t>852</t>
  </si>
  <si>
    <t>GG2025051610079</t>
  </si>
  <si>
    <t>853</t>
  </si>
  <si>
    <t>GG2024031310209</t>
  </si>
  <si>
    <t>854</t>
  </si>
  <si>
    <t>GC2024112710191</t>
  </si>
  <si>
    <t>855</t>
  </si>
  <si>
    <t>GG2025112610003</t>
  </si>
  <si>
    <t>856</t>
  </si>
  <si>
    <t>GG2024010210055</t>
  </si>
  <si>
    <t>857</t>
  </si>
  <si>
    <t>GC2025080610196</t>
  </si>
  <si>
    <t>858</t>
  </si>
  <si>
    <t>GG2025042510104</t>
  </si>
  <si>
    <t>859</t>
  </si>
  <si>
    <t>GC2025122610256</t>
  </si>
  <si>
    <t>860</t>
  </si>
  <si>
    <t>ZS2025121110050</t>
  </si>
  <si>
    <t>861</t>
  </si>
  <si>
    <t>GG2024112110016</t>
  </si>
  <si>
    <t>862</t>
  </si>
  <si>
    <t>ZS2025122410124</t>
  </si>
  <si>
    <t>863</t>
  </si>
  <si>
    <t>GC2025121710060</t>
  </si>
  <si>
    <t>864</t>
  </si>
  <si>
    <t>CX2024121210049</t>
  </si>
  <si>
    <t>865</t>
  </si>
  <si>
    <t>CX2024120410217</t>
  </si>
  <si>
    <t>866</t>
  </si>
  <si>
    <t>CX2022061710046</t>
  </si>
  <si>
    <t>867</t>
  </si>
  <si>
    <t>CX2024011710041</t>
  </si>
  <si>
    <t>868</t>
  </si>
  <si>
    <t>CX2025010310047</t>
  </si>
  <si>
    <t>869</t>
  </si>
  <si>
    <t>CX2024070410164</t>
  </si>
  <si>
    <t>870</t>
  </si>
  <si>
    <t>CX2023120110051</t>
  </si>
  <si>
    <t>871</t>
  </si>
  <si>
    <t>CX2025010910009</t>
  </si>
  <si>
    <t>872</t>
  </si>
  <si>
    <t>CX2025040710136</t>
  </si>
  <si>
    <t>873</t>
  </si>
  <si>
    <t>CX2024032810042</t>
  </si>
  <si>
    <t>874</t>
  </si>
  <si>
    <t>CX2025102310164</t>
  </si>
  <si>
    <t>房山天街2024年收入达成(万元）</t>
    <phoneticPr fontId="244" type="noConversion"/>
  </si>
  <si>
    <t>201711073187</t>
  </si>
  <si>
    <t>2020041413055</t>
  </si>
  <si>
    <t>ZS2023082210222</t>
  </si>
  <si>
    <t>ZS2023081510249</t>
  </si>
  <si>
    <t>202303140058</t>
  </si>
  <si>
    <t>202307270005</t>
  </si>
  <si>
    <t>202111180087</t>
  </si>
  <si>
    <t>ZS2023090610197</t>
  </si>
  <si>
    <t>ZS2023082510131</t>
  </si>
  <si>
    <t>201908099727</t>
  </si>
  <si>
    <t>202109290135</t>
  </si>
  <si>
    <t>ZS2023082310099</t>
  </si>
  <si>
    <t>ZS2023091510144</t>
  </si>
  <si>
    <t>201711243413</t>
  </si>
  <si>
    <t>202207250063</t>
  </si>
  <si>
    <t>ZS2023090510098</t>
  </si>
  <si>
    <t>ZS2024032110060</t>
  </si>
  <si>
    <t>202205300073</t>
  </si>
  <si>
    <t>202111110104</t>
  </si>
  <si>
    <t>ZS2023083010233</t>
  </si>
  <si>
    <t>ZS2023111610096</t>
  </si>
  <si>
    <t>ZS2023052410100</t>
  </si>
  <si>
    <t>202306270005</t>
  </si>
  <si>
    <t>ZS2023081710137</t>
  </si>
  <si>
    <t>202307180019</t>
  </si>
  <si>
    <t>ZS2023111010078</t>
  </si>
  <si>
    <t>ZS2023070910012</t>
  </si>
  <si>
    <t>ZS2023070410144</t>
  </si>
  <si>
    <t>ZS2023120610011</t>
  </si>
  <si>
    <t>ZS2023101210125</t>
  </si>
  <si>
    <t>202307040015</t>
  </si>
  <si>
    <t>202008250163</t>
  </si>
  <si>
    <t>202107270176</t>
  </si>
  <si>
    <t>ZS2023101910187</t>
  </si>
  <si>
    <t>ZS2023090810036</t>
  </si>
  <si>
    <t>202205200032</t>
  </si>
  <si>
    <t>202106210032</t>
  </si>
  <si>
    <t>CX2023022710163</t>
  </si>
  <si>
    <t>ZS2023090410160</t>
  </si>
  <si>
    <t>202307180007</t>
  </si>
  <si>
    <t>202209150017</t>
  </si>
  <si>
    <t>202206290045</t>
  </si>
  <si>
    <t>202307040006</t>
  </si>
  <si>
    <t>ZS2024090610046</t>
  </si>
  <si>
    <t>202106220022</t>
  </si>
  <si>
    <t>ZS2023090510067</t>
  </si>
  <si>
    <t>202307040004</t>
  </si>
  <si>
    <t>202307170006</t>
  </si>
  <si>
    <t>202302220018</t>
  </si>
  <si>
    <t>ZS2024061410167</t>
  </si>
  <si>
    <t>202203220061</t>
  </si>
  <si>
    <t>ZS2023080110152</t>
  </si>
  <si>
    <t>201803214441</t>
  </si>
  <si>
    <t>202308070028</t>
  </si>
  <si>
    <t>202202140022</t>
  </si>
  <si>
    <t>202211220008</t>
  </si>
  <si>
    <t>202307130012</t>
  </si>
  <si>
    <t>202210140017</t>
  </si>
  <si>
    <t>202209060036</t>
  </si>
  <si>
    <t>ZS2023080710067</t>
  </si>
  <si>
    <t>202208230027</t>
  </si>
  <si>
    <t>202205120057</t>
  </si>
  <si>
    <t>202307040005</t>
  </si>
  <si>
    <t>ZS2023112010288</t>
  </si>
  <si>
    <t>202211040037</t>
  </si>
  <si>
    <t>202208100064</t>
  </si>
  <si>
    <t>ZS2023061410167</t>
  </si>
  <si>
    <t>202105170154</t>
  </si>
  <si>
    <t>202305160002</t>
  </si>
  <si>
    <t>202306290007</t>
  </si>
  <si>
    <t>202307170007</t>
  </si>
  <si>
    <t>202207150085</t>
  </si>
  <si>
    <t>ZS2023082510393</t>
  </si>
  <si>
    <t>202307170002</t>
  </si>
  <si>
    <t>202305170011</t>
  </si>
  <si>
    <t>202209290035</t>
  </si>
  <si>
    <t>202207130053</t>
  </si>
  <si>
    <t>202211110019</t>
  </si>
  <si>
    <t>ZS2023091410204</t>
  </si>
  <si>
    <t>ZS2023090710049</t>
  </si>
  <si>
    <t>202208160016</t>
  </si>
  <si>
    <t>202308070021</t>
  </si>
  <si>
    <t>202306270006</t>
  </si>
  <si>
    <t>202205160043</t>
  </si>
  <si>
    <t>ZS2023070310102</t>
  </si>
  <si>
    <t>GC2023112710012</t>
  </si>
  <si>
    <t>ZS2024020210093</t>
  </si>
  <si>
    <t>ZS2023062910093</t>
  </si>
  <si>
    <t>202307200013</t>
  </si>
  <si>
    <t>202308040010</t>
  </si>
  <si>
    <t>202008060105</t>
  </si>
  <si>
    <t>202303290074</t>
  </si>
  <si>
    <t>202307040010</t>
  </si>
  <si>
    <t>ZS2023083110055</t>
  </si>
  <si>
    <t>202208300075</t>
  </si>
  <si>
    <t>202304180013</t>
  </si>
  <si>
    <t>202306080004</t>
  </si>
  <si>
    <t>202308070025</t>
  </si>
  <si>
    <t>202208030018</t>
  </si>
  <si>
    <t>ZS2023092710017</t>
  </si>
  <si>
    <t>ZS2024041910076</t>
  </si>
  <si>
    <t>ZS2023091810074</t>
  </si>
  <si>
    <t>202108100120</t>
  </si>
  <si>
    <t>202202160002</t>
  </si>
  <si>
    <t>ZS2023090810043</t>
  </si>
  <si>
    <t>202208010023</t>
  </si>
  <si>
    <t>202303230063</t>
  </si>
  <si>
    <t>202208150042</t>
  </si>
  <si>
    <t>ZS2023110610020</t>
  </si>
  <si>
    <t>ZS2023092110180</t>
  </si>
  <si>
    <t>ZS2024041710147</t>
  </si>
  <si>
    <t>202304030009</t>
  </si>
  <si>
    <t>202112200037</t>
  </si>
  <si>
    <t>ZS2023101610142</t>
  </si>
  <si>
    <t>ZS2024072610044</t>
  </si>
  <si>
    <t>ZS2023120510095</t>
  </si>
  <si>
    <t>ZS2024030610143</t>
  </si>
  <si>
    <t>202303200105</t>
  </si>
  <si>
    <t>202305170013</t>
  </si>
  <si>
    <t>ZS2024031210139</t>
  </si>
  <si>
    <t>ZS2023100810019</t>
  </si>
  <si>
    <t>ZS2023082510094</t>
  </si>
  <si>
    <t>ZS2023110910022</t>
  </si>
  <si>
    <t>GG2023110910117</t>
  </si>
  <si>
    <t>ZS2023092510041</t>
  </si>
  <si>
    <t>ZS2023082310331</t>
  </si>
  <si>
    <t>GC2024041210053</t>
  </si>
  <si>
    <t>ZS2023092010157</t>
  </si>
  <si>
    <t>202106210038</t>
  </si>
  <si>
    <t>ZS2023121210168</t>
  </si>
  <si>
    <t>202111120014</t>
  </si>
  <si>
    <t>202302190009</t>
  </si>
  <si>
    <t>GC2024031410109</t>
  </si>
  <si>
    <t>ZS2023110310036</t>
  </si>
  <si>
    <t>GC2023031610140</t>
  </si>
  <si>
    <t>GC2023120810100</t>
  </si>
  <si>
    <t>GC2024102210210</t>
  </si>
  <si>
    <t>ZS2023060710064</t>
  </si>
  <si>
    <t>ZS2023072010154</t>
  </si>
  <si>
    <t>GC2024072910062</t>
  </si>
  <si>
    <t>ZS2024082610245</t>
  </si>
  <si>
    <t>202305080006</t>
  </si>
  <si>
    <t>ZS2023091310110</t>
  </si>
  <si>
    <t>ZS2023112810244</t>
  </si>
  <si>
    <t>GC2023122610139</t>
  </si>
  <si>
    <t>GC2024110610114</t>
  </si>
  <si>
    <t>GC2024112210005</t>
  </si>
  <si>
    <t>202104010086</t>
  </si>
  <si>
    <t>GC2023061410106</t>
  </si>
  <si>
    <t>202303160025</t>
  </si>
  <si>
    <t>ZS2024090910162</t>
  </si>
  <si>
    <t>ZS2024081910204</t>
  </si>
  <si>
    <t>ZS2024032210049</t>
  </si>
  <si>
    <t>202211170035</t>
  </si>
  <si>
    <t>GG2023110710114</t>
  </si>
  <si>
    <t>202106210040</t>
  </si>
  <si>
    <t>GC2024101710023</t>
  </si>
  <si>
    <t>ZS2024062510266</t>
  </si>
  <si>
    <t>ZS2023110710210</t>
  </si>
  <si>
    <t>GC2024072210147</t>
  </si>
  <si>
    <t>GG2023110110095</t>
  </si>
  <si>
    <t>202306300009</t>
  </si>
  <si>
    <t>202308070022</t>
  </si>
  <si>
    <t>ZS2023052310096</t>
  </si>
  <si>
    <t>202203310031</t>
  </si>
  <si>
    <t>202303290055</t>
  </si>
  <si>
    <t>GG2024010710004</t>
  </si>
  <si>
    <t>ZS2023051910070</t>
  </si>
  <si>
    <t>ZS2024082710228</t>
  </si>
  <si>
    <t>202304040047</t>
  </si>
  <si>
    <t>ZS2023052410050</t>
  </si>
  <si>
    <t>ZS2024080910079</t>
  </si>
  <si>
    <t>202302070029</t>
  </si>
  <si>
    <t>ZS2023071710054</t>
  </si>
  <si>
    <t>202304130046</t>
  </si>
  <si>
    <t>GC2024021310009</t>
  </si>
  <si>
    <t>GC2023082510506</t>
  </si>
  <si>
    <t>202303020038</t>
  </si>
  <si>
    <t>GC2024061410171</t>
  </si>
  <si>
    <t>GC2024062710154</t>
  </si>
  <si>
    <t>ZS2023112910071</t>
  </si>
  <si>
    <t>202308090010</t>
  </si>
  <si>
    <t>GG2023110810108</t>
  </si>
  <si>
    <t>ZS2024032510143</t>
  </si>
  <si>
    <t>ZS2023081710156</t>
  </si>
  <si>
    <t>ZS2023120710025</t>
  </si>
  <si>
    <t>202304190034</t>
  </si>
  <si>
    <t>ZS2024102910160</t>
  </si>
  <si>
    <t>GC2024070110037</t>
  </si>
  <si>
    <t>GC2024080110077</t>
  </si>
  <si>
    <t>ZS2024081410123</t>
  </si>
  <si>
    <t>GC2024031410120</t>
  </si>
  <si>
    <t>GG2023121310003</t>
  </si>
  <si>
    <t>ZS2023082910159</t>
  </si>
  <si>
    <t>202304070008</t>
  </si>
  <si>
    <t>ZS2023081410152</t>
  </si>
  <si>
    <t>GC2024030710203</t>
  </si>
  <si>
    <t>GC2024060210002</t>
  </si>
  <si>
    <t>GC2024071610158</t>
  </si>
  <si>
    <t>GC2024071610177</t>
  </si>
  <si>
    <t>GC2024081610096</t>
  </si>
  <si>
    <t>202303290052</t>
  </si>
  <si>
    <t>202304100052</t>
  </si>
  <si>
    <t>202302100031</t>
  </si>
  <si>
    <t>202303300082</t>
  </si>
  <si>
    <t>GC2024040810071</t>
  </si>
  <si>
    <t>ZS2024071110204</t>
  </si>
  <si>
    <t>ZS2023051110047</t>
  </si>
  <si>
    <t>PT2023120710092</t>
  </si>
  <si>
    <t>GC2024021310006</t>
  </si>
  <si>
    <t>GC2024112010157</t>
  </si>
  <si>
    <t>GC2023120410148</t>
  </si>
  <si>
    <t>GC2023122510019</t>
  </si>
  <si>
    <t>ZS2023051210020</t>
  </si>
  <si>
    <t>GC2024040110084</t>
  </si>
  <si>
    <t>202303020046</t>
  </si>
  <si>
    <t>202302070043</t>
  </si>
  <si>
    <t>CX2023122610272</t>
  </si>
  <si>
    <t>GC2023112310081</t>
  </si>
  <si>
    <t>PT2023091410044</t>
  </si>
  <si>
    <t>GC2024032910179</t>
  </si>
  <si>
    <t>ZS2024010410107</t>
  </si>
  <si>
    <t>GC2023060910018</t>
  </si>
  <si>
    <t>GC2024051610046</t>
  </si>
  <si>
    <t>GC2024060310010</t>
  </si>
  <si>
    <t>GC2023021310059</t>
  </si>
  <si>
    <t>202302020019</t>
  </si>
  <si>
    <t>GC2024030610182</t>
  </si>
  <si>
    <t>GC2023122810222</t>
  </si>
  <si>
    <t>GC2024033010028</t>
  </si>
  <si>
    <t>GC2024041210106</t>
  </si>
  <si>
    <t>GG2024011610166</t>
  </si>
  <si>
    <t>GG2024061310075</t>
  </si>
  <si>
    <t>ZS2024052910157</t>
  </si>
  <si>
    <t>202303210081</t>
  </si>
  <si>
    <t>GC2024022810020</t>
  </si>
  <si>
    <t>GC2024031210216</t>
  </si>
  <si>
    <t>GG2024032610310</t>
  </si>
  <si>
    <t>202303270118</t>
  </si>
  <si>
    <t>ZS2023092510124</t>
  </si>
  <si>
    <t>GG2024051310032</t>
  </si>
  <si>
    <t>GG2023121210023</t>
  </si>
  <si>
    <t>202203290062</t>
  </si>
  <si>
    <t>GC2023062110062</t>
  </si>
  <si>
    <t>GC2024060510105</t>
  </si>
  <si>
    <t>GC2024032810141</t>
  </si>
  <si>
    <t>PT2023121510146</t>
  </si>
  <si>
    <t>GC2024012510037</t>
  </si>
  <si>
    <t>GC2024061310244</t>
  </si>
  <si>
    <t>GC2024071010056</t>
  </si>
  <si>
    <t>GC2024071510213</t>
  </si>
  <si>
    <t>GC2024080810080</t>
  </si>
  <si>
    <t>GC2024091810198</t>
  </si>
  <si>
    <t>ZS2024022310076</t>
  </si>
  <si>
    <t>GC2024042510018</t>
  </si>
  <si>
    <t>GG2023121210021</t>
  </si>
  <si>
    <t>GG2023110310033</t>
  </si>
  <si>
    <t>202211180023</t>
  </si>
  <si>
    <t>202303150031</t>
  </si>
  <si>
    <t>GC2024090410096</t>
  </si>
  <si>
    <t>GC2024010910081</t>
  </si>
  <si>
    <t>GC2024012510176</t>
  </si>
  <si>
    <t>GC2024061310082</t>
  </si>
  <si>
    <t>GC2024061310236</t>
  </si>
  <si>
    <t>GC2024070210099</t>
  </si>
  <si>
    <t>GC2024091210119</t>
  </si>
  <si>
    <t>GC2023102310136</t>
  </si>
  <si>
    <t>GC2024050810096</t>
  </si>
  <si>
    <t>GC2024082210143</t>
  </si>
  <si>
    <t>GG2023090710230</t>
  </si>
  <si>
    <t>GC2024061410152</t>
  </si>
  <si>
    <t>GG2023111410088</t>
  </si>
  <si>
    <t>PT2023112310080</t>
  </si>
  <si>
    <t>GC2024071510023</t>
  </si>
  <si>
    <t>GG2024091210201</t>
  </si>
  <si>
    <t>GC2023121110227</t>
  </si>
  <si>
    <t>GC2024012510120</t>
  </si>
  <si>
    <t>GC2024030610192</t>
  </si>
  <si>
    <t>GC2024031110047</t>
  </si>
  <si>
    <t>GC2024060210010</t>
  </si>
  <si>
    <t>GC2024082510022</t>
  </si>
  <si>
    <t>GC2024091610007</t>
  </si>
  <si>
    <t>GG2024030510135</t>
  </si>
  <si>
    <t>GG2024061410182</t>
  </si>
  <si>
    <t>GG2024070410200</t>
  </si>
  <si>
    <t>GG2024071610209</t>
  </si>
  <si>
    <t>GG2024081610085</t>
  </si>
  <si>
    <t>GG2024032710130</t>
  </si>
  <si>
    <t>GC2024031310047</t>
  </si>
  <si>
    <t>GG2023061610167</t>
  </si>
  <si>
    <t>GC2024011510083</t>
  </si>
  <si>
    <t>GC2024022210104</t>
  </si>
  <si>
    <t>202305150007</t>
  </si>
  <si>
    <t>GC2024101610044</t>
  </si>
  <si>
    <t>GC2024031110066</t>
  </si>
  <si>
    <t>GC2024071010201</t>
  </si>
  <si>
    <t>GC2024062010022</t>
  </si>
  <si>
    <t>GC2024091810133</t>
  </si>
  <si>
    <t>ZS2023111010014</t>
  </si>
  <si>
    <t>ZS2024051010031</t>
  </si>
  <si>
    <t>GC2024031310019</t>
  </si>
  <si>
    <t>GC2024102110084</t>
  </si>
  <si>
    <t>GC2024010810148</t>
  </si>
  <si>
    <t>GC2024022810012</t>
  </si>
  <si>
    <t>GC2024041910008</t>
  </si>
  <si>
    <t>GC2023120510006</t>
  </si>
  <si>
    <t>GC2024032610292</t>
  </si>
  <si>
    <t>GC2024061910226</t>
  </si>
  <si>
    <t>GC2023122710115</t>
  </si>
  <si>
    <t>GC2024090310060</t>
  </si>
  <si>
    <t>GC2024101010149</t>
  </si>
  <si>
    <t>GC2024103010191</t>
  </si>
  <si>
    <t>GC2024110110088</t>
  </si>
  <si>
    <t>GC2024110610159</t>
  </si>
  <si>
    <t>GG2024110810163</t>
  </si>
  <si>
    <t>GC2023122110015</t>
  </si>
  <si>
    <t>GC2024010410040</t>
  </si>
  <si>
    <t>GC2024082710177</t>
  </si>
  <si>
    <t>GG2024031110140</t>
  </si>
  <si>
    <t>GG2024062810156</t>
  </si>
  <si>
    <t>PT2023051810126</t>
  </si>
  <si>
    <t>GC2024012710019</t>
  </si>
  <si>
    <t>GC2024031210084</t>
  </si>
  <si>
    <t>GC2024080210127</t>
  </si>
  <si>
    <t>GC2024112610058</t>
  </si>
  <si>
    <t>GC2024032610092</t>
  </si>
  <si>
    <t>GG2024082110137</t>
  </si>
  <si>
    <t>ZS2024092610252</t>
  </si>
  <si>
    <t>GC2024011610074</t>
  </si>
  <si>
    <t>GC2024022110009</t>
  </si>
  <si>
    <t>GC2024031210206</t>
  </si>
  <si>
    <t>GC2024041610061</t>
  </si>
  <si>
    <t>GC2024080810082</t>
  </si>
  <si>
    <t>GC2024091410246</t>
  </si>
  <si>
    <t>GC2024092810024</t>
  </si>
  <si>
    <t>GC2024102410128</t>
  </si>
  <si>
    <t>GC2024102410132</t>
  </si>
  <si>
    <t>PT2023101110130</t>
  </si>
  <si>
    <t>GC2023051910112</t>
  </si>
  <si>
    <t>GC2024062310005</t>
  </si>
  <si>
    <t>GC2024071510254</t>
  </si>
  <si>
    <t>GG2024050910140</t>
  </si>
  <si>
    <t>GC2023091410054</t>
  </si>
  <si>
    <t>GC2023121810173</t>
  </si>
  <si>
    <t>PT2023040410018</t>
  </si>
  <si>
    <t>GG2023090310025</t>
  </si>
  <si>
    <t>GC2024011210090</t>
  </si>
  <si>
    <t>GC2024011610078</t>
  </si>
  <si>
    <t>GC2024012510019</t>
  </si>
  <si>
    <t>GC2024020110141</t>
  </si>
  <si>
    <t>GC2024041710044</t>
  </si>
  <si>
    <t>GC2024051510073</t>
  </si>
  <si>
    <t>GC2024060410205</t>
  </si>
  <si>
    <t>GC2024060510064</t>
  </si>
  <si>
    <t>GC2024060510109</t>
  </si>
  <si>
    <t>GC2024062610112</t>
  </si>
  <si>
    <t>GC2024080210115</t>
  </si>
  <si>
    <t>GC2024080210164</t>
  </si>
  <si>
    <t>GC2024082610087</t>
  </si>
  <si>
    <t>GC2024091110062</t>
  </si>
  <si>
    <t>GC2024101110067</t>
  </si>
  <si>
    <t>GG2024052910169</t>
  </si>
  <si>
    <t>GG2024082310119</t>
  </si>
  <si>
    <t>PT2023071110145</t>
  </si>
  <si>
    <t>GC2024032110134</t>
  </si>
  <si>
    <t>GC2024041610239</t>
  </si>
  <si>
    <t>GC2024051310185</t>
  </si>
  <si>
    <t>GC2024073010271</t>
  </si>
  <si>
    <t>GG2024010410027</t>
  </si>
  <si>
    <t>GG2024011710150</t>
  </si>
  <si>
    <t>GG2024042310184</t>
  </si>
  <si>
    <t>GC2022122210084</t>
  </si>
  <si>
    <t>GC2023032310077</t>
  </si>
  <si>
    <t>PT2023072010039</t>
  </si>
  <si>
    <t>GG2024022210085</t>
  </si>
  <si>
    <t>GG2024033010013</t>
  </si>
  <si>
    <t>GG2024062610160</t>
  </si>
  <si>
    <t>ZS2023121910021</t>
  </si>
  <si>
    <t>202301050032</t>
  </si>
  <si>
    <t>ZS2023110310042</t>
  </si>
  <si>
    <t>GC2023122110251</t>
  </si>
  <si>
    <t>GC2023122210031</t>
  </si>
  <si>
    <t>GC2023122610269</t>
  </si>
  <si>
    <t>PT2024010510079</t>
  </si>
  <si>
    <t>GC2024102310212</t>
  </si>
  <si>
    <t>GC2024112110194</t>
  </si>
  <si>
    <t>PT2023062410012</t>
  </si>
  <si>
    <t>GG2024091310146</t>
  </si>
  <si>
    <t>PT2024022110078</t>
  </si>
  <si>
    <t>GC2024041810188</t>
  </si>
  <si>
    <t>GC2024092310004</t>
  </si>
  <si>
    <t>GC2023121110054</t>
  </si>
  <si>
    <t>GC2024011910062</t>
  </si>
  <si>
    <t>GC2024052310178</t>
  </si>
  <si>
    <t>GC2024062610059</t>
  </si>
  <si>
    <t>GC2024071610165</t>
  </si>
  <si>
    <t>GC2024082610088</t>
  </si>
  <si>
    <t>GG2024020610044</t>
  </si>
  <si>
    <t>GG2024090610039</t>
  </si>
  <si>
    <t>GG2024082910256</t>
  </si>
  <si>
    <t>GG2023122910112</t>
  </si>
  <si>
    <t>GC2023120810098</t>
  </si>
  <si>
    <t>PT2023040610024</t>
  </si>
  <si>
    <t>GG2024042210257</t>
  </si>
  <si>
    <t>PT2023070410137</t>
  </si>
  <si>
    <t>GG2023091810183</t>
  </si>
  <si>
    <t>CX2023052310175</t>
  </si>
  <si>
    <t>GC2023082410398</t>
  </si>
  <si>
    <t>GC2024010910013</t>
  </si>
  <si>
    <t>GC2024011210089</t>
  </si>
  <si>
    <t>GG2024032210148</t>
  </si>
  <si>
    <t>GG2024080310022</t>
  </si>
  <si>
    <t>GC2023030310069</t>
  </si>
  <si>
    <t>PT2024092910160</t>
  </si>
  <si>
    <t>PT2022121510081</t>
  </si>
  <si>
    <t>PT2023091410048</t>
  </si>
  <si>
    <t>PT2023022810102</t>
  </si>
  <si>
    <t>GC2024040810236</t>
  </si>
  <si>
    <t>PT2023041010025</t>
  </si>
  <si>
    <t>GC2023110810106</t>
  </si>
  <si>
    <t>GC2024011810177</t>
  </si>
  <si>
    <t>GC2024041010080</t>
  </si>
  <si>
    <t>GC2024052310020</t>
  </si>
  <si>
    <t>GC2024062610140</t>
  </si>
  <si>
    <t>GG2023082910247</t>
  </si>
  <si>
    <t>GG2024052010146</t>
  </si>
  <si>
    <t>GG2024060510065</t>
  </si>
  <si>
    <t>GG2024071910193</t>
  </si>
  <si>
    <t>GG2023092510276</t>
  </si>
  <si>
    <t>GC2023022710135</t>
  </si>
  <si>
    <t>GG2024011810100</t>
  </si>
  <si>
    <t>GG2024022810078</t>
  </si>
  <si>
    <t>GG2024012210056</t>
  </si>
  <si>
    <t>GG2023030810097</t>
  </si>
  <si>
    <t>GG2023082310125</t>
  </si>
  <si>
    <t>GG2024112110189</t>
  </si>
  <si>
    <t>GC2024010710001</t>
  </si>
  <si>
    <t>GG2024050810132</t>
  </si>
  <si>
    <t>GC2023100910170</t>
  </si>
  <si>
    <t>GC2024080110104</t>
  </si>
  <si>
    <t>GG2023041910034</t>
  </si>
  <si>
    <t>GG2023081610213</t>
  </si>
  <si>
    <t>GG2023112910214</t>
  </si>
  <si>
    <t>GG2023122610260</t>
  </si>
  <si>
    <t>GG2024020610014</t>
  </si>
  <si>
    <t>GG2024031410117</t>
  </si>
  <si>
    <t>GG2024032810048</t>
  </si>
  <si>
    <t>GG2024041010068</t>
  </si>
  <si>
    <t>GG2024101910012</t>
  </si>
  <si>
    <t>GG2024022210095</t>
  </si>
  <si>
    <t>GG2024050810042</t>
  </si>
  <si>
    <t>GG2023121710016</t>
  </si>
  <si>
    <t>GG2024042310246</t>
  </si>
  <si>
    <t>PT2024010510166</t>
  </si>
  <si>
    <t>PT2023030210035</t>
  </si>
  <si>
    <t>PT2023120610071</t>
  </si>
  <si>
    <t>GC2024050710050</t>
  </si>
  <si>
    <t>GG2024080910129</t>
  </si>
  <si>
    <t>GG2024091810201</t>
  </si>
  <si>
    <t>GG2024101210143</t>
  </si>
  <si>
    <t>GC2023083010238</t>
  </si>
  <si>
    <t>ZS2024091410258</t>
  </si>
  <si>
    <t>GC2023092010015</t>
  </si>
  <si>
    <t>CX2023091110083</t>
  </si>
  <si>
    <t>GG2023083010022</t>
  </si>
  <si>
    <t>GC2024012410158</t>
  </si>
  <si>
    <t>GG2024091810210</t>
  </si>
  <si>
    <t>PT2023010310027</t>
  </si>
  <si>
    <t>CX2023120910059</t>
  </si>
  <si>
    <t>PT2024102510106</t>
  </si>
  <si>
    <t>GG2024041710073</t>
  </si>
  <si>
    <t>GG2024111910068</t>
  </si>
  <si>
    <t>GC2024011610065</t>
  </si>
  <si>
    <t>GC2024021010001</t>
  </si>
  <si>
    <t>GC2024041010041</t>
  </si>
  <si>
    <t>GC2024102310186</t>
  </si>
  <si>
    <t>GG2024030510180</t>
  </si>
  <si>
    <t>GG2024052110069</t>
  </si>
  <si>
    <t>GG2024061310245</t>
  </si>
  <si>
    <t>GG2024070210014</t>
  </si>
  <si>
    <t>GG2024071510217</t>
  </si>
  <si>
    <t>GG2024110610106</t>
  </si>
  <si>
    <t>GC2023112810025</t>
  </si>
  <si>
    <t>GG2022022300037</t>
  </si>
  <si>
    <t>GC2023032410034</t>
  </si>
  <si>
    <t>GC2023031710016</t>
  </si>
  <si>
    <t>GG2023090610248</t>
  </si>
  <si>
    <t>GG2023081610100</t>
  </si>
  <si>
    <t>GG2023122110252</t>
  </si>
  <si>
    <t>GG2023122210035</t>
  </si>
  <si>
    <t>GG2023122610145</t>
  </si>
  <si>
    <t>GG2024021310004</t>
  </si>
  <si>
    <t>GG2024070410167</t>
  </si>
  <si>
    <t>GG2024080210144</t>
  </si>
  <si>
    <t>GG2024080210148</t>
  </si>
  <si>
    <t>GG2024091110067</t>
  </si>
  <si>
    <t>GG2024101110069</t>
  </si>
  <si>
    <t>PT2024091010059</t>
  </si>
  <si>
    <t>202011300130</t>
  </si>
  <si>
    <t>创新合同广告创新收入</t>
  </si>
  <si>
    <t>CX2024052410043</t>
  </si>
  <si>
    <t>GC2023021310151</t>
  </si>
  <si>
    <t>GC2023112010121</t>
  </si>
  <si>
    <t>GG2023061310260</t>
  </si>
  <si>
    <t>GG2024022810032</t>
  </si>
  <si>
    <t>GG2024050710153</t>
  </si>
  <si>
    <t>GG2024051410035</t>
  </si>
  <si>
    <t>PT2024110610099</t>
  </si>
  <si>
    <t>GG2024012510041</t>
  </si>
  <si>
    <t>CX2023122610150</t>
  </si>
  <si>
    <t>GC2024011810173</t>
  </si>
  <si>
    <t>GC2024112910172</t>
  </si>
  <si>
    <t>GG2024011210037</t>
  </si>
  <si>
    <t>GG2024020510092</t>
  </si>
  <si>
    <t>GG2024050910137</t>
  </si>
  <si>
    <t>GG2024052810019</t>
  </si>
  <si>
    <t>GG2024102810228</t>
  </si>
  <si>
    <t>PT2024013110036</t>
  </si>
  <si>
    <t>GG2023122910050</t>
  </si>
  <si>
    <t>PT2024101610164</t>
  </si>
  <si>
    <t>GC2023100810112</t>
  </si>
  <si>
    <t>PT2023102710040</t>
  </si>
  <si>
    <t>PT2024031210098</t>
  </si>
  <si>
    <t>PT2024042410075</t>
  </si>
  <si>
    <t>GG2024041710020</t>
  </si>
  <si>
    <t>GG2023122610276</t>
  </si>
  <si>
    <t>GG2023102610247</t>
  </si>
  <si>
    <t>GG2024101110072</t>
  </si>
  <si>
    <t>PT2024031410122</t>
  </si>
  <si>
    <t>PT2024092410067</t>
  </si>
  <si>
    <t>PT2024101910019</t>
  </si>
  <si>
    <t>GG2024040810069</t>
  </si>
  <si>
    <t>GG2024013110122</t>
  </si>
  <si>
    <t>GC2023070310033</t>
  </si>
  <si>
    <t>PT2024011110116</t>
  </si>
  <si>
    <t>GG2023120810155</t>
  </si>
  <si>
    <t>GG2024041710049</t>
  </si>
  <si>
    <t>GG2024051610040</t>
  </si>
  <si>
    <t>GG2024091410250</t>
  </si>
  <si>
    <t>GG2024092810025</t>
  </si>
  <si>
    <t>GC2024032510086</t>
  </si>
  <si>
    <t>GG2024090610112</t>
  </si>
  <si>
    <t>875</t>
  </si>
  <si>
    <t>876</t>
  </si>
  <si>
    <t>GG2023013010019</t>
  </si>
  <si>
    <t>877</t>
  </si>
  <si>
    <t>PT2024082210160</t>
  </si>
  <si>
    <t>878</t>
  </si>
  <si>
    <t>879</t>
  </si>
  <si>
    <t>PT2024042410109</t>
  </si>
  <si>
    <t>880</t>
  </si>
  <si>
    <t>GC2024053010119</t>
  </si>
  <si>
    <t>881</t>
  </si>
  <si>
    <t>202106150112</t>
  </si>
  <si>
    <t>882</t>
  </si>
  <si>
    <t>883</t>
  </si>
  <si>
    <t>PT2023111510190</t>
  </si>
  <si>
    <t>884</t>
  </si>
  <si>
    <t>PT2023010910140</t>
  </si>
  <si>
    <t>885</t>
  </si>
  <si>
    <t>GG2024010110009</t>
  </si>
  <si>
    <t>886</t>
  </si>
  <si>
    <t>GG2023120110168</t>
  </si>
  <si>
    <t>887</t>
  </si>
  <si>
    <t>GG2023022210058</t>
  </si>
  <si>
    <t>888</t>
  </si>
  <si>
    <t>889</t>
  </si>
  <si>
    <t>GC2023112910022</t>
  </si>
  <si>
    <t>890</t>
  </si>
  <si>
    <t>GG2024051610103</t>
  </si>
  <si>
    <t>891</t>
  </si>
  <si>
    <t>GG2024102910216</t>
  </si>
  <si>
    <t>892</t>
  </si>
  <si>
    <t>893</t>
  </si>
  <si>
    <t>894</t>
  </si>
  <si>
    <t>CX2023010310099</t>
  </si>
  <si>
    <t>895</t>
  </si>
  <si>
    <t>CX2023052610087</t>
  </si>
  <si>
    <t>896</t>
  </si>
  <si>
    <t>PT2024071510011</t>
  </si>
  <si>
    <t>897</t>
  </si>
  <si>
    <t>GG2024032810195</t>
  </si>
  <si>
    <t>898</t>
  </si>
  <si>
    <t>GG2024110410161</t>
  </si>
  <si>
    <t>899</t>
  </si>
  <si>
    <t>CX2023101910256</t>
  </si>
  <si>
    <t>900</t>
  </si>
  <si>
    <t>901</t>
  </si>
  <si>
    <t>GG2023102810005</t>
  </si>
  <si>
    <t>902</t>
  </si>
  <si>
    <t>903</t>
  </si>
  <si>
    <t>CX2023010510097</t>
  </si>
  <si>
    <t>904</t>
  </si>
  <si>
    <t>PT2024092810026</t>
  </si>
  <si>
    <t>905</t>
  </si>
  <si>
    <t>GC2023022510022</t>
  </si>
  <si>
    <t>906</t>
  </si>
  <si>
    <t>GG2023121110234</t>
  </si>
  <si>
    <t>907</t>
  </si>
  <si>
    <t>908</t>
  </si>
  <si>
    <t>CX2023051410020</t>
  </si>
  <si>
    <t>909</t>
  </si>
  <si>
    <t>910</t>
  </si>
  <si>
    <t>CX2024041610103</t>
  </si>
  <si>
    <t>911</t>
  </si>
  <si>
    <t>ZS2024101710133</t>
  </si>
  <si>
    <t>912</t>
  </si>
  <si>
    <t>GG2023122910125</t>
  </si>
  <si>
    <t>913</t>
  </si>
  <si>
    <t>914</t>
  </si>
  <si>
    <t>CX2023053110077</t>
  </si>
  <si>
    <t>915</t>
  </si>
  <si>
    <t>CX2023091910144</t>
  </si>
  <si>
    <t>916</t>
  </si>
  <si>
    <t>CX2024010610012</t>
  </si>
  <si>
    <t>917</t>
  </si>
  <si>
    <t>CX2022123010109</t>
  </si>
  <si>
    <t>918</t>
  </si>
  <si>
    <t>CX2024012410185</t>
  </si>
  <si>
    <t>919</t>
  </si>
  <si>
    <t>GG2024020110012</t>
  </si>
  <si>
    <t>920</t>
  </si>
  <si>
    <t>GG2024061210117</t>
  </si>
  <si>
    <t>921</t>
  </si>
  <si>
    <t>GG2024062010259</t>
  </si>
  <si>
    <t>922</t>
  </si>
  <si>
    <t>CX2023051910022</t>
  </si>
  <si>
    <t>923</t>
  </si>
  <si>
    <t>924</t>
  </si>
  <si>
    <t>CX2024011510007</t>
  </si>
  <si>
    <t>925</t>
  </si>
  <si>
    <t>CX2024012010023</t>
  </si>
  <si>
    <t>926</t>
  </si>
  <si>
    <t>CX2023061910221</t>
  </si>
  <si>
    <t>927</t>
  </si>
  <si>
    <t>928</t>
  </si>
  <si>
    <t>CX2024043010102</t>
  </si>
  <si>
    <t>929</t>
  </si>
  <si>
    <t>CX2024082710258</t>
  </si>
  <si>
    <t>930</t>
  </si>
  <si>
    <t>931</t>
  </si>
  <si>
    <t>932</t>
  </si>
  <si>
    <t>CX2023111410070</t>
  </si>
  <si>
    <t>933</t>
  </si>
  <si>
    <t>CX2023082210187</t>
  </si>
  <si>
    <t>934</t>
  </si>
  <si>
    <t>935</t>
  </si>
  <si>
    <t>CX2023032510013</t>
  </si>
  <si>
    <t>936</t>
  </si>
  <si>
    <t>CX2023080610021</t>
  </si>
  <si>
    <t>937</t>
  </si>
  <si>
    <t>CX2024010210124</t>
  </si>
  <si>
    <t>938</t>
  </si>
  <si>
    <t>CX2024012410179</t>
  </si>
  <si>
    <t>939</t>
  </si>
  <si>
    <t>CX2023090610024</t>
  </si>
  <si>
    <t>940</t>
  </si>
  <si>
    <t>CX2023112210222</t>
  </si>
  <si>
    <t>941</t>
  </si>
  <si>
    <t>CX2023081610057</t>
  </si>
  <si>
    <t>942</t>
  </si>
  <si>
    <t>CX2024010310038</t>
  </si>
  <si>
    <t>943</t>
  </si>
  <si>
    <t>CX2023050910153</t>
  </si>
  <si>
    <t>944</t>
  </si>
  <si>
    <t>CX2024070910113</t>
  </si>
  <si>
    <t>945</t>
  </si>
  <si>
    <t>CX2024082710260</t>
  </si>
  <si>
    <t>946</t>
  </si>
  <si>
    <t>947</t>
  </si>
  <si>
    <t>CX2024072510162</t>
  </si>
  <si>
    <t>948</t>
  </si>
  <si>
    <t>CX2023110210062</t>
  </si>
  <si>
    <t>949</t>
  </si>
  <si>
    <t>CX2023091710052</t>
  </si>
  <si>
    <t>950</t>
  </si>
  <si>
    <t>CX2022122610088</t>
  </si>
  <si>
    <t>951</t>
  </si>
  <si>
    <t>CX2024012510159</t>
  </si>
  <si>
    <t>952</t>
  </si>
  <si>
    <t>CX2024082710102</t>
  </si>
  <si>
    <t>953</t>
  </si>
  <si>
    <t>CX2023112210159</t>
  </si>
  <si>
    <t>954</t>
  </si>
  <si>
    <t>CX2023092310042</t>
  </si>
  <si>
    <t>955</t>
  </si>
  <si>
    <t>CX2024013010080</t>
  </si>
  <si>
    <t>956</t>
  </si>
  <si>
    <t>CX2023021310073</t>
  </si>
  <si>
    <t>957</t>
  </si>
  <si>
    <t>CX2024120410249</t>
  </si>
  <si>
    <t>958</t>
  </si>
  <si>
    <t>CX2023091410256</t>
  </si>
  <si>
    <t>959</t>
  </si>
  <si>
    <t>CX2023091110235</t>
  </si>
  <si>
    <t>960</t>
  </si>
  <si>
    <t>CX2022081810014</t>
  </si>
  <si>
    <t>961</t>
  </si>
  <si>
    <t>CX2023051710022</t>
  </si>
  <si>
    <t>962</t>
  </si>
  <si>
    <t>CX2023050910066</t>
  </si>
  <si>
    <t>963</t>
  </si>
  <si>
    <t>CX2024082710259</t>
  </si>
  <si>
    <t>964</t>
  </si>
  <si>
    <t>CX2023011610083</t>
  </si>
  <si>
    <t>965</t>
  </si>
  <si>
    <t>CX2023041910127</t>
  </si>
  <si>
    <t>966</t>
  </si>
  <si>
    <t>CX2022122610174</t>
  </si>
  <si>
    <t>967</t>
  </si>
  <si>
    <t>CX2023091810185</t>
  </si>
  <si>
    <t>968</t>
  </si>
  <si>
    <t>CX2023101910073</t>
  </si>
  <si>
    <t>969</t>
  </si>
  <si>
    <t>CX2023050510034</t>
  </si>
  <si>
    <t>970</t>
  </si>
  <si>
    <t>CX2023090410050</t>
  </si>
  <si>
    <t>971</t>
  </si>
  <si>
    <t>CX2024120410234</t>
  </si>
  <si>
    <t>972</t>
  </si>
  <si>
    <t>CX2024120410250</t>
  </si>
  <si>
    <t>973</t>
  </si>
  <si>
    <t>CX2024120410247</t>
  </si>
  <si>
    <t>974</t>
  </si>
  <si>
    <t>CX2023120910060</t>
  </si>
  <si>
    <t>975</t>
  </si>
  <si>
    <t>CX2024120610094</t>
  </si>
  <si>
    <t>202203220067</t>
  </si>
  <si>
    <t>202107010008</t>
  </si>
  <si>
    <t>202108180151</t>
  </si>
  <si>
    <t>201712253797</t>
  </si>
  <si>
    <t>201711163294</t>
  </si>
  <si>
    <t>202005290034</t>
  </si>
  <si>
    <t>201711103230</t>
  </si>
  <si>
    <t>201711233383</t>
  </si>
  <si>
    <t>201712273863</t>
  </si>
  <si>
    <t>202207260003</t>
  </si>
  <si>
    <t>2019091210341</t>
  </si>
  <si>
    <t>202206220052</t>
  </si>
  <si>
    <t>201712273864</t>
  </si>
  <si>
    <t>202008270133</t>
  </si>
  <si>
    <t>201804264809</t>
  </si>
  <si>
    <t>202209270045</t>
  </si>
  <si>
    <t>202207010043</t>
  </si>
  <si>
    <t>201906179044</t>
  </si>
  <si>
    <t>202208290053</t>
  </si>
  <si>
    <t>202106010074</t>
  </si>
  <si>
    <t>201712203747</t>
  </si>
  <si>
    <t>201712063598</t>
  </si>
  <si>
    <t>201807245564</t>
  </si>
  <si>
    <t>202107260027</t>
  </si>
  <si>
    <t>202206200049</t>
  </si>
  <si>
    <t>201712263838</t>
  </si>
  <si>
    <t>202208030064</t>
  </si>
  <si>
    <t>201712193735</t>
  </si>
  <si>
    <t>202206170081</t>
  </si>
  <si>
    <t>201803214440</t>
  </si>
  <si>
    <t>201907229468</t>
  </si>
  <si>
    <t>2019091710387</t>
  </si>
  <si>
    <t>201803214428</t>
  </si>
  <si>
    <t>202107150046</t>
  </si>
  <si>
    <t>202107080027</t>
  </si>
  <si>
    <t>202211160048</t>
  </si>
  <si>
    <t>202205070022</t>
  </si>
  <si>
    <t>202107270177</t>
  </si>
  <si>
    <t>202208110051</t>
  </si>
  <si>
    <t>201711083203</t>
  </si>
  <si>
    <t>202105120177</t>
  </si>
  <si>
    <t>202207290028</t>
  </si>
  <si>
    <t>202104200024</t>
  </si>
  <si>
    <t>202208150023</t>
  </si>
  <si>
    <t>201802074172</t>
  </si>
  <si>
    <t>202207060010</t>
  </si>
  <si>
    <t>202008200110</t>
  </si>
  <si>
    <t>202208080028</t>
  </si>
  <si>
    <t>202107010049</t>
  </si>
  <si>
    <t>202005210101</t>
  </si>
  <si>
    <t>201712273860</t>
  </si>
  <si>
    <t>202207290086</t>
  </si>
  <si>
    <t>202008100095</t>
  </si>
  <si>
    <t>202207060022</t>
  </si>
  <si>
    <t>202108240032</t>
  </si>
  <si>
    <t>202206230075</t>
  </si>
  <si>
    <t>202205050024</t>
  </si>
  <si>
    <t>202206170063</t>
  </si>
  <si>
    <t>202207120002</t>
  </si>
  <si>
    <t>202207060037</t>
  </si>
  <si>
    <t>202207060015</t>
  </si>
  <si>
    <t>202005140068</t>
  </si>
  <si>
    <t>202211080011</t>
  </si>
  <si>
    <t>202207070009</t>
  </si>
  <si>
    <t>202207060038</t>
  </si>
  <si>
    <t>202011230144</t>
  </si>
  <si>
    <t>202211160025</t>
  </si>
  <si>
    <t>202104060153</t>
  </si>
  <si>
    <t>201803294563</t>
  </si>
  <si>
    <t>202204020019</t>
  </si>
  <si>
    <t>202103030076</t>
  </si>
  <si>
    <t>202207180055</t>
  </si>
  <si>
    <t>202108190130</t>
  </si>
  <si>
    <t>202105120047</t>
  </si>
  <si>
    <t>202207080038</t>
  </si>
  <si>
    <t>202203300074</t>
  </si>
  <si>
    <t>202107280177</t>
  </si>
  <si>
    <t>202211110060</t>
  </si>
  <si>
    <t>202207060063</t>
  </si>
  <si>
    <t>202207210073</t>
  </si>
  <si>
    <t>202110140072</t>
  </si>
  <si>
    <t>202205110015</t>
  </si>
  <si>
    <t>202111110040</t>
  </si>
  <si>
    <t>202207070048</t>
  </si>
  <si>
    <t>202106090064</t>
  </si>
  <si>
    <t>202307180015</t>
  </si>
  <si>
    <t>202005140108</t>
  </si>
  <si>
    <t>202210250078</t>
  </si>
  <si>
    <t>202107260044</t>
  </si>
  <si>
    <t>202108030140</t>
  </si>
  <si>
    <t>CX2022051900020</t>
  </si>
  <si>
    <t>202212270014</t>
  </si>
  <si>
    <t>202205310008</t>
  </si>
  <si>
    <t>202111230063</t>
  </si>
  <si>
    <t>202203280108</t>
  </si>
  <si>
    <t>202207290076</t>
  </si>
  <si>
    <t>202108130083</t>
  </si>
  <si>
    <t>202208020048</t>
  </si>
  <si>
    <t>202203240057</t>
  </si>
  <si>
    <t>202203100095</t>
  </si>
  <si>
    <t>202204220091</t>
  </si>
  <si>
    <t>202208080069</t>
  </si>
  <si>
    <t>202206070048</t>
  </si>
  <si>
    <t>202112100065</t>
  </si>
  <si>
    <t>202103150026</t>
  </si>
  <si>
    <t>GG2022120810012</t>
  </si>
  <si>
    <t>202208090046</t>
  </si>
  <si>
    <t>202106230163</t>
  </si>
  <si>
    <t>202211040064</t>
  </si>
  <si>
    <t>2020050813409</t>
  </si>
  <si>
    <t>202105260004</t>
  </si>
  <si>
    <t>202206020034</t>
  </si>
  <si>
    <t>202207110075</t>
  </si>
  <si>
    <t>202308040019</t>
  </si>
  <si>
    <t>202207280052</t>
  </si>
  <si>
    <t>202209080047</t>
  </si>
  <si>
    <t>202208170045</t>
  </si>
  <si>
    <t>GC2023012010011</t>
  </si>
  <si>
    <t>202209280037</t>
  </si>
  <si>
    <t>202207120060</t>
  </si>
  <si>
    <t>202105270099</t>
  </si>
  <si>
    <t>202208060016</t>
  </si>
  <si>
    <t>202308070018</t>
  </si>
  <si>
    <t>202211140041</t>
  </si>
  <si>
    <t>202103290029</t>
  </si>
  <si>
    <t>GC2023030810008</t>
  </si>
  <si>
    <t>202208250028</t>
  </si>
  <si>
    <t>GC2022111810096</t>
  </si>
  <si>
    <t>GC2023041210010</t>
  </si>
  <si>
    <t>202106100050</t>
  </si>
  <si>
    <t>202103190137</t>
  </si>
  <si>
    <t>202305230025</t>
  </si>
  <si>
    <t>202104270154</t>
  </si>
  <si>
    <t>202206220044</t>
  </si>
  <si>
    <t>202106230014</t>
  </si>
  <si>
    <t>GC2022083110057</t>
  </si>
  <si>
    <t>202104260206</t>
  </si>
  <si>
    <t>202209140088</t>
  </si>
  <si>
    <t>202209210030</t>
  </si>
  <si>
    <t>GC2023041010100</t>
  </si>
  <si>
    <t>202106100115</t>
  </si>
  <si>
    <t>202009100021</t>
  </si>
  <si>
    <t>GG2022121410007</t>
  </si>
  <si>
    <t>202208100067</t>
  </si>
  <si>
    <t>GC2023072510095</t>
  </si>
  <si>
    <t>202210310035</t>
  </si>
  <si>
    <t>ZS2023081810091</t>
  </si>
  <si>
    <t>202103080156</t>
  </si>
  <si>
    <t>202304140074</t>
  </si>
  <si>
    <t>202110120120</t>
  </si>
  <si>
    <t>GC2023020910036</t>
  </si>
  <si>
    <t>GC2023042110034</t>
  </si>
  <si>
    <t>GC2023101610202</t>
  </si>
  <si>
    <t>202209140092</t>
  </si>
  <si>
    <t>202204110057</t>
  </si>
  <si>
    <t>GC2023050510130</t>
  </si>
  <si>
    <t>GC2023111310125</t>
  </si>
  <si>
    <t>GG2022102610059</t>
  </si>
  <si>
    <t>202203210028</t>
  </si>
  <si>
    <t>202208110028</t>
  </si>
  <si>
    <t>GC2023032910025</t>
  </si>
  <si>
    <t>GC2023051110020</t>
  </si>
  <si>
    <t>GC2023072510082</t>
  </si>
  <si>
    <t>202208230047</t>
  </si>
  <si>
    <t>GG2023031510047</t>
  </si>
  <si>
    <t>202210090012</t>
  </si>
  <si>
    <t>GC2022122610105</t>
  </si>
  <si>
    <t>202104090029</t>
  </si>
  <si>
    <t>GC2023072510122</t>
  </si>
  <si>
    <t>GG2023030810031</t>
  </si>
  <si>
    <t>202101070049</t>
  </si>
  <si>
    <t>202112270008</t>
  </si>
  <si>
    <t>202103150080</t>
  </si>
  <si>
    <t>202206010023</t>
  </si>
  <si>
    <t>GC2023042310030</t>
  </si>
  <si>
    <t>202203100042</t>
  </si>
  <si>
    <t>GG2023051310027</t>
  </si>
  <si>
    <t>CX2022110410029</t>
  </si>
  <si>
    <t>GC2022031400030</t>
  </si>
  <si>
    <t>GC2023092810021</t>
  </si>
  <si>
    <t>202208020056</t>
  </si>
  <si>
    <t>GC2023061910225</t>
  </si>
  <si>
    <t>GC2023082810018</t>
  </si>
  <si>
    <t>GC2023032210072</t>
  </si>
  <si>
    <t>202205200051</t>
  </si>
  <si>
    <t>202204250073</t>
  </si>
  <si>
    <t>GC2023021610005</t>
  </si>
  <si>
    <t>GC2023050610029</t>
  </si>
  <si>
    <t>GC2023081610199</t>
  </si>
  <si>
    <t>GC2023022110040</t>
  </si>
  <si>
    <t>202306080013</t>
  </si>
  <si>
    <t>202207270004</t>
  </si>
  <si>
    <t>202205090021</t>
  </si>
  <si>
    <t>GC2023092810029</t>
  </si>
  <si>
    <t>202203100088</t>
  </si>
  <si>
    <t>GC2023071910017</t>
  </si>
  <si>
    <t>GC2023102310230</t>
  </si>
  <si>
    <t>GG2022080310108</t>
  </si>
  <si>
    <t>GC2022092810210</t>
  </si>
  <si>
    <t>PT2022101210036</t>
  </si>
  <si>
    <t>GG2022072710106</t>
  </si>
  <si>
    <t>202203150073</t>
  </si>
  <si>
    <t>ZS2023092510024</t>
  </si>
  <si>
    <t>202208150054</t>
  </si>
  <si>
    <t>202207180061</t>
  </si>
  <si>
    <t>202104260128</t>
  </si>
  <si>
    <t>202201050061</t>
  </si>
  <si>
    <t>202108190200</t>
  </si>
  <si>
    <t>202212070021</t>
  </si>
  <si>
    <t>GC2023072810124</t>
  </si>
  <si>
    <t>GC2023120210017</t>
  </si>
  <si>
    <t>202108200094</t>
  </si>
  <si>
    <t>ZS2023081410159</t>
  </si>
  <si>
    <t>202103030094</t>
  </si>
  <si>
    <t>202305170006</t>
  </si>
  <si>
    <t>202205120030</t>
  </si>
  <si>
    <t>GC2023052910213</t>
  </si>
  <si>
    <t>GC2023061910009</t>
  </si>
  <si>
    <t>GC2023080710140</t>
  </si>
  <si>
    <t>GC2023080810092</t>
  </si>
  <si>
    <t>GC2023083110007</t>
  </si>
  <si>
    <t>GC2023112010170</t>
  </si>
  <si>
    <t>GG2022120510166</t>
  </si>
  <si>
    <t>ZS2023081710147</t>
  </si>
  <si>
    <t>202203090074</t>
  </si>
  <si>
    <t>202201170062</t>
  </si>
  <si>
    <t>202203030063</t>
  </si>
  <si>
    <t>GC2023101610096</t>
  </si>
  <si>
    <t>GC2023031610069</t>
  </si>
  <si>
    <t>202206140023</t>
  </si>
  <si>
    <t>GG2022091610110</t>
  </si>
  <si>
    <t>202203020007</t>
  </si>
  <si>
    <t>ZS2023081410212</t>
  </si>
  <si>
    <t>GG2022110110144</t>
  </si>
  <si>
    <t>202305190019</t>
  </si>
  <si>
    <t>GC2023080110200</t>
  </si>
  <si>
    <t>GC2023090710196</t>
  </si>
  <si>
    <t>PT2022101210042</t>
  </si>
  <si>
    <t>ZS2023052410244</t>
  </si>
  <si>
    <t>GC2023011910010</t>
  </si>
  <si>
    <t>GC2023080110023</t>
  </si>
  <si>
    <t>GG2022122810103</t>
  </si>
  <si>
    <t>202203280080</t>
  </si>
  <si>
    <t>GG2023082810129</t>
  </si>
  <si>
    <t>GC2022112910041</t>
  </si>
  <si>
    <t>202103090112</t>
  </si>
  <si>
    <t>GC2022122710050</t>
  </si>
  <si>
    <t>GC2023030710157</t>
  </si>
  <si>
    <t>202202140005</t>
  </si>
  <si>
    <t>202111290056</t>
  </si>
  <si>
    <t>202203160043</t>
  </si>
  <si>
    <t>GC2023082910115</t>
  </si>
  <si>
    <t>202201070066</t>
  </si>
  <si>
    <t>ZS2023061410012</t>
  </si>
  <si>
    <t>GC2023071810162</t>
  </si>
  <si>
    <t>GC2023022410002</t>
  </si>
  <si>
    <t>GC2023072410117</t>
  </si>
  <si>
    <t>GG2022122910061</t>
  </si>
  <si>
    <t>202302100013</t>
  </si>
  <si>
    <t>GG2022030800024</t>
  </si>
  <si>
    <t>GC2022032300104</t>
  </si>
  <si>
    <t>ZS2023051610160</t>
  </si>
  <si>
    <t>202210140007</t>
  </si>
  <si>
    <t>GC2022122710091</t>
  </si>
  <si>
    <t>GC2023080710043</t>
  </si>
  <si>
    <t>PT2022080410021</t>
  </si>
  <si>
    <t>ZS2023082310326</t>
  </si>
  <si>
    <t>GG2023092110269</t>
  </si>
  <si>
    <t>GC2023010410116</t>
  </si>
  <si>
    <t>GC2023012910081</t>
  </si>
  <si>
    <t>GC2023040710028</t>
  </si>
  <si>
    <t>GC2023050510105</t>
  </si>
  <si>
    <t>GC2023053010177</t>
  </si>
  <si>
    <t>GC2023060810058</t>
  </si>
  <si>
    <t>GC2023080410154</t>
  </si>
  <si>
    <t>GC2023090410124</t>
  </si>
  <si>
    <t>GC2023090510114</t>
  </si>
  <si>
    <t>GC2023101210091</t>
  </si>
  <si>
    <t>GC2023110910179</t>
  </si>
  <si>
    <t>GG2023062710163</t>
  </si>
  <si>
    <t>202206210021</t>
  </si>
  <si>
    <t>ZS2023080910022</t>
  </si>
  <si>
    <t>202202090013</t>
  </si>
  <si>
    <t>PT2022080510074</t>
  </si>
  <si>
    <t>GC2023070510048</t>
  </si>
  <si>
    <t>PT2022110210149</t>
  </si>
  <si>
    <t>GG2023032010016</t>
  </si>
  <si>
    <t>202207190046</t>
  </si>
  <si>
    <t>GG2023030110095</t>
  </si>
  <si>
    <t>PT2022091310065</t>
  </si>
  <si>
    <t>GC2023030110128</t>
  </si>
  <si>
    <t>GC2023032910046</t>
  </si>
  <si>
    <t>GC2023090110066</t>
  </si>
  <si>
    <t>GC2023093010006</t>
  </si>
  <si>
    <t>GC2023102010109</t>
  </si>
  <si>
    <t>GG2023041210021</t>
  </si>
  <si>
    <t>ZS2023110710161</t>
  </si>
  <si>
    <t>PT2022080110047</t>
  </si>
  <si>
    <t>CX2022123010099</t>
  </si>
  <si>
    <t>GG2022081010087</t>
  </si>
  <si>
    <t>GC2023110710167</t>
  </si>
  <si>
    <t>GC2023041210078</t>
  </si>
  <si>
    <t>GC2022120910089</t>
  </si>
  <si>
    <t>GC2022122310087</t>
  </si>
  <si>
    <t>GC2023030710115</t>
  </si>
  <si>
    <t>GC2023080610013</t>
  </si>
  <si>
    <t>GC2022102010064</t>
  </si>
  <si>
    <t>202202070041</t>
  </si>
  <si>
    <t>GC2023071010124</t>
  </si>
  <si>
    <t>GC2023022310024</t>
  </si>
  <si>
    <t>GC2023050910157</t>
  </si>
  <si>
    <t>GC2023090410139</t>
  </si>
  <si>
    <t>GC2023101310056</t>
  </si>
  <si>
    <t>GC2023112110089</t>
  </si>
  <si>
    <t>GC2023021310064</t>
  </si>
  <si>
    <t>GC2023041110114</t>
  </si>
  <si>
    <t>GC2023110710202</t>
  </si>
  <si>
    <t>GG2023080810135</t>
  </si>
  <si>
    <t>GC2023021410145</t>
  </si>
  <si>
    <t>GC2023030310015</t>
  </si>
  <si>
    <t>GC2023032110065</t>
  </si>
  <si>
    <t>GC2023032110068</t>
  </si>
  <si>
    <t>GC2023032710010</t>
  </si>
  <si>
    <t>GC2023041410048</t>
  </si>
  <si>
    <t>GC2023042010075</t>
  </si>
  <si>
    <t>GC2023042310096</t>
  </si>
  <si>
    <t>GC2023042710165</t>
  </si>
  <si>
    <t>GC2023051610173</t>
  </si>
  <si>
    <t>GC2023052310243</t>
  </si>
  <si>
    <t>GC2023061910217</t>
  </si>
  <si>
    <t>GC2023071010054</t>
  </si>
  <si>
    <t>GC2023090510071</t>
  </si>
  <si>
    <t>GC2023110110111</t>
  </si>
  <si>
    <t>GC2023111610114</t>
  </si>
  <si>
    <t>GG2022123010055</t>
  </si>
  <si>
    <t>GG2023062010155</t>
  </si>
  <si>
    <t>GG2023080710141</t>
  </si>
  <si>
    <t>GC2023040610050</t>
  </si>
  <si>
    <t>GC2023060510067</t>
  </si>
  <si>
    <t>202203080035</t>
  </si>
  <si>
    <t>202308080013</t>
  </si>
  <si>
    <t>ZS2023102310206</t>
  </si>
  <si>
    <t>ZS2023080810074</t>
  </si>
  <si>
    <t>GC2023061210067</t>
  </si>
  <si>
    <t>GC2023060210101</t>
  </si>
  <si>
    <t>GC2023060210103</t>
  </si>
  <si>
    <t>GC2023060210105</t>
  </si>
  <si>
    <t>GC2023021510012</t>
  </si>
  <si>
    <t>GG2023111910016</t>
  </si>
  <si>
    <t>PT2022101310113</t>
  </si>
  <si>
    <t>GC2022122210074</t>
  </si>
  <si>
    <t>GC2023090110073</t>
  </si>
  <si>
    <t>GC2023091010014</t>
  </si>
  <si>
    <t>GC2023022310006</t>
  </si>
  <si>
    <t>GC2022121610047</t>
  </si>
  <si>
    <t>GC2023031710019</t>
  </si>
  <si>
    <t>GG2023070510020</t>
  </si>
  <si>
    <t>GC2022083110071</t>
  </si>
  <si>
    <t>GC2023032410069</t>
  </si>
  <si>
    <t>GC2023041810143</t>
  </si>
  <si>
    <t>GC2023051610170</t>
  </si>
  <si>
    <t>GC2023071110016</t>
  </si>
  <si>
    <t>GG2022090110100</t>
  </si>
  <si>
    <t>GG2022111410066</t>
  </si>
  <si>
    <t>202204120006</t>
  </si>
  <si>
    <t>201711133252</t>
  </si>
  <si>
    <t>GG2023012910056</t>
  </si>
  <si>
    <t>GC2023112810072</t>
  </si>
  <si>
    <t>GC2023102610064</t>
  </si>
  <si>
    <t>GC2022120910156</t>
  </si>
  <si>
    <t>GC2023062810105</t>
  </si>
  <si>
    <t>GC2023070810034</t>
  </si>
  <si>
    <t>GC2023102010043</t>
  </si>
  <si>
    <t>GG2022090210013</t>
  </si>
  <si>
    <t>GC2023031010087</t>
  </si>
  <si>
    <t>GC2023052410076</t>
  </si>
  <si>
    <t>GC2023112010069</t>
  </si>
  <si>
    <t>GG2023080610007</t>
  </si>
  <si>
    <t>GG2023081710159</t>
  </si>
  <si>
    <t>GC2023051610031</t>
  </si>
  <si>
    <t>GC2023032310100</t>
  </si>
  <si>
    <t>GG2023112710080</t>
  </si>
  <si>
    <t>GC2022120910076</t>
  </si>
  <si>
    <t>GC2023031710080</t>
  </si>
  <si>
    <t>GC2023042110013</t>
  </si>
  <si>
    <t>GG2022101110090</t>
  </si>
  <si>
    <t>GG2023042510220</t>
  </si>
  <si>
    <t>GG2023060710120</t>
  </si>
  <si>
    <t>GC2023032110074</t>
  </si>
  <si>
    <t>GG2023060110074</t>
  </si>
  <si>
    <t>GC2023022810098</t>
  </si>
  <si>
    <t>GC2023052910026</t>
  </si>
  <si>
    <t>GC2023021010002</t>
  </si>
  <si>
    <t>GC2023112710214</t>
  </si>
  <si>
    <t>GC2022122310091</t>
  </si>
  <si>
    <t>GG2022090610025</t>
  </si>
  <si>
    <t>GG2023031510077</t>
  </si>
  <si>
    <t>GG2022111610032</t>
  </si>
  <si>
    <t>GC2023022310041</t>
  </si>
  <si>
    <t>GC2023062110005</t>
  </si>
  <si>
    <t>GC2023062510224</t>
  </si>
  <si>
    <t>PT2022081110116</t>
  </si>
  <si>
    <t>GC2023041810148</t>
  </si>
  <si>
    <t>GC2023051710006</t>
  </si>
  <si>
    <t>GC2023061210031</t>
  </si>
  <si>
    <t>GC2023061210054</t>
  </si>
  <si>
    <t>GC2023080110026</t>
  </si>
  <si>
    <t>GC2023082910136</t>
  </si>
  <si>
    <t>GC2023101310059</t>
  </si>
  <si>
    <t>GC2023110710183</t>
  </si>
  <si>
    <t>GC2023110910038</t>
  </si>
  <si>
    <t>GG2023093010015</t>
  </si>
  <si>
    <t>PT2022120710153</t>
  </si>
  <si>
    <t>GC2023062910115</t>
  </si>
  <si>
    <t>GC2023072510181</t>
  </si>
  <si>
    <t>202203290023</t>
  </si>
  <si>
    <t>GC2022122210073</t>
  </si>
  <si>
    <t>GC2023040610043</t>
  </si>
  <si>
    <t>GC2023080710123</t>
  </si>
  <si>
    <t>GG2023062710183</t>
  </si>
  <si>
    <t>PT2023022810009</t>
  </si>
  <si>
    <t>GC2023102310189</t>
  </si>
  <si>
    <t>PT2022040700088</t>
  </si>
  <si>
    <t>GG2022080510083</t>
  </si>
  <si>
    <t>GC2023020710025</t>
  </si>
  <si>
    <t>GC2023052210181</t>
  </si>
  <si>
    <t>GC2023052410190</t>
  </si>
  <si>
    <t>GC2023060810071</t>
  </si>
  <si>
    <t>GC2023063010041</t>
  </si>
  <si>
    <t>GC2023070510031</t>
  </si>
  <si>
    <t>GC2023071710173</t>
  </si>
  <si>
    <t>GC2023072010035</t>
  </si>
  <si>
    <t>GC2023082110200</t>
  </si>
  <si>
    <t>GC2023082110272</t>
  </si>
  <si>
    <t>GC2023092710060</t>
  </si>
  <si>
    <t>GC2023112010201</t>
  </si>
  <si>
    <t>GC2023121310165</t>
  </si>
  <si>
    <t>GG2022122610073</t>
  </si>
  <si>
    <t>GG2023030710098</t>
  </si>
  <si>
    <t>GG2023031710054</t>
  </si>
  <si>
    <t>GG2023041210014</t>
  </si>
  <si>
    <t>GG2023041810049</t>
  </si>
  <si>
    <t>GG2023041910062</t>
  </si>
  <si>
    <t>GG2023081710069</t>
  </si>
  <si>
    <t>GG2023101710193</t>
  </si>
  <si>
    <t>GG2023111310133</t>
  </si>
  <si>
    <t>GG2023112010059</t>
  </si>
  <si>
    <t>GC2022060210025</t>
  </si>
  <si>
    <t>PT2022123110027</t>
  </si>
  <si>
    <t>GC2023041710080</t>
  </si>
  <si>
    <t>GC2022112810064</t>
  </si>
  <si>
    <t>PT2022101310097</t>
  </si>
  <si>
    <t>GG2022100810033</t>
  </si>
  <si>
    <t>202104090034</t>
  </si>
  <si>
    <t>GG2023082810045</t>
  </si>
  <si>
    <t>GC2023063010012</t>
  </si>
  <si>
    <t>PT2022080110070</t>
  </si>
  <si>
    <t>GG2022120510048</t>
  </si>
  <si>
    <t>GC2022121610055</t>
  </si>
  <si>
    <t>GC2023072110097</t>
  </si>
  <si>
    <t>GG2023042610091</t>
  </si>
  <si>
    <t>GG2023083010033</t>
  </si>
  <si>
    <t>ZS2023081510049</t>
  </si>
  <si>
    <t>GC2022061610047</t>
  </si>
  <si>
    <t>202209200070</t>
  </si>
  <si>
    <t>GC2023022110119</t>
  </si>
  <si>
    <t>PT2022091210019</t>
  </si>
  <si>
    <t>GC2022123010004</t>
  </si>
  <si>
    <t>GC2023071010186</t>
  </si>
  <si>
    <t>GC2023111310072</t>
  </si>
  <si>
    <t>GG2023090510126</t>
  </si>
  <si>
    <t>GC2022092610143</t>
  </si>
  <si>
    <t>GC2022121010004</t>
  </si>
  <si>
    <t>GG2023020310045</t>
  </si>
  <si>
    <t>GG2023090710024</t>
  </si>
  <si>
    <t>GC2022122810109</t>
  </si>
  <si>
    <t>GC2023022110028</t>
  </si>
  <si>
    <t>GC2023040310051</t>
  </si>
  <si>
    <t>GC2023042710175</t>
  </si>
  <si>
    <t>GC2023052210127</t>
  </si>
  <si>
    <t>GC2023072510247</t>
  </si>
  <si>
    <t>GC2023072610170</t>
  </si>
  <si>
    <t>GC2023120210018</t>
  </si>
  <si>
    <t>GG2023040810039</t>
  </si>
  <si>
    <t>GG2023051610151</t>
  </si>
  <si>
    <t>GG2023052310059</t>
  </si>
  <si>
    <t>GG2023072610127</t>
  </si>
  <si>
    <t>GG2023090910012</t>
  </si>
  <si>
    <t>GC2023062810091</t>
  </si>
  <si>
    <t>GG2023010310107</t>
  </si>
  <si>
    <t>ZS2023101310150</t>
  </si>
  <si>
    <t>ZS2023110310007</t>
  </si>
  <si>
    <t>GC2023032910083</t>
  </si>
  <si>
    <t>GC2023042110031</t>
  </si>
  <si>
    <t>GC2023051610178</t>
  </si>
  <si>
    <t>GC2023052910043</t>
  </si>
  <si>
    <t>202103150108</t>
  </si>
  <si>
    <t>GG2023071010117</t>
  </si>
  <si>
    <t>PT2022041100095</t>
  </si>
  <si>
    <t>GC2023031210057</t>
  </si>
  <si>
    <t>GG2023101010174</t>
  </si>
  <si>
    <t>GG2023082910133</t>
  </si>
  <si>
    <t>GC2023010410022</t>
  </si>
  <si>
    <t>PT2022040700074</t>
  </si>
  <si>
    <t>GG2023042610093</t>
  </si>
  <si>
    <t>GG2023121810163</t>
  </si>
  <si>
    <t>GC2023020610082</t>
  </si>
  <si>
    <t>GC2023062710046</t>
  </si>
  <si>
    <t>GC2023072110144</t>
  </si>
  <si>
    <t>GG2023072110106</t>
  </si>
  <si>
    <t>GG2023083110010</t>
  </si>
  <si>
    <t>PT2023032110104</t>
  </si>
  <si>
    <t>GG2022072710066</t>
  </si>
  <si>
    <t>ZS2023110310019</t>
  </si>
  <si>
    <t>202210190026</t>
  </si>
  <si>
    <t>PT2022041600017</t>
  </si>
  <si>
    <t>GG2023080410013</t>
  </si>
  <si>
    <t>PT2023070510073</t>
  </si>
  <si>
    <t>202104180013</t>
  </si>
  <si>
    <t>GC2022122710156</t>
  </si>
  <si>
    <t>GC2023070410174</t>
  </si>
  <si>
    <t>GG2023010910051</t>
  </si>
  <si>
    <t>GG2023061310076</t>
  </si>
  <si>
    <t>GC2023100910129</t>
  </si>
  <si>
    <t>GC2023010510033</t>
  </si>
  <si>
    <t>GC2023052310213</t>
  </si>
  <si>
    <t>GC2023052510053</t>
  </si>
  <si>
    <t>GC2023081110075</t>
  </si>
  <si>
    <t>GC2023092210017</t>
  </si>
  <si>
    <t>GC2023102610086</t>
  </si>
  <si>
    <t>GC2023110310038</t>
  </si>
  <si>
    <t>GC2023110710084</t>
  </si>
  <si>
    <t>GG2022072110045</t>
  </si>
  <si>
    <t>GG2023020110010</t>
  </si>
  <si>
    <t>GG2023021610057</t>
  </si>
  <si>
    <t>GG2023022310051</t>
  </si>
  <si>
    <t>GG2023022310059</t>
  </si>
  <si>
    <t>GG2023031710067</t>
  </si>
  <si>
    <t>GG2023033010016</t>
  </si>
  <si>
    <t>GG2023040310033</t>
  </si>
  <si>
    <t>GG2023051110026</t>
  </si>
  <si>
    <t>GG2023052210170</t>
  </si>
  <si>
    <t>GG2023072510034</t>
  </si>
  <si>
    <t>GG2023081110079</t>
  </si>
  <si>
    <t>GG2023101910197</t>
  </si>
  <si>
    <t>GG2023110610152</t>
  </si>
  <si>
    <t>PT2022021000042</t>
  </si>
  <si>
    <t>PT2023081110023</t>
  </si>
  <si>
    <t>GC2023031710058</t>
  </si>
  <si>
    <t>PT2022112910126</t>
  </si>
  <si>
    <t>GG2022112210105</t>
  </si>
  <si>
    <t>GG2023052510180</t>
  </si>
  <si>
    <t>GC2022122810113</t>
  </si>
  <si>
    <t>GC2023040910011</t>
  </si>
  <si>
    <t>GC2023071310039</t>
  </si>
  <si>
    <t>GG2022120910082</t>
  </si>
  <si>
    <t>GG2023040310025</t>
  </si>
  <si>
    <t>GG2023051810056</t>
  </si>
  <si>
    <t>GG2023070310023</t>
  </si>
  <si>
    <t>GG2023092410005</t>
  </si>
  <si>
    <t>PT2023080310153</t>
  </si>
  <si>
    <t>PT2023111010068</t>
  </si>
  <si>
    <t>GG2023010910061</t>
  </si>
  <si>
    <t>GC2023011110067</t>
  </si>
  <si>
    <t>GC2023011710004</t>
  </si>
  <si>
    <t>GC2023042310023</t>
  </si>
  <si>
    <t>GC2023081810102</t>
  </si>
  <si>
    <t>GG2022042500085</t>
  </si>
  <si>
    <t>GG2023081410169</t>
  </si>
  <si>
    <t>GG2023090410044</t>
  </si>
  <si>
    <t>GG2023090710200</t>
  </si>
  <si>
    <t>GC2022100910019</t>
  </si>
  <si>
    <t>GG2022042400065</t>
  </si>
  <si>
    <t>CX2023021310126</t>
  </si>
  <si>
    <t>GC2023010210021</t>
  </si>
  <si>
    <t>GC2023081410203</t>
  </si>
  <si>
    <t>GC2023011610082</t>
  </si>
  <si>
    <t>GC2023053010179</t>
  </si>
  <si>
    <t>GC2023103110144</t>
  </si>
  <si>
    <t>GC2023021310045</t>
  </si>
  <si>
    <t>CX2023061410181</t>
  </si>
  <si>
    <t>202212260043</t>
  </si>
  <si>
    <t>PT2022040300009</t>
  </si>
  <si>
    <t>GG2023071610023</t>
  </si>
  <si>
    <t>GG2022072710101</t>
  </si>
  <si>
    <t>GG2022041200093</t>
  </si>
  <si>
    <t>GG2023021710065</t>
  </si>
  <si>
    <t>GG2023071910038</t>
  </si>
  <si>
    <t>GG2023112010241</t>
  </si>
  <si>
    <t>GG2022121310032</t>
  </si>
  <si>
    <t>PT2023051810115</t>
  </si>
  <si>
    <t>PT2022102810114</t>
  </si>
  <si>
    <t>GG2022082310110</t>
  </si>
  <si>
    <t>GG2023102610009</t>
  </si>
  <si>
    <t>GC2023092210028</t>
  </si>
  <si>
    <t>PT2022012300001</t>
  </si>
  <si>
    <t>PT2022022200077</t>
  </si>
  <si>
    <t>GG2023082610046</t>
  </si>
  <si>
    <t>GC2023021410052</t>
  </si>
  <si>
    <t>GC2023012910033</t>
  </si>
  <si>
    <t>GC2023020710027</t>
  </si>
  <si>
    <t>GC2023021610072</t>
  </si>
  <si>
    <t>GC2023021710061</t>
  </si>
  <si>
    <t>GC2023030110003</t>
  </si>
  <si>
    <t>GC2023030910080</t>
  </si>
  <si>
    <t>GC2023032210077</t>
  </si>
  <si>
    <t>GC2023033110012</t>
  </si>
  <si>
    <t>GG2022101110010</t>
  </si>
  <si>
    <t>GG2023052510096</t>
  </si>
  <si>
    <t>GG2023062610088</t>
  </si>
  <si>
    <t>GG2023070510016</t>
  </si>
  <si>
    <t>PT2023072810176</t>
  </si>
  <si>
    <t>GG2023071710055</t>
  </si>
  <si>
    <t>202101050019</t>
  </si>
  <si>
    <t>202006160085</t>
  </si>
  <si>
    <t>GG2023010410040</t>
  </si>
  <si>
    <t>GG2023082210164</t>
  </si>
  <si>
    <t>PT2022031500029</t>
  </si>
  <si>
    <t>GG2023042110037</t>
  </si>
  <si>
    <t>976</t>
  </si>
  <si>
    <t>PT2023101710184</t>
  </si>
  <si>
    <t>977</t>
  </si>
  <si>
    <t>GC2023081710072</t>
  </si>
  <si>
    <t>978</t>
  </si>
  <si>
    <t>GG2022080510067</t>
  </si>
  <si>
    <t>979</t>
  </si>
  <si>
    <t>GG2023031710073</t>
  </si>
  <si>
    <t>980</t>
  </si>
  <si>
    <t>GG2023032010023</t>
  </si>
  <si>
    <t>981</t>
  </si>
  <si>
    <t>GG2023041210016</t>
  </si>
  <si>
    <t>982</t>
  </si>
  <si>
    <t>GG2023061910010</t>
  </si>
  <si>
    <t>983</t>
  </si>
  <si>
    <t>984</t>
  </si>
  <si>
    <t>GC2022110810063</t>
  </si>
  <si>
    <t>985</t>
  </si>
  <si>
    <t>986</t>
  </si>
  <si>
    <t>987</t>
  </si>
  <si>
    <t>GC2023010410078</t>
  </si>
  <si>
    <t>988</t>
  </si>
  <si>
    <t>PT2023082410323</t>
  </si>
  <si>
    <t>989</t>
  </si>
  <si>
    <t>GC2022030700077</t>
  </si>
  <si>
    <t>990</t>
  </si>
  <si>
    <t>GC2022030800019</t>
  </si>
  <si>
    <t>991</t>
  </si>
  <si>
    <t>992</t>
  </si>
  <si>
    <t>993</t>
  </si>
  <si>
    <t>GC2022100910022</t>
  </si>
  <si>
    <t>994</t>
  </si>
  <si>
    <t>PT2023091510140</t>
  </si>
  <si>
    <t>995</t>
  </si>
  <si>
    <t>GC2022021700052</t>
  </si>
  <si>
    <t>996</t>
  </si>
  <si>
    <t>GC2023013110031</t>
  </si>
  <si>
    <t>997</t>
  </si>
  <si>
    <t>GG2023022310105</t>
  </si>
  <si>
    <t>998</t>
  </si>
  <si>
    <t>GG2023071110051</t>
  </si>
  <si>
    <t>999</t>
  </si>
  <si>
    <t>GG2023071810142</t>
  </si>
  <si>
    <t>1000</t>
  </si>
  <si>
    <t>1001</t>
  </si>
  <si>
    <t>GG2023081810132</t>
  </si>
  <si>
    <t>1002</t>
  </si>
  <si>
    <t>1003</t>
  </si>
  <si>
    <t>GG2022102910031</t>
  </si>
  <si>
    <t>1004</t>
  </si>
  <si>
    <t>PT2023100910194</t>
  </si>
  <si>
    <t>1005</t>
  </si>
  <si>
    <t>GC2022122910044</t>
  </si>
  <si>
    <t>1006</t>
  </si>
  <si>
    <t>PT2023061210147</t>
  </si>
  <si>
    <t>1007</t>
  </si>
  <si>
    <t>PT2023090610237</t>
  </si>
  <si>
    <t>1008</t>
  </si>
  <si>
    <t>GG2022083110025</t>
  </si>
  <si>
    <t>1009</t>
  </si>
  <si>
    <t>GG2023021510022</t>
  </si>
  <si>
    <t>1010</t>
  </si>
  <si>
    <t>GG2022071410088</t>
  </si>
  <si>
    <t>1011</t>
  </si>
  <si>
    <t>1012</t>
  </si>
  <si>
    <t>PT2023042810031</t>
  </si>
  <si>
    <t>1013</t>
  </si>
  <si>
    <t>1014</t>
  </si>
  <si>
    <t>GC2022070610041</t>
  </si>
  <si>
    <t>1015</t>
  </si>
  <si>
    <t>GG2023050410101</t>
  </si>
  <si>
    <t>1016</t>
  </si>
  <si>
    <t>PT2023021410018</t>
  </si>
  <si>
    <t>1017</t>
  </si>
  <si>
    <t>CX2023010410100</t>
  </si>
  <si>
    <t>1018</t>
  </si>
  <si>
    <t>GC2023061910219</t>
  </si>
  <si>
    <t>1019</t>
  </si>
  <si>
    <t>GC2023071710083</t>
  </si>
  <si>
    <t>1020</t>
  </si>
  <si>
    <t>PT2023092310011</t>
  </si>
  <si>
    <t>1021</t>
  </si>
  <si>
    <t>GC2023053110181</t>
  </si>
  <si>
    <t>1022</t>
  </si>
  <si>
    <t>GC2022122710073</t>
  </si>
  <si>
    <t>1023</t>
  </si>
  <si>
    <t>GC2023032910009</t>
  </si>
  <si>
    <t>1024</t>
  </si>
  <si>
    <t>GC2023042310124</t>
  </si>
  <si>
    <t>1025</t>
  </si>
  <si>
    <t>GC2023052310238</t>
  </si>
  <si>
    <t>1026</t>
  </si>
  <si>
    <t>GG2022122710011</t>
  </si>
  <si>
    <t>1027</t>
  </si>
  <si>
    <t>GG2022122710084</t>
  </si>
  <si>
    <t>1028</t>
  </si>
  <si>
    <t>GG2023021710105</t>
  </si>
  <si>
    <t>1029</t>
  </si>
  <si>
    <t>GG2023021710106</t>
  </si>
  <si>
    <t>1030</t>
  </si>
  <si>
    <t>GG2023033110006</t>
  </si>
  <si>
    <t>1031</t>
  </si>
  <si>
    <t>GG2023042410155</t>
  </si>
  <si>
    <t>1032</t>
  </si>
  <si>
    <t>GG2023050810176</t>
  </si>
  <si>
    <t>1033</t>
  </si>
  <si>
    <t>GG2023091710046</t>
  </si>
  <si>
    <t>1034</t>
  </si>
  <si>
    <t>GG2023092210025</t>
  </si>
  <si>
    <t>1035</t>
  </si>
  <si>
    <t>GG2023092810068</t>
  </si>
  <si>
    <t>1036</t>
  </si>
  <si>
    <t>GG2023112610002</t>
  </si>
  <si>
    <t>1037</t>
  </si>
  <si>
    <t>PT2023011110006</t>
  </si>
  <si>
    <t>1038</t>
  </si>
  <si>
    <t>GC2022101710042</t>
  </si>
  <si>
    <t>1039</t>
  </si>
  <si>
    <t>1040</t>
  </si>
  <si>
    <t>GG2023020910114</t>
  </si>
  <si>
    <t>1041</t>
  </si>
  <si>
    <t>1042</t>
  </si>
  <si>
    <t>1043</t>
  </si>
  <si>
    <t>1044</t>
  </si>
  <si>
    <t>GG2022090610074</t>
  </si>
  <si>
    <t>1045</t>
  </si>
  <si>
    <t>1046</t>
  </si>
  <si>
    <t>GG2023033110011</t>
  </si>
  <si>
    <t>1047</t>
  </si>
  <si>
    <t>CX2022123010097</t>
  </si>
  <si>
    <t>1048</t>
  </si>
  <si>
    <t>PT2022011300081</t>
  </si>
  <si>
    <t>1049</t>
  </si>
  <si>
    <t>CX2023020210022</t>
  </si>
  <si>
    <t>1050</t>
  </si>
  <si>
    <t>CX2022122910039</t>
  </si>
  <si>
    <t>1051</t>
  </si>
  <si>
    <t>GC2023053110176</t>
  </si>
  <si>
    <t>1052</t>
  </si>
  <si>
    <t>GG2023082610012</t>
  </si>
  <si>
    <t>1053</t>
  </si>
  <si>
    <t>1054</t>
  </si>
  <si>
    <t>CX2022120210068</t>
  </si>
  <si>
    <t>1055</t>
  </si>
  <si>
    <t>CX2023042010129</t>
  </si>
  <si>
    <t>1056</t>
  </si>
  <si>
    <t>GC2022122310112</t>
  </si>
  <si>
    <t>1057</t>
  </si>
  <si>
    <t>GC2023013110028</t>
  </si>
  <si>
    <t>1058</t>
  </si>
  <si>
    <t>GG2023050810032</t>
  </si>
  <si>
    <t>1059</t>
  </si>
  <si>
    <t>GG2023060910075</t>
  </si>
  <si>
    <t>1060</t>
  </si>
  <si>
    <t>GG2023082110191</t>
  </si>
  <si>
    <t>1061</t>
  </si>
  <si>
    <t>GG2023082410360</t>
  </si>
  <si>
    <t>1062</t>
  </si>
  <si>
    <t>GG2023110110112</t>
  </si>
  <si>
    <t>1063</t>
  </si>
  <si>
    <t>1064</t>
  </si>
  <si>
    <t>GC2022042100052</t>
  </si>
  <si>
    <t>1065</t>
  </si>
  <si>
    <t>CX2023012810014</t>
  </si>
  <si>
    <t>1066</t>
  </si>
  <si>
    <t>1067</t>
  </si>
  <si>
    <t>GG2023071710172</t>
  </si>
  <si>
    <t>1068</t>
  </si>
  <si>
    <t>GG2023021410017</t>
  </si>
  <si>
    <t>1069</t>
  </si>
  <si>
    <t>GG2023092710199</t>
  </si>
  <si>
    <t>1070</t>
  </si>
  <si>
    <t>GG2023032410017</t>
  </si>
  <si>
    <t>1071</t>
  </si>
  <si>
    <t>GG2023030110058</t>
  </si>
  <si>
    <t>1072</t>
  </si>
  <si>
    <t>GC2022111410097</t>
  </si>
  <si>
    <t>1073</t>
  </si>
  <si>
    <t>GG2022102010170</t>
  </si>
  <si>
    <t>1074</t>
  </si>
  <si>
    <t>GC2023011710012</t>
  </si>
  <si>
    <t>1075</t>
  </si>
  <si>
    <t>GG2022122510015</t>
  </si>
  <si>
    <t>1076</t>
  </si>
  <si>
    <t>GG2023030810037</t>
  </si>
  <si>
    <t>1077</t>
  </si>
  <si>
    <t>GG2023091710033</t>
  </si>
  <si>
    <t>1078</t>
  </si>
  <si>
    <t>1079</t>
  </si>
  <si>
    <t>GG2023012910048</t>
  </si>
  <si>
    <t>1080</t>
  </si>
  <si>
    <t>PT2023020610085</t>
  </si>
  <si>
    <t>1081</t>
  </si>
  <si>
    <t>GG2023030610076</t>
  </si>
  <si>
    <t>1082</t>
  </si>
  <si>
    <t>PT2023102610071</t>
  </si>
  <si>
    <t>1083</t>
  </si>
  <si>
    <t>PT2023072810038</t>
  </si>
  <si>
    <t>1084</t>
  </si>
  <si>
    <t>PT2023081110102</t>
  </si>
  <si>
    <t>1085</t>
  </si>
  <si>
    <t>GG2023042110018</t>
  </si>
  <si>
    <t>1086</t>
  </si>
  <si>
    <t>GG2023063010042</t>
  </si>
  <si>
    <t>1087</t>
  </si>
  <si>
    <t>GG2023071710177</t>
  </si>
  <si>
    <t>1088</t>
  </si>
  <si>
    <t>GG2023072510242</t>
  </si>
  <si>
    <t>1089</t>
  </si>
  <si>
    <t>GG2023073110198</t>
  </si>
  <si>
    <t>1090</t>
  </si>
  <si>
    <t>GG2023082110275</t>
  </si>
  <si>
    <t>1091</t>
  </si>
  <si>
    <t>GG2023082210223</t>
  </si>
  <si>
    <t>1092</t>
  </si>
  <si>
    <t>GG2023092710071</t>
  </si>
  <si>
    <t>1093</t>
  </si>
  <si>
    <t>GG2023102310188</t>
  </si>
  <si>
    <t>1094</t>
  </si>
  <si>
    <t>GG2023041910069</t>
  </si>
  <si>
    <t>1095</t>
  </si>
  <si>
    <t>CX2022122510004</t>
  </si>
  <si>
    <t>1096</t>
  </si>
  <si>
    <t>CX2022120710024</t>
  </si>
  <si>
    <t>1097</t>
  </si>
  <si>
    <t>1098</t>
  </si>
  <si>
    <t>1099</t>
  </si>
  <si>
    <t>1100</t>
  </si>
  <si>
    <t>1101</t>
  </si>
  <si>
    <t>1102</t>
  </si>
  <si>
    <t>GG2023050810177</t>
  </si>
  <si>
    <t>1103</t>
  </si>
  <si>
    <t>1104</t>
  </si>
  <si>
    <t>GC2023103010054</t>
  </si>
  <si>
    <t>1105</t>
  </si>
  <si>
    <t>202112060123</t>
  </si>
  <si>
    <t>1106</t>
  </si>
  <si>
    <t>1107</t>
  </si>
  <si>
    <t>CX2022123010114</t>
  </si>
  <si>
    <t>1108</t>
  </si>
  <si>
    <t>1109</t>
  </si>
  <si>
    <t>CX2022081810006</t>
  </si>
  <si>
    <t>1110</t>
  </si>
  <si>
    <t>1111</t>
  </si>
  <si>
    <t>1112</t>
  </si>
  <si>
    <t>CX2023020310004</t>
  </si>
  <si>
    <t>1113</t>
  </si>
  <si>
    <t>CX2023042610327</t>
  </si>
  <si>
    <t>1114</t>
  </si>
  <si>
    <t>CX2022122110092</t>
  </si>
  <si>
    <t>1115</t>
  </si>
  <si>
    <t>1116</t>
  </si>
  <si>
    <t>1117</t>
  </si>
  <si>
    <t>CX2023061910226</t>
  </si>
  <si>
    <t>1118</t>
  </si>
  <si>
    <t>1119</t>
  </si>
  <si>
    <t>CX2023070410044</t>
  </si>
  <si>
    <t>1120</t>
  </si>
  <si>
    <t>1121</t>
  </si>
  <si>
    <t>CX2023060610179</t>
  </si>
  <si>
    <t>1122</t>
  </si>
  <si>
    <t>CX2023081910006</t>
  </si>
  <si>
    <t>1123</t>
  </si>
  <si>
    <t>1124</t>
  </si>
  <si>
    <t>1125</t>
  </si>
  <si>
    <t>1126</t>
  </si>
  <si>
    <t>1127</t>
  </si>
  <si>
    <t>CX2023051010166</t>
  </si>
  <si>
    <t>1128</t>
  </si>
  <si>
    <t>1129</t>
  </si>
  <si>
    <t>1130</t>
  </si>
  <si>
    <t>CX2022122110050</t>
  </si>
  <si>
    <t>1131</t>
  </si>
  <si>
    <t>1132</t>
  </si>
  <si>
    <t>CX2022081210061</t>
  </si>
  <si>
    <t>1133</t>
  </si>
  <si>
    <t>1134</t>
  </si>
  <si>
    <t>1135</t>
  </si>
  <si>
    <t>1136</t>
  </si>
  <si>
    <t>1137</t>
  </si>
  <si>
    <t>1138</t>
  </si>
  <si>
    <t>CX2022081310040</t>
  </si>
  <si>
    <t>1139</t>
  </si>
  <si>
    <t>CX2023052610145</t>
  </si>
  <si>
    <t>202103310050</t>
  </si>
  <si>
    <t>201711283459</t>
  </si>
  <si>
    <t>202105140020</t>
  </si>
  <si>
    <t>201711133253</t>
  </si>
  <si>
    <t>202106230121</t>
  </si>
  <si>
    <t>202108180093</t>
  </si>
  <si>
    <t>202106280082</t>
  </si>
  <si>
    <t>201712273862</t>
  </si>
  <si>
    <t>201801254077</t>
  </si>
  <si>
    <t>202107260175</t>
  </si>
  <si>
    <t>201802054163</t>
  </si>
  <si>
    <t>201711163301</t>
  </si>
  <si>
    <t>202108110125</t>
  </si>
  <si>
    <t>202107080164</t>
  </si>
  <si>
    <t>201711283470</t>
  </si>
  <si>
    <t>201711203349</t>
  </si>
  <si>
    <t>201905288719</t>
  </si>
  <si>
    <t>202105100098</t>
  </si>
  <si>
    <t>202108040037</t>
  </si>
  <si>
    <t>202106150116</t>
  </si>
  <si>
    <t>202011260072</t>
  </si>
  <si>
    <t>202105170114</t>
  </si>
  <si>
    <t>202108050065</t>
  </si>
  <si>
    <t>202111020068</t>
  </si>
  <si>
    <t>201805255108</t>
  </si>
  <si>
    <t>GC2022030300070</t>
  </si>
  <si>
    <t>202107020081</t>
  </si>
  <si>
    <t>202106150097</t>
  </si>
  <si>
    <t>201803254479</t>
  </si>
  <si>
    <t>202106300124</t>
  </si>
  <si>
    <t>202105080068</t>
  </si>
  <si>
    <t>202107050040</t>
  </si>
  <si>
    <t>202111010040</t>
  </si>
  <si>
    <t>202107260156</t>
  </si>
  <si>
    <t>202106170020</t>
  </si>
  <si>
    <t>202006080021</t>
  </si>
  <si>
    <t>202010260153</t>
  </si>
  <si>
    <t>202106160141</t>
  </si>
  <si>
    <t>202106070051</t>
  </si>
  <si>
    <t>202107290070</t>
  </si>
  <si>
    <t>202105060102</t>
  </si>
  <si>
    <t>201907199439</t>
  </si>
  <si>
    <t>202107090136</t>
  </si>
  <si>
    <t>202107260137</t>
  </si>
  <si>
    <t>202108310141</t>
  </si>
  <si>
    <t>202106010096</t>
  </si>
  <si>
    <t>202107280017</t>
  </si>
  <si>
    <t>202105170044</t>
  </si>
  <si>
    <t>202108270191</t>
  </si>
  <si>
    <t>202107280044</t>
  </si>
  <si>
    <t>202105250164</t>
  </si>
  <si>
    <t>202103050031</t>
  </si>
  <si>
    <t>202105060026</t>
  </si>
  <si>
    <t>202108160045</t>
  </si>
  <si>
    <t>202108200095</t>
  </si>
  <si>
    <t>202107260067</t>
  </si>
  <si>
    <t>2019111911432</t>
  </si>
  <si>
    <t>201711223366</t>
  </si>
  <si>
    <t>201904168227</t>
  </si>
  <si>
    <t>202107260117</t>
  </si>
  <si>
    <t>202106160145</t>
  </si>
  <si>
    <t>202007280110</t>
  </si>
  <si>
    <t>202105240099</t>
  </si>
  <si>
    <t>202112020050</t>
  </si>
  <si>
    <t>202107090089</t>
  </si>
  <si>
    <t>202202210053</t>
  </si>
  <si>
    <t>202105060145</t>
  </si>
  <si>
    <t>202106090065</t>
  </si>
  <si>
    <t>201907089280</t>
  </si>
  <si>
    <t>202106070100</t>
  </si>
  <si>
    <t>202012160150</t>
  </si>
  <si>
    <t>202105270029</t>
  </si>
  <si>
    <t>202108050054</t>
  </si>
  <si>
    <t>202011230075</t>
  </si>
  <si>
    <t>202108040043</t>
  </si>
  <si>
    <t>202108250044</t>
  </si>
  <si>
    <t>202110280059</t>
  </si>
  <si>
    <t>202103190021</t>
  </si>
  <si>
    <t>201905138502</t>
  </si>
  <si>
    <t>202106300015</t>
  </si>
  <si>
    <t>GG2021112500023</t>
  </si>
  <si>
    <t>202011250148</t>
  </si>
  <si>
    <t>202107050023</t>
  </si>
  <si>
    <t>202010220126</t>
  </si>
  <si>
    <t>202008240108</t>
  </si>
  <si>
    <t>202111030012</t>
  </si>
  <si>
    <t>202107090160</t>
  </si>
  <si>
    <t>202010120125</t>
  </si>
  <si>
    <t>202104250151</t>
  </si>
  <si>
    <t>202006090100</t>
  </si>
  <si>
    <t>201906068879</t>
  </si>
  <si>
    <t>201805215038</t>
  </si>
  <si>
    <t>202108260044</t>
  </si>
  <si>
    <t>202103240137</t>
  </si>
  <si>
    <t>202107010084</t>
  </si>
  <si>
    <t>202105260135</t>
  </si>
  <si>
    <t>202011260091</t>
  </si>
  <si>
    <t>202110290137</t>
  </si>
  <si>
    <t>GC2022030800021</t>
  </si>
  <si>
    <t>GC2022030800101</t>
  </si>
  <si>
    <t>202108060109</t>
  </si>
  <si>
    <t>2019102310921</t>
  </si>
  <si>
    <t>202107260056</t>
  </si>
  <si>
    <t>202112150125</t>
  </si>
  <si>
    <t>202106290024</t>
  </si>
  <si>
    <t>202011240172</t>
  </si>
  <si>
    <t>202208020057</t>
  </si>
  <si>
    <t>202109220074</t>
  </si>
  <si>
    <t>202008170035</t>
  </si>
  <si>
    <t>202111110120</t>
  </si>
  <si>
    <t>202105310040</t>
  </si>
  <si>
    <t>202008250097</t>
  </si>
  <si>
    <t>202108100156</t>
  </si>
  <si>
    <t>GC2022102610208</t>
  </si>
  <si>
    <t>202108170206</t>
  </si>
  <si>
    <t>202108160163</t>
  </si>
  <si>
    <t>202108130039</t>
  </si>
  <si>
    <t>202108230125</t>
  </si>
  <si>
    <t>201711273432</t>
  </si>
  <si>
    <t>201711273440</t>
  </si>
  <si>
    <t>202103240105</t>
  </si>
  <si>
    <t>202108080022</t>
  </si>
  <si>
    <t>202112010091</t>
  </si>
  <si>
    <t>202107090085</t>
  </si>
  <si>
    <t>202109100176</t>
  </si>
  <si>
    <t>201803194390</t>
  </si>
  <si>
    <t>202105310032</t>
  </si>
  <si>
    <t>GC2022072510110</t>
  </si>
  <si>
    <t>GC2022092010057</t>
  </si>
  <si>
    <t>202105190145</t>
  </si>
  <si>
    <t>2020021812595</t>
  </si>
  <si>
    <t>202203020045</t>
  </si>
  <si>
    <t>GG2022011700051</t>
  </si>
  <si>
    <t>202109060180</t>
  </si>
  <si>
    <t>202111240131</t>
  </si>
  <si>
    <t>202207140072</t>
  </si>
  <si>
    <t>GG2021121500053</t>
  </si>
  <si>
    <t>202105270157</t>
  </si>
  <si>
    <t>202205170007</t>
  </si>
  <si>
    <t>202202110007</t>
  </si>
  <si>
    <t>2020032512870</t>
  </si>
  <si>
    <t>GC2022033000007</t>
  </si>
  <si>
    <t>GC2022042600112</t>
  </si>
  <si>
    <t>GC2022101710109</t>
  </si>
  <si>
    <t>GC2022111510022</t>
  </si>
  <si>
    <t>GG2022042700059</t>
  </si>
  <si>
    <t>202106100103</t>
  </si>
  <si>
    <t>202108190186</t>
  </si>
  <si>
    <t>202101060019</t>
  </si>
  <si>
    <t>GC2022081210153</t>
  </si>
  <si>
    <t>202202110024</t>
  </si>
  <si>
    <t>202106170099</t>
  </si>
  <si>
    <t>202106010131</t>
  </si>
  <si>
    <t>202108100170</t>
  </si>
  <si>
    <t>GC2022102110050</t>
  </si>
  <si>
    <t>GC2022072210103</t>
  </si>
  <si>
    <t>202106100078</t>
  </si>
  <si>
    <t>2020032412866</t>
  </si>
  <si>
    <t>202103180055</t>
  </si>
  <si>
    <t>GC2022070710092</t>
  </si>
  <si>
    <t>202110010001</t>
  </si>
  <si>
    <t>GG2021101500007</t>
  </si>
  <si>
    <t>GC2022091110003</t>
  </si>
  <si>
    <t>GC2022021400051</t>
  </si>
  <si>
    <t>GC2022022800123</t>
  </si>
  <si>
    <t>GC2022021600028</t>
  </si>
  <si>
    <t>GC2022060210077</t>
  </si>
  <si>
    <t>GC2022062010001</t>
  </si>
  <si>
    <t>GC2022082210073</t>
  </si>
  <si>
    <t>GG2022031800024</t>
  </si>
  <si>
    <t>202106210110</t>
  </si>
  <si>
    <t>202111140022</t>
  </si>
  <si>
    <t>GC2022081010124</t>
  </si>
  <si>
    <t>GC2022070110032</t>
  </si>
  <si>
    <t>GC2022072610111</t>
  </si>
  <si>
    <t>202101290028</t>
  </si>
  <si>
    <t>202109060254</t>
  </si>
  <si>
    <t>202103190036</t>
  </si>
  <si>
    <t>202109040022</t>
  </si>
  <si>
    <t>GC2022080910128</t>
  </si>
  <si>
    <t>GC2022070610074</t>
  </si>
  <si>
    <t>202203140061</t>
  </si>
  <si>
    <t>202104060057</t>
  </si>
  <si>
    <t>202204210052</t>
  </si>
  <si>
    <t>202105080060</t>
  </si>
  <si>
    <t>GC2022071810053</t>
  </si>
  <si>
    <t>202203110100</t>
  </si>
  <si>
    <t>202103260111</t>
  </si>
  <si>
    <t>202111240160</t>
  </si>
  <si>
    <t>202112290119</t>
  </si>
  <si>
    <t>GC2022012400061</t>
  </si>
  <si>
    <t>GC2022022500028</t>
  </si>
  <si>
    <t>GC2022040700052</t>
  </si>
  <si>
    <t>GC2022060810029</t>
  </si>
  <si>
    <t>GG2021110800046</t>
  </si>
  <si>
    <t>GG2021112400032</t>
  </si>
  <si>
    <t>GG2021121400070</t>
  </si>
  <si>
    <t>GG2022060610107</t>
  </si>
  <si>
    <t>202112150137</t>
  </si>
  <si>
    <t>202105080049</t>
  </si>
  <si>
    <t>202103190175</t>
  </si>
  <si>
    <t>202103150115</t>
  </si>
  <si>
    <t>202112020037</t>
  </si>
  <si>
    <t>202101290103</t>
  </si>
  <si>
    <t>202104080071</t>
  </si>
  <si>
    <t>GG2022041800010</t>
  </si>
  <si>
    <t>GC2022101010086</t>
  </si>
  <si>
    <t>GC2022030800110</t>
  </si>
  <si>
    <t>GC2022091410144</t>
  </si>
  <si>
    <t>GG2022030800026</t>
  </si>
  <si>
    <t>202105210093</t>
  </si>
  <si>
    <t>202110130092</t>
  </si>
  <si>
    <t>202104130011</t>
  </si>
  <si>
    <t>202106240055</t>
  </si>
  <si>
    <t>202108090021</t>
  </si>
  <si>
    <t>202206270089</t>
  </si>
  <si>
    <t>202103300008</t>
  </si>
  <si>
    <t>202103110153</t>
  </si>
  <si>
    <t>202104020011</t>
  </si>
  <si>
    <t>202111030027</t>
  </si>
  <si>
    <t>GG2021120400005</t>
  </si>
  <si>
    <t>GC2022080910005</t>
  </si>
  <si>
    <t>GC2022080910031</t>
  </si>
  <si>
    <t>GG2022011700002</t>
  </si>
  <si>
    <t>202108290061</t>
  </si>
  <si>
    <t>GC2022030900010</t>
  </si>
  <si>
    <t>202112140131</t>
  </si>
  <si>
    <t>202112160135</t>
  </si>
  <si>
    <t>GC2022032300077</t>
  </si>
  <si>
    <t>GC2022081210160</t>
  </si>
  <si>
    <t>202110120118</t>
  </si>
  <si>
    <t>202103300134</t>
  </si>
  <si>
    <t>GC2022090210022</t>
  </si>
  <si>
    <t>202101190044</t>
  </si>
  <si>
    <t>202101150078</t>
  </si>
  <si>
    <t>GC2022031300015</t>
  </si>
  <si>
    <t>GG2022030200015</t>
  </si>
  <si>
    <t>202105100084</t>
  </si>
  <si>
    <t>202106100053</t>
  </si>
  <si>
    <t>202110280133</t>
  </si>
  <si>
    <t>GC2022091310190</t>
  </si>
  <si>
    <t>202109010093</t>
  </si>
  <si>
    <t>202106180025</t>
  </si>
  <si>
    <t>202111100050</t>
  </si>
  <si>
    <t>202103310084</t>
  </si>
  <si>
    <t>202112140145</t>
  </si>
  <si>
    <t>GG2022042900055</t>
  </si>
  <si>
    <t>GG2022080510089</t>
  </si>
  <si>
    <t>GC2022060210034</t>
  </si>
  <si>
    <t>202110150107</t>
  </si>
  <si>
    <t>GG2022070810002</t>
  </si>
  <si>
    <t>202107010053</t>
  </si>
  <si>
    <t>GC2022090710114</t>
  </si>
  <si>
    <t>GC2022020800043</t>
  </si>
  <si>
    <t>202104230025</t>
  </si>
  <si>
    <t>GC2022060210020</t>
  </si>
  <si>
    <t>GG2021111800010</t>
  </si>
  <si>
    <t>GG2022041100007</t>
  </si>
  <si>
    <t>GG2022072610105</t>
  </si>
  <si>
    <t>202112280029</t>
  </si>
  <si>
    <t>PT2022011000094</t>
  </si>
  <si>
    <t>202104010096</t>
  </si>
  <si>
    <t>GG2022080110016</t>
  </si>
  <si>
    <t>GC2022060210043</t>
  </si>
  <si>
    <t>202108230014</t>
  </si>
  <si>
    <t>202110020006</t>
  </si>
  <si>
    <t>202108250135</t>
  </si>
  <si>
    <t>202109280236</t>
  </si>
  <si>
    <t>GC2022042000045</t>
  </si>
  <si>
    <t>GC2022101810024</t>
  </si>
  <si>
    <t>GC2022062410020</t>
  </si>
  <si>
    <t>202110080136</t>
  </si>
  <si>
    <t>GC2022082210110</t>
  </si>
  <si>
    <t>GC2022102410103</t>
  </si>
  <si>
    <t>202110090013</t>
  </si>
  <si>
    <t>202104060160</t>
  </si>
  <si>
    <t>202109110029</t>
  </si>
  <si>
    <t>GC2022071610038</t>
  </si>
  <si>
    <t>GG2022011700042</t>
  </si>
  <si>
    <t>202112240053</t>
  </si>
  <si>
    <t>GC2022021000026</t>
  </si>
  <si>
    <t>GC2022022500053</t>
  </si>
  <si>
    <t>GC2022030300061</t>
  </si>
  <si>
    <t>GC2022030800015</t>
  </si>
  <si>
    <t>GC2022032300082</t>
  </si>
  <si>
    <t>GC2022040600033</t>
  </si>
  <si>
    <t>GC2022041100047</t>
  </si>
  <si>
    <t>GC2022041100053</t>
  </si>
  <si>
    <t>GC2022070610044</t>
  </si>
  <si>
    <t>GC2022072610176</t>
  </si>
  <si>
    <t>GC2022082310114</t>
  </si>
  <si>
    <t>GC2022090610088</t>
  </si>
  <si>
    <t>GC2022090710078</t>
  </si>
  <si>
    <t>GC2022092310093</t>
  </si>
  <si>
    <t>GC2022092810022</t>
  </si>
  <si>
    <t>GG2022052400013</t>
  </si>
  <si>
    <t>GG2022110210040</t>
  </si>
  <si>
    <t>GC2022092810019</t>
  </si>
  <si>
    <t>202103030054</t>
  </si>
  <si>
    <t>GC2022082210113</t>
  </si>
  <si>
    <t>GG2022012100038</t>
  </si>
  <si>
    <t>202112130052</t>
  </si>
  <si>
    <t>GC2022083110033</t>
  </si>
  <si>
    <t>GC2022093010005</t>
  </si>
  <si>
    <t>GC2022102410146</t>
  </si>
  <si>
    <t>GC2022011500003</t>
  </si>
  <si>
    <t>GC2022060210068</t>
  </si>
  <si>
    <t>202106050055</t>
  </si>
  <si>
    <t>202112230131</t>
  </si>
  <si>
    <t>202109080187</t>
  </si>
  <si>
    <t>GC2022102410056</t>
  </si>
  <si>
    <t>GC2022063010051</t>
  </si>
  <si>
    <t>GC2022072710050</t>
  </si>
  <si>
    <t>GC2022033100084</t>
  </si>
  <si>
    <t>GC2022101910070</t>
  </si>
  <si>
    <t>GG2021110700003</t>
  </si>
  <si>
    <t>202110080081</t>
  </si>
  <si>
    <t>202110070014</t>
  </si>
  <si>
    <t>GG2021102500003</t>
  </si>
  <si>
    <t>202112210086</t>
  </si>
  <si>
    <t>GC2022070510088</t>
  </si>
  <si>
    <t>GC2022091410145</t>
  </si>
  <si>
    <t>GC2022091910043</t>
  </si>
  <si>
    <t>GC2022092710069</t>
  </si>
  <si>
    <t>GC2022101210136</t>
  </si>
  <si>
    <t>GG2021111800032</t>
  </si>
  <si>
    <t>GG2021112300026</t>
  </si>
  <si>
    <t>GG2021120400004</t>
  </si>
  <si>
    <t>GG2021122200019</t>
  </si>
  <si>
    <t>202106150101</t>
  </si>
  <si>
    <t>GG2022022600015</t>
  </si>
  <si>
    <t>202104010148</t>
  </si>
  <si>
    <t>202203300064</t>
  </si>
  <si>
    <t>202204220006</t>
  </si>
  <si>
    <t>202110220039</t>
  </si>
  <si>
    <t>202108040145</t>
  </si>
  <si>
    <t>GC2022032300103</t>
  </si>
  <si>
    <t>GC2022092810209</t>
  </si>
  <si>
    <t>202104230033</t>
  </si>
  <si>
    <t>202109220108</t>
  </si>
  <si>
    <t>GG2022041800084</t>
  </si>
  <si>
    <t>GC2022070610059</t>
  </si>
  <si>
    <t>GC2022081210156</t>
  </si>
  <si>
    <t>202107010121</t>
  </si>
  <si>
    <t>202106090066</t>
  </si>
  <si>
    <t>202105030003</t>
  </si>
  <si>
    <t>202208120020</t>
  </si>
  <si>
    <t>GC2022090710082</t>
  </si>
  <si>
    <t>GC2022100210016</t>
  </si>
  <si>
    <t>GC2022102010184</t>
  </si>
  <si>
    <t>GG2021122800042</t>
  </si>
  <si>
    <t>GG2022083010003</t>
  </si>
  <si>
    <t>GG2022092710127</t>
  </si>
  <si>
    <t>GG2022101710099</t>
  </si>
  <si>
    <t>202108030155</t>
  </si>
  <si>
    <t>202108120123</t>
  </si>
  <si>
    <t>202110080068</t>
  </si>
  <si>
    <t>202111220137</t>
  </si>
  <si>
    <t>GC2022120710157</t>
  </si>
  <si>
    <t>GG2021120400003</t>
  </si>
  <si>
    <t>GG2021122100050</t>
  </si>
  <si>
    <t>202205090027</t>
  </si>
  <si>
    <t>202105240189</t>
  </si>
  <si>
    <t>202112090089</t>
  </si>
  <si>
    <t>GC2022022200127</t>
  </si>
  <si>
    <t>202208230073</t>
  </si>
  <si>
    <t>GC2022022500097</t>
  </si>
  <si>
    <t>202104060093</t>
  </si>
  <si>
    <t>202206170078</t>
  </si>
  <si>
    <t>202102220056</t>
  </si>
  <si>
    <t>202105100104</t>
  </si>
  <si>
    <t>202108250217</t>
  </si>
  <si>
    <t>202108170193</t>
  </si>
  <si>
    <t>202109210064</t>
  </si>
  <si>
    <t>GC2022050400016</t>
  </si>
  <si>
    <t>GC2022072410014</t>
  </si>
  <si>
    <t>GC2022081610176</t>
  </si>
  <si>
    <t>GC2022082410085</t>
  </si>
  <si>
    <t>GC2022090910025</t>
  </si>
  <si>
    <t>GC2022110210160</t>
  </si>
  <si>
    <t>GG2022030200080</t>
  </si>
  <si>
    <t>GG2022072710045</t>
  </si>
  <si>
    <t>GG2022101410074</t>
  </si>
  <si>
    <t>202210090044</t>
  </si>
  <si>
    <t>PT2022050200002</t>
  </si>
  <si>
    <t>GC2022072110106</t>
  </si>
  <si>
    <t>GC2022120810142</t>
  </si>
  <si>
    <t>202110260144</t>
  </si>
  <si>
    <t>GC2022100210012</t>
  </si>
  <si>
    <t>202108290058</t>
  </si>
  <si>
    <t>GC2022101710121</t>
  </si>
  <si>
    <t>PT2022032700002</t>
  </si>
  <si>
    <t>GC2022092410007</t>
  </si>
  <si>
    <t>202108310028</t>
  </si>
  <si>
    <t>GC2022102410172</t>
  </si>
  <si>
    <t>GG2021111800019</t>
  </si>
  <si>
    <t>GG2022011400010</t>
  </si>
  <si>
    <t>GG2022030200054</t>
  </si>
  <si>
    <t>201904048066</t>
  </si>
  <si>
    <t>202111200011</t>
  </si>
  <si>
    <t>202202160039</t>
  </si>
  <si>
    <t>GC2022101710024</t>
  </si>
  <si>
    <t>GC2022110310036</t>
  </si>
  <si>
    <t>GC2022063010018</t>
  </si>
  <si>
    <t>202103090028</t>
  </si>
  <si>
    <t>202105200045</t>
  </si>
  <si>
    <t>202104220202</t>
  </si>
  <si>
    <t>GG2022042700003</t>
  </si>
  <si>
    <t>GC2022060210120</t>
  </si>
  <si>
    <t>GC2022090510070</t>
  </si>
  <si>
    <t>GC2022102110049</t>
  </si>
  <si>
    <t>GG2021121400075</t>
  </si>
  <si>
    <t>GG2022021400006</t>
  </si>
  <si>
    <t>GG2022060810012</t>
  </si>
  <si>
    <t>GG2022062810134</t>
  </si>
  <si>
    <t>GG2022071610037</t>
  </si>
  <si>
    <t>GG2022072810122</t>
  </si>
  <si>
    <t>GG2022090110072</t>
  </si>
  <si>
    <t>GC2022090210019</t>
  </si>
  <si>
    <t>202112120012</t>
  </si>
  <si>
    <t>GC2022092210090</t>
  </si>
  <si>
    <t>GG2021121700032</t>
  </si>
  <si>
    <t>GG2022080910130</t>
  </si>
  <si>
    <t>GG2022090810129</t>
  </si>
  <si>
    <t>GG2022102610138</t>
  </si>
  <si>
    <t>GG2022090910047</t>
  </si>
  <si>
    <t>202111100127</t>
  </si>
  <si>
    <t>GC2022030300053</t>
  </si>
  <si>
    <t>GC2022061510075</t>
  </si>
  <si>
    <t>GC2022082110011</t>
  </si>
  <si>
    <t>GG2022010600083</t>
  </si>
  <si>
    <t>GG2022011100025</t>
  </si>
  <si>
    <t>202108240142</t>
  </si>
  <si>
    <t>202102250114</t>
  </si>
  <si>
    <t>GC2022091510115</t>
  </si>
  <si>
    <t>GC2022092710205</t>
  </si>
  <si>
    <t>GG2021111000010</t>
  </si>
  <si>
    <t>GG2021122500003</t>
  </si>
  <si>
    <t>GG2022011400053</t>
  </si>
  <si>
    <t>GG2021110300034</t>
  </si>
  <si>
    <t>202204110062</t>
  </si>
  <si>
    <t>GC2022062710031</t>
  </si>
  <si>
    <t>GG2022111110074</t>
  </si>
  <si>
    <t>GC2022032900044</t>
  </si>
  <si>
    <t>202103090061</t>
  </si>
  <si>
    <t>202108310119</t>
  </si>
  <si>
    <t>202108240070</t>
  </si>
  <si>
    <t>202101260051</t>
  </si>
  <si>
    <t>GC2022011700085</t>
  </si>
  <si>
    <t>202203240061</t>
  </si>
  <si>
    <t>GC2022091310144</t>
  </si>
  <si>
    <t>GC2022031500076</t>
  </si>
  <si>
    <t>202103220095</t>
  </si>
  <si>
    <t>GC2022062010088</t>
  </si>
  <si>
    <t>GG2022060810048</t>
  </si>
  <si>
    <t>GG2022082410140</t>
  </si>
  <si>
    <t>GG2022090610135</t>
  </si>
  <si>
    <t>GG2022092210066</t>
  </si>
  <si>
    <t>GG2022102410153</t>
  </si>
  <si>
    <t>202109230198</t>
  </si>
  <si>
    <t>202106040173</t>
  </si>
  <si>
    <t>202102190102</t>
  </si>
  <si>
    <t>GG2021110700002</t>
  </si>
  <si>
    <t>202101200038</t>
  </si>
  <si>
    <t>GG2022032100014</t>
  </si>
  <si>
    <t>GC2022012100022</t>
  </si>
  <si>
    <t>202110120131</t>
  </si>
  <si>
    <t>GC2022072010051</t>
  </si>
  <si>
    <t>GC2022072610022</t>
  </si>
  <si>
    <t>GC2022072610169</t>
  </si>
  <si>
    <t>GC2022080310021</t>
  </si>
  <si>
    <t>GC2022100810042</t>
  </si>
  <si>
    <t>GG2021120600047</t>
  </si>
  <si>
    <t>GG2021122200054</t>
  </si>
  <si>
    <t>GG2022090910068</t>
  </si>
  <si>
    <t>202103240035</t>
  </si>
  <si>
    <t>GC2022070810025</t>
  </si>
  <si>
    <t>GC2022091510092</t>
  </si>
  <si>
    <t>202109070108</t>
  </si>
  <si>
    <t>202111020099</t>
  </si>
  <si>
    <t>202102010050</t>
  </si>
  <si>
    <t>GG2021122700083</t>
  </si>
  <si>
    <t>202105210123</t>
  </si>
  <si>
    <t>202103190069</t>
  </si>
  <si>
    <t>202110130008</t>
  </si>
  <si>
    <t>202102050018</t>
  </si>
  <si>
    <t>202101240002</t>
  </si>
  <si>
    <t>202103020092</t>
  </si>
  <si>
    <t>202103290107</t>
  </si>
  <si>
    <t>GG2022051600037</t>
  </si>
  <si>
    <t>202107190159</t>
  </si>
  <si>
    <t>GG2022030300034</t>
  </si>
  <si>
    <t>GC2022032100012</t>
  </si>
  <si>
    <t>GG2022051800049</t>
  </si>
  <si>
    <t>GG2022081110008</t>
  </si>
  <si>
    <t>GG2022092010097</t>
  </si>
  <si>
    <t>GG2022112810058</t>
  </si>
  <si>
    <t>202103140033</t>
  </si>
  <si>
    <t>202103180041</t>
  </si>
  <si>
    <t>202103180156</t>
  </si>
  <si>
    <t>202106150045</t>
  </si>
  <si>
    <t>202103180015</t>
  </si>
  <si>
    <t>GG2021112900015</t>
  </si>
  <si>
    <t>GG2022022600040</t>
  </si>
  <si>
    <t>202101250042</t>
  </si>
  <si>
    <t>201803054269</t>
  </si>
  <si>
    <t>GG2022092210076</t>
  </si>
  <si>
    <t>GG2022092910087</t>
  </si>
  <si>
    <t>GG2022092010061</t>
  </si>
  <si>
    <t>202108160081</t>
  </si>
  <si>
    <t>202104020066</t>
  </si>
  <si>
    <t>202107050101</t>
  </si>
  <si>
    <t>202102250155</t>
  </si>
  <si>
    <t>202103210012</t>
  </si>
  <si>
    <t>202110080071</t>
  </si>
  <si>
    <t>202106300170</t>
  </si>
  <si>
    <t>GG2022092010114</t>
  </si>
  <si>
    <t>202105070097</t>
  </si>
  <si>
    <t>CX2022082810026</t>
  </si>
  <si>
    <t>CX2022081310042</t>
  </si>
  <si>
    <t>CX2022051200089</t>
  </si>
  <si>
    <t>CX2022051400019</t>
  </si>
  <si>
    <t>GC2022040900003</t>
  </si>
  <si>
    <t>CX2022051800002</t>
  </si>
  <si>
    <t>CX2022060410011</t>
  </si>
  <si>
    <t>CX2022051800127</t>
  </si>
  <si>
    <t>CX2022053100016</t>
  </si>
  <si>
    <t>CX2022051800110</t>
  </si>
  <si>
    <t>CX2022051400012</t>
  </si>
  <si>
    <t>CX2022053100052</t>
  </si>
  <si>
    <t>CX2022060610099</t>
  </si>
  <si>
    <t>CX2022051600013</t>
  </si>
  <si>
    <t>CX2022053000004</t>
  </si>
  <si>
    <t>CX2022051700042</t>
  </si>
  <si>
    <t>CX2022053100065</t>
  </si>
  <si>
    <t>CX2022052700051</t>
  </si>
  <si>
    <t>CX2022053100062</t>
  </si>
  <si>
    <t>CX2022060710042</t>
  </si>
  <si>
    <t>CX2022053100045</t>
  </si>
  <si>
    <t>CX2022060610138</t>
  </si>
  <si>
    <t>CX2022051600092</t>
  </si>
  <si>
    <t>CX2022053100070</t>
  </si>
  <si>
    <t>CX2022053100049</t>
  </si>
  <si>
    <t>2020031612782</t>
  </si>
  <si>
    <t>虚拟合同</t>
  </si>
  <si>
    <t>201805295136</t>
  </si>
  <si>
    <t>201803074291</t>
  </si>
  <si>
    <t>201804164691</t>
  </si>
  <si>
    <t>201710183043</t>
  </si>
  <si>
    <t>201806285398</t>
  </si>
  <si>
    <t>201803264484</t>
  </si>
  <si>
    <t>201804204744</t>
  </si>
  <si>
    <t>201712043539</t>
  </si>
  <si>
    <t>201802054167</t>
  </si>
  <si>
    <t>201902287580</t>
  </si>
  <si>
    <t>2019092310480</t>
  </si>
  <si>
    <t>201803294567</t>
  </si>
  <si>
    <t>201804194731</t>
  </si>
  <si>
    <t>201801264099</t>
  </si>
  <si>
    <t>201711243403</t>
  </si>
  <si>
    <t>202103080023</t>
  </si>
  <si>
    <t>201806275380</t>
  </si>
  <si>
    <t>201711143263</t>
  </si>
  <si>
    <t>201712253806</t>
  </si>
  <si>
    <t>201712263817</t>
  </si>
  <si>
    <t>201803204407</t>
  </si>
  <si>
    <t>201908279990</t>
  </si>
  <si>
    <t>201711133251</t>
  </si>
  <si>
    <t>201805174996</t>
  </si>
  <si>
    <t>201801264103</t>
  </si>
  <si>
    <t>201804234778</t>
  </si>
  <si>
    <t>201908229924</t>
  </si>
  <si>
    <t>201712063594</t>
  </si>
  <si>
    <t>201712083648</t>
  </si>
  <si>
    <t>201801113960</t>
  </si>
  <si>
    <t>201905298742</t>
  </si>
  <si>
    <t>201801163995</t>
  </si>
  <si>
    <t>201711283464</t>
  </si>
  <si>
    <t>2019112911621</t>
  </si>
  <si>
    <t>201805154981</t>
  </si>
  <si>
    <t>201804234773</t>
  </si>
  <si>
    <t>201711073188</t>
  </si>
  <si>
    <t>2019101210720</t>
  </si>
  <si>
    <t>201907129341</t>
  </si>
  <si>
    <t>201803194395</t>
  </si>
  <si>
    <t>201803224457</t>
  </si>
  <si>
    <t>201801294114</t>
  </si>
  <si>
    <t>201803274536</t>
  </si>
  <si>
    <t>2019092710543</t>
  </si>
  <si>
    <t>201803264497</t>
  </si>
  <si>
    <t>201805235082</t>
  </si>
  <si>
    <t>201801264100</t>
  </si>
  <si>
    <t>2019101910839</t>
  </si>
  <si>
    <t>201805174999</t>
  </si>
  <si>
    <t>201803194402</t>
  </si>
  <si>
    <t>201805024850</t>
  </si>
  <si>
    <t>201806215313</t>
  </si>
  <si>
    <t>201805305139</t>
  </si>
  <si>
    <t>201803214443</t>
  </si>
  <si>
    <t>201805074927</t>
  </si>
  <si>
    <t>201805024857</t>
  </si>
  <si>
    <t>201805245088</t>
  </si>
  <si>
    <t>201805175002</t>
  </si>
  <si>
    <t>202007240126</t>
  </si>
  <si>
    <t>201803224456</t>
  </si>
  <si>
    <t>201712253813</t>
  </si>
  <si>
    <t>201806225327</t>
  </si>
  <si>
    <t>202005190012</t>
  </si>
  <si>
    <t>201712083649</t>
  </si>
  <si>
    <t>201906128970</t>
  </si>
  <si>
    <t>201805245089</t>
  </si>
  <si>
    <t>2019110811283</t>
  </si>
  <si>
    <t>201803264485</t>
  </si>
  <si>
    <t>201712193743</t>
  </si>
  <si>
    <t>202006220079</t>
  </si>
  <si>
    <t>202101150062</t>
  </si>
  <si>
    <t>2019091610370</t>
  </si>
  <si>
    <t>201801163996</t>
  </si>
  <si>
    <t>2020042813296</t>
  </si>
  <si>
    <t>201905248672</t>
  </si>
  <si>
    <t>202010260110</t>
  </si>
  <si>
    <t>201803264504</t>
  </si>
  <si>
    <t>201901307369</t>
  </si>
  <si>
    <t>201712283894</t>
  </si>
  <si>
    <t>201804194733</t>
  </si>
  <si>
    <t>201805114960</t>
  </si>
  <si>
    <t>202009100057</t>
  </si>
  <si>
    <t>202106180066</t>
  </si>
  <si>
    <t>2019100810609</t>
  </si>
  <si>
    <t>202103110042</t>
  </si>
  <si>
    <t>202104180021</t>
  </si>
  <si>
    <t>202105100148</t>
  </si>
  <si>
    <t>202008070033</t>
  </si>
  <si>
    <t>202010210080</t>
  </si>
  <si>
    <t>202007280072</t>
  </si>
  <si>
    <t>202008190159</t>
  </si>
  <si>
    <t>201812206987</t>
  </si>
  <si>
    <t>201711163299</t>
  </si>
  <si>
    <t>202009100078</t>
  </si>
  <si>
    <t>2019092510519</t>
  </si>
  <si>
    <t>202008100117</t>
  </si>
  <si>
    <t>202012190049</t>
  </si>
  <si>
    <t>201903287961</t>
  </si>
  <si>
    <t>202007150105</t>
  </si>
  <si>
    <t>202105160038</t>
  </si>
  <si>
    <t>202101060010</t>
  </si>
  <si>
    <t>202007280083</t>
  </si>
  <si>
    <t>202011130033</t>
  </si>
  <si>
    <t>202009080162</t>
  </si>
  <si>
    <t>202010120129</t>
  </si>
  <si>
    <t>202007280076</t>
  </si>
  <si>
    <t>202009110086</t>
  </si>
  <si>
    <t>201905318782</t>
  </si>
  <si>
    <t>201907049246</t>
  </si>
  <si>
    <t>202011100109</t>
  </si>
  <si>
    <t>202108130037</t>
  </si>
  <si>
    <t>201907089271</t>
  </si>
  <si>
    <t>2019101110699</t>
  </si>
  <si>
    <t>202008140150</t>
  </si>
  <si>
    <t>202009040064</t>
  </si>
  <si>
    <t>202010220013</t>
  </si>
  <si>
    <t>202008280173</t>
  </si>
  <si>
    <t>202009080124</t>
  </si>
  <si>
    <t>202008310021</t>
  </si>
  <si>
    <t>202105180160</t>
  </si>
  <si>
    <t>202007090060</t>
  </si>
  <si>
    <t>202007060116</t>
  </si>
  <si>
    <t>202008280036</t>
  </si>
  <si>
    <t>201907179384</t>
  </si>
  <si>
    <t>202011200009</t>
  </si>
  <si>
    <t>202007290115</t>
  </si>
  <si>
    <t>201908099725</t>
  </si>
  <si>
    <t>202107210136</t>
  </si>
  <si>
    <t>202106280139</t>
  </si>
  <si>
    <t>202102200031</t>
  </si>
  <si>
    <t>202106050065</t>
  </si>
  <si>
    <t>201902157449</t>
  </si>
  <si>
    <t>201803154367</t>
  </si>
  <si>
    <t>202008070044</t>
  </si>
  <si>
    <t>202107020080</t>
  </si>
  <si>
    <t>202110260181</t>
  </si>
  <si>
    <t>202108150034</t>
  </si>
  <si>
    <t>202007300089</t>
  </si>
  <si>
    <t>202008200082</t>
  </si>
  <si>
    <t>202011100080</t>
  </si>
  <si>
    <t>201803124329</t>
  </si>
  <si>
    <t>202103090024</t>
  </si>
  <si>
    <t>202005190029</t>
  </si>
  <si>
    <t>202012110024</t>
  </si>
  <si>
    <t>202102070055</t>
  </si>
  <si>
    <t>202103280024</t>
  </si>
  <si>
    <t>202105200110</t>
  </si>
  <si>
    <t>202109040007</t>
  </si>
  <si>
    <t>202008190072</t>
  </si>
  <si>
    <t>201903217889</t>
  </si>
  <si>
    <t>202102200023</t>
  </si>
  <si>
    <t>202101080065</t>
  </si>
  <si>
    <t>202102080008</t>
  </si>
  <si>
    <t>201808175743</t>
  </si>
  <si>
    <t>202012110029</t>
  </si>
  <si>
    <t>202105110144</t>
  </si>
  <si>
    <t>202010190011</t>
  </si>
  <si>
    <t>202011230042</t>
  </si>
  <si>
    <t>202009270065</t>
  </si>
  <si>
    <t>202007170028</t>
  </si>
  <si>
    <t>2019092210471</t>
  </si>
  <si>
    <t>202107180031</t>
  </si>
  <si>
    <t>202011240117</t>
  </si>
  <si>
    <t>202009080081</t>
  </si>
  <si>
    <t>202103230143</t>
  </si>
  <si>
    <t>202101250081</t>
  </si>
  <si>
    <t>202104010082</t>
  </si>
  <si>
    <t>202110020009</t>
  </si>
  <si>
    <t>202008210100</t>
  </si>
  <si>
    <t>2020033012914</t>
  </si>
  <si>
    <t>202102180064</t>
  </si>
  <si>
    <t>202111150096</t>
  </si>
  <si>
    <t>202108190213</t>
  </si>
  <si>
    <t>202009080053</t>
  </si>
  <si>
    <t>202009010023</t>
  </si>
  <si>
    <t>202110080165</t>
  </si>
  <si>
    <t>202009240015</t>
  </si>
  <si>
    <t>202101150034</t>
  </si>
  <si>
    <t>202008210093</t>
  </si>
  <si>
    <t>202011120103</t>
  </si>
  <si>
    <t>202012140026</t>
  </si>
  <si>
    <t>201811276739</t>
  </si>
  <si>
    <t>202012010029</t>
  </si>
  <si>
    <t>202105120053</t>
  </si>
  <si>
    <t>202108300222</t>
  </si>
  <si>
    <t>202010140127</t>
  </si>
  <si>
    <t>202107200059</t>
  </si>
  <si>
    <t>202109220206</t>
  </si>
  <si>
    <t>202103210019</t>
  </si>
  <si>
    <t>202104080092</t>
  </si>
  <si>
    <t>202107280131</t>
  </si>
  <si>
    <t>202109270074</t>
  </si>
  <si>
    <t>202008060125</t>
  </si>
  <si>
    <t>202011080023</t>
  </si>
  <si>
    <t>202011110084</t>
  </si>
  <si>
    <t>202010280072</t>
  </si>
  <si>
    <t>202009290021</t>
  </si>
  <si>
    <t>202108130074</t>
  </si>
  <si>
    <t>202009020019</t>
  </si>
  <si>
    <t>202108050015</t>
  </si>
  <si>
    <t>202009110021</t>
  </si>
  <si>
    <t>202011250089</t>
  </si>
  <si>
    <t>202104040020</t>
  </si>
  <si>
    <t>202106070119</t>
  </si>
  <si>
    <t>202103260088</t>
  </si>
  <si>
    <t>202009080153</t>
  </si>
  <si>
    <t>202107240016</t>
  </si>
  <si>
    <t>202011100162</t>
  </si>
  <si>
    <t>202106100085</t>
  </si>
  <si>
    <t>202107270187</t>
  </si>
  <si>
    <t>202107260040</t>
  </si>
  <si>
    <t>202103170178</t>
  </si>
  <si>
    <t>202103310150</t>
  </si>
  <si>
    <t>202109220121</t>
  </si>
  <si>
    <t>2020043013327</t>
  </si>
  <si>
    <t>202101310025</t>
  </si>
  <si>
    <t>202103050072</t>
  </si>
  <si>
    <t>202108240041</t>
  </si>
  <si>
    <t>202109220237</t>
  </si>
  <si>
    <t>202110200048</t>
  </si>
  <si>
    <t>202008280039</t>
  </si>
  <si>
    <t>202103160131</t>
  </si>
  <si>
    <t>2020042513232</t>
  </si>
  <si>
    <t>202102180067</t>
  </si>
  <si>
    <t>202103010083</t>
  </si>
  <si>
    <t>202110220015</t>
  </si>
  <si>
    <t>202110220026</t>
  </si>
  <si>
    <t>2020031012737</t>
  </si>
  <si>
    <t>202006110065</t>
  </si>
  <si>
    <t>202108300069</t>
  </si>
  <si>
    <t>202006220028</t>
  </si>
  <si>
    <t>202108050034</t>
  </si>
  <si>
    <t>202109020095</t>
  </si>
  <si>
    <t>2020032612885</t>
  </si>
  <si>
    <t>202109270249</t>
  </si>
  <si>
    <t>202012230165</t>
  </si>
  <si>
    <t>202010140180</t>
  </si>
  <si>
    <t>2020021712587</t>
  </si>
  <si>
    <t>202104220239</t>
  </si>
  <si>
    <t>202110250038</t>
  </si>
  <si>
    <t>202011270044</t>
  </si>
  <si>
    <t>202012140034</t>
  </si>
  <si>
    <t>202110080084</t>
  </si>
  <si>
    <t>202005290023</t>
  </si>
  <si>
    <t>202103220033</t>
  </si>
  <si>
    <t>202105190146</t>
  </si>
  <si>
    <t>202007170019</t>
  </si>
  <si>
    <t>202012300107</t>
  </si>
  <si>
    <t>202104210042</t>
  </si>
  <si>
    <t>202006090094</t>
  </si>
  <si>
    <t>202105270010</t>
  </si>
  <si>
    <t>202102040026</t>
  </si>
  <si>
    <t>202103170098</t>
  </si>
  <si>
    <t>202103010126</t>
  </si>
  <si>
    <t>202107060119</t>
  </si>
  <si>
    <t>202110090158</t>
  </si>
  <si>
    <t>202012190051</t>
  </si>
  <si>
    <t>202108200092</t>
  </si>
  <si>
    <t>202108200083</t>
  </si>
  <si>
    <t>202008060030</t>
  </si>
  <si>
    <t>202008180033</t>
  </si>
  <si>
    <t>2020030612722</t>
  </si>
  <si>
    <t>202010140182</t>
  </si>
  <si>
    <t>202104150008</t>
  </si>
  <si>
    <t>202108080028</t>
  </si>
  <si>
    <t>202009010009</t>
  </si>
  <si>
    <t>202005150011</t>
  </si>
  <si>
    <t>202107120204</t>
  </si>
  <si>
    <t>202011240127</t>
  </si>
  <si>
    <t>202101290124</t>
  </si>
  <si>
    <t>202011120100</t>
  </si>
  <si>
    <t>202010160077</t>
  </si>
  <si>
    <t>2020043013334</t>
  </si>
  <si>
    <t>202103160133</t>
  </si>
  <si>
    <t>202009220064</t>
  </si>
  <si>
    <t>202011280051</t>
  </si>
  <si>
    <t>202012150103</t>
  </si>
  <si>
    <t>202106040029</t>
  </si>
  <si>
    <t>201906179057</t>
  </si>
  <si>
    <t>202007290047</t>
  </si>
  <si>
    <t>202010230029</t>
  </si>
  <si>
    <t>202109040004</t>
  </si>
  <si>
    <t>202011100161</t>
  </si>
  <si>
    <t>202104130044</t>
  </si>
  <si>
    <t>2020022812682</t>
  </si>
  <si>
    <t>202109160167</t>
  </si>
  <si>
    <t>202008240062</t>
  </si>
  <si>
    <t>202102050071</t>
  </si>
  <si>
    <t>202010310014</t>
  </si>
  <si>
    <t>202110150025</t>
  </si>
  <si>
    <t>202101140057</t>
  </si>
  <si>
    <t>202010290131</t>
  </si>
  <si>
    <t>202103250038</t>
  </si>
  <si>
    <t>202104140137</t>
  </si>
  <si>
    <t>202107260131</t>
  </si>
  <si>
    <t>202103030086</t>
  </si>
  <si>
    <t>202103240090</t>
  </si>
  <si>
    <t>202104040024</t>
  </si>
  <si>
    <t>202104160048</t>
  </si>
  <si>
    <t>202104250067</t>
  </si>
  <si>
    <t>202104270065</t>
  </si>
  <si>
    <t>202105030002</t>
  </si>
  <si>
    <t>202105040008</t>
  </si>
  <si>
    <t>202106240015</t>
  </si>
  <si>
    <t>202108160070</t>
  </si>
  <si>
    <t>202108310115</t>
  </si>
  <si>
    <t>2020050713394</t>
  </si>
  <si>
    <t>202009190014</t>
  </si>
  <si>
    <t>202109030169</t>
  </si>
  <si>
    <t>202006240071</t>
  </si>
  <si>
    <t>201903217890</t>
  </si>
  <si>
    <t>202008300042</t>
  </si>
  <si>
    <t>202009110030</t>
  </si>
  <si>
    <t>202012230046</t>
  </si>
  <si>
    <t>202103150043</t>
  </si>
  <si>
    <t>202012290091</t>
  </si>
  <si>
    <t>202009190042</t>
  </si>
  <si>
    <t>202009190065</t>
  </si>
  <si>
    <t>202109140023</t>
  </si>
  <si>
    <t>202101200060</t>
  </si>
  <si>
    <t>202109150129</t>
  </si>
  <si>
    <t>202103090067</t>
  </si>
  <si>
    <t>202102220068</t>
  </si>
  <si>
    <t>202109270220</t>
  </si>
  <si>
    <t>202104100043</t>
  </si>
  <si>
    <t>202105270095</t>
  </si>
  <si>
    <t>202105300037</t>
  </si>
  <si>
    <t>202107190098</t>
  </si>
  <si>
    <t>2020040312963</t>
  </si>
  <si>
    <t>202012170018</t>
  </si>
  <si>
    <t>202007290073</t>
  </si>
  <si>
    <t>202010200125</t>
  </si>
  <si>
    <t>202012140040</t>
  </si>
  <si>
    <t>202105270021</t>
  </si>
  <si>
    <t>202006090098</t>
  </si>
  <si>
    <t>202104210045</t>
  </si>
  <si>
    <t>202109160157</t>
  </si>
  <si>
    <t>2020050513367</t>
  </si>
  <si>
    <t>202011020106</t>
  </si>
  <si>
    <t>202106110030</t>
  </si>
  <si>
    <t>202101050021</t>
  </si>
  <si>
    <t>202108110175</t>
  </si>
  <si>
    <t>202109030117</t>
  </si>
  <si>
    <t>202106080111</t>
  </si>
  <si>
    <t>202109200016</t>
  </si>
  <si>
    <t>202005150072</t>
  </si>
  <si>
    <t>202012090028</t>
  </si>
  <si>
    <t>202104030009</t>
  </si>
  <si>
    <t>202109270199</t>
  </si>
  <si>
    <t>202110260176</t>
  </si>
  <si>
    <t>202009100107</t>
  </si>
  <si>
    <t>202012110051</t>
  </si>
  <si>
    <t>202101290065</t>
  </si>
  <si>
    <t>202103190034</t>
  </si>
  <si>
    <t>202005140082</t>
  </si>
  <si>
    <t>202011250120</t>
  </si>
  <si>
    <t>202104190224</t>
  </si>
  <si>
    <t>202008190206</t>
  </si>
  <si>
    <t>202012130012</t>
  </si>
  <si>
    <t>202009170048</t>
  </si>
  <si>
    <t>202106020100</t>
  </si>
  <si>
    <t>202006100093</t>
  </si>
  <si>
    <t>202011110108</t>
  </si>
  <si>
    <t>202010210079</t>
  </si>
  <si>
    <t>202103140021</t>
  </si>
  <si>
    <t>202103110006</t>
  </si>
  <si>
    <t>202008190197</t>
  </si>
  <si>
    <t>202012250021</t>
  </si>
  <si>
    <t>202012110042</t>
  </si>
  <si>
    <t>202103220090</t>
  </si>
  <si>
    <t>201804164700</t>
  </si>
  <si>
    <t>202105060118</t>
  </si>
  <si>
    <t>202104180004</t>
  </si>
  <si>
    <t>202104190190</t>
  </si>
  <si>
    <t>202107180028</t>
  </si>
  <si>
    <t>202101210066</t>
  </si>
  <si>
    <t>2020032412857</t>
  </si>
  <si>
    <t>2020042713267</t>
  </si>
  <si>
    <t>202005190006</t>
  </si>
  <si>
    <t>2020033012916</t>
  </si>
  <si>
    <t>202103030059</t>
  </si>
  <si>
    <t>202007230063</t>
  </si>
  <si>
    <t>202103160137</t>
  </si>
  <si>
    <t>202008190192</t>
  </si>
  <si>
    <t>202109270256</t>
  </si>
  <si>
    <t>202012040090</t>
  </si>
  <si>
    <t>202102050073</t>
  </si>
  <si>
    <t>202103310100</t>
  </si>
  <si>
    <t>202104160194</t>
  </si>
  <si>
    <t>202106250120</t>
  </si>
  <si>
    <t>202109180146</t>
  </si>
  <si>
    <t>202109230134</t>
  </si>
  <si>
    <t>202011190108</t>
  </si>
  <si>
    <t>2020020512451</t>
  </si>
  <si>
    <t>202103260083</t>
  </si>
  <si>
    <t>202103160150</t>
  </si>
  <si>
    <t>202109220013</t>
  </si>
  <si>
    <t>202010280062</t>
  </si>
  <si>
    <t>202105200084</t>
  </si>
  <si>
    <t>202101150057</t>
  </si>
  <si>
    <t>202104280163</t>
  </si>
  <si>
    <t>202105200041</t>
  </si>
  <si>
    <t>202108200140</t>
  </si>
  <si>
    <t>202109090004</t>
  </si>
  <si>
    <t>202110110100</t>
  </si>
  <si>
    <t>GG2021102100007</t>
  </si>
  <si>
    <t>202106080122</t>
  </si>
  <si>
    <t>2020031012747</t>
  </si>
  <si>
    <t>202005270042</t>
  </si>
  <si>
    <t>202108230118</t>
  </si>
  <si>
    <t>202103150061</t>
  </si>
  <si>
    <t>202103080109</t>
  </si>
  <si>
    <t>202103120037</t>
  </si>
  <si>
    <t>202104010054</t>
  </si>
  <si>
    <t>202104210070</t>
  </si>
  <si>
    <t>202105270012</t>
  </si>
  <si>
    <t>202106280010</t>
  </si>
  <si>
    <t>202109100023</t>
  </si>
  <si>
    <t>202012210051</t>
  </si>
  <si>
    <t>202006110044</t>
  </si>
  <si>
    <t>202012100014</t>
  </si>
  <si>
    <t>202008130159</t>
  </si>
  <si>
    <t>202107220198</t>
  </si>
  <si>
    <t>2020032012818</t>
  </si>
  <si>
    <t>202010280070</t>
  </si>
  <si>
    <t>202103300043</t>
  </si>
  <si>
    <t>202008220033</t>
  </si>
  <si>
    <t>202103190023</t>
  </si>
  <si>
    <t>202105080142</t>
  </si>
  <si>
    <t>202008110089</t>
  </si>
  <si>
    <t>202008140025</t>
  </si>
  <si>
    <t>202008140136</t>
  </si>
  <si>
    <t>202103110010</t>
  </si>
  <si>
    <t>202008030130</t>
  </si>
  <si>
    <t>202005150013</t>
  </si>
  <si>
    <t>202011140009</t>
  </si>
  <si>
    <t>202012180109</t>
  </si>
  <si>
    <t>202009270151</t>
  </si>
  <si>
    <t>202104190229</t>
  </si>
  <si>
    <t>202108090169</t>
  </si>
  <si>
    <t>202109070296</t>
  </si>
  <si>
    <t>2020020512450</t>
  </si>
  <si>
    <t>202102270011</t>
  </si>
  <si>
    <t>202110020007</t>
  </si>
  <si>
    <t>202102240068</t>
  </si>
  <si>
    <t>202106110143</t>
  </si>
  <si>
    <t>202108030136</t>
  </si>
  <si>
    <t>202109220073</t>
  </si>
  <si>
    <t>GG2021102500006</t>
  </si>
  <si>
    <t>GG2021102600052</t>
  </si>
  <si>
    <t>201812267088</t>
  </si>
  <si>
    <t>2019121711919</t>
  </si>
  <si>
    <t>202103300044</t>
  </si>
  <si>
    <t>2019121311863</t>
  </si>
  <si>
    <t>202012210095</t>
  </si>
  <si>
    <t>202101260001</t>
  </si>
  <si>
    <t>202103160145</t>
  </si>
  <si>
    <t>202104060247</t>
  </si>
  <si>
    <t>202105230001</t>
  </si>
  <si>
    <t>202106040174</t>
  </si>
  <si>
    <t>202106080075</t>
  </si>
  <si>
    <t>202106100167</t>
  </si>
  <si>
    <t>202106100170</t>
  </si>
  <si>
    <t>202107180036</t>
  </si>
  <si>
    <t>202108140029</t>
  </si>
  <si>
    <t>202007310090</t>
  </si>
  <si>
    <t>2020010912188</t>
  </si>
  <si>
    <t>202105170008</t>
  </si>
  <si>
    <t>202103090105</t>
  </si>
  <si>
    <t>202109280249</t>
  </si>
  <si>
    <t>202010210138</t>
  </si>
  <si>
    <t>202103170154</t>
  </si>
  <si>
    <t>202103290099</t>
  </si>
  <si>
    <t>202106050023</t>
  </si>
  <si>
    <t>202109230089</t>
  </si>
  <si>
    <t>2020042713274</t>
  </si>
  <si>
    <t>202012220085</t>
  </si>
  <si>
    <t>202108260141</t>
  </si>
  <si>
    <t>202104160087</t>
  </si>
  <si>
    <t>202108260242</t>
  </si>
  <si>
    <t>202011020114</t>
  </si>
  <si>
    <t>2020031712793</t>
  </si>
  <si>
    <t>202106090143</t>
  </si>
  <si>
    <t>202103140030</t>
  </si>
  <si>
    <t>202103140040</t>
  </si>
  <si>
    <t>202106010123</t>
  </si>
  <si>
    <t>202107140040</t>
  </si>
  <si>
    <t>202107140175</t>
  </si>
  <si>
    <t>202107190130</t>
  </si>
  <si>
    <t>202107200122</t>
  </si>
  <si>
    <t>202107240045</t>
  </si>
  <si>
    <t>202107280124</t>
  </si>
  <si>
    <t>202108250291</t>
  </si>
  <si>
    <t>202109100160</t>
  </si>
  <si>
    <t>202109260043</t>
  </si>
  <si>
    <t>202010150110</t>
  </si>
  <si>
    <t>202007260003</t>
  </si>
  <si>
    <t>202010290026</t>
  </si>
  <si>
    <t>202008240128</t>
  </si>
  <si>
    <t>2020021512571</t>
  </si>
  <si>
    <t>202103300051</t>
  </si>
  <si>
    <t>202012110141</t>
  </si>
  <si>
    <t>202101140042</t>
  </si>
  <si>
    <t>202108290004</t>
  </si>
  <si>
    <t>202012020065</t>
  </si>
  <si>
    <t>202109280224</t>
  </si>
  <si>
    <t>2020031312772</t>
  </si>
  <si>
    <t>202107070226</t>
  </si>
  <si>
    <t>202104190078</t>
  </si>
  <si>
    <t>202104190219</t>
  </si>
  <si>
    <t>202007140087</t>
  </si>
  <si>
    <t>202009230169</t>
  </si>
  <si>
    <t>202007240131</t>
  </si>
  <si>
    <t>202008020003</t>
  </si>
  <si>
    <t>202010210156</t>
  </si>
  <si>
    <t>202012070093</t>
  </si>
  <si>
    <t>2019111211351</t>
  </si>
  <si>
    <t>202103220133</t>
  </si>
  <si>
    <t>2019121311851</t>
  </si>
  <si>
    <t>202103160134</t>
  </si>
  <si>
    <t>202103220126</t>
  </si>
  <si>
    <t>201903277944</t>
  </si>
  <si>
    <t>201803274516</t>
  </si>
  <si>
    <t xml:space="preserve"> 资 产 负 债 表</t>
  </si>
  <si>
    <t>编制单位：北京城建胜茂房地产开发有限责任公司</t>
  </si>
  <si>
    <t>会计期间：2025-09</t>
  </si>
  <si>
    <t>资    产</t>
  </si>
  <si>
    <t>行次</t>
  </si>
  <si>
    <t>年初数</t>
  </si>
  <si>
    <t>期末数</t>
  </si>
  <si>
    <t>负债及所有者权益</t>
  </si>
  <si>
    <t>流动资产：</t>
  </si>
  <si>
    <t>流动负债：</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</si>
  <si>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</si>
  <si>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</si>
  <si>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</si>
  <si>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</si>
  <si>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</si>
  <si>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</si>
  <si>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</si>
  <si>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</si>
  <si>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</si>
  <si>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</si>
  <si>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</si>
  <si>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</si>
  <si>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</si>
  <si>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</si>
  <si>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</si>
  <si>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</si>
  <si>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</si>
  <si>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</si>
  <si>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</si>
  <si>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</si>
  <si>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</si>
  <si>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</si>
  <si>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</si>
  <si>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</si>
  <si>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</si>
  <si>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</si>
  <si>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</si>
  <si>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</si>
  <si>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</si>
  <si>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</si>
  <si>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长期股权投资</t>
  </si>
  <si>
    <t>应付债券</t>
  </si>
  <si>
    <t>其他权益工具投资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</si>
  <si>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</si>
  <si>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</si>
  <si>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</si>
  <si>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</si>
  <si>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</si>
  <si>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</si>
  <si>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</si>
  <si>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</si>
  <si>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</si>
  <si>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</si>
  <si>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</si>
  <si>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无形资产</t>
  </si>
  <si>
    <t>负债合计</t>
  </si>
  <si>
    <t>商誉</t>
  </si>
  <si>
    <t>所有者权益：</t>
  </si>
  <si>
    <t>长期待摊费用</t>
  </si>
  <si>
    <t>实收资本</t>
  </si>
  <si>
    <t>研发支出</t>
  </si>
  <si>
    <t>资本公积</t>
  </si>
  <si>
    <t>递延所得税资产</t>
  </si>
  <si>
    <t>盈余公积</t>
  </si>
  <si>
    <t>其他非流动资产</t>
  </si>
  <si>
    <t>未分配利润</t>
  </si>
  <si>
    <t>非流动资产合计</t>
  </si>
  <si>
    <t>外币报表折算差额</t>
  </si>
  <si>
    <t>归属母公司所有者权益合计</t>
  </si>
  <si>
    <t>少数股东权益</t>
  </si>
  <si>
    <t>所有者权益合计</t>
  </si>
  <si>
    <t>资产总计</t>
  </si>
  <si>
    <t>负债及所有者权益合计</t>
  </si>
  <si>
    <t>利 润 表</t>
  </si>
  <si>
    <t>单位： 元</t>
  </si>
  <si>
    <t>项    目</t>
  </si>
  <si>
    <t>本月数</t>
  </si>
  <si>
    <t>本年累计数</t>
  </si>
  <si>
    <t>一、营业收入</t>
  </si>
  <si>
    <t>　减：营业成本</t>
  </si>
  <si>
    <t>　　　营业税金及附加</t>
  </si>
  <si>
    <t>　    销售费用</t>
  </si>
  <si>
    <t>　　　管理费用</t>
  </si>
  <si>
    <t>　　　财务费用</t>
  </si>
  <si>
    <t>　　　资产减值损失</t>
  </si>
  <si>
    <t xml:space="preserve">      其他收益</t>
  </si>
  <si>
    <t xml:space="preserve">  加：公允价值变动收益（损失以“-”号填列）</t>
  </si>
  <si>
    <t>　    投资收益（损失以“-”号填列）</t>
  </si>
  <si>
    <t xml:space="preserve">        其中：对联营企业和合营企业的投资收益</t>
  </si>
  <si>
    <t xml:space="preserve">     资产处置收益（损失以“-”号填列）</t>
  </si>
  <si>
    <t>二、营业利润（亏损以“-”号填列）</t>
  </si>
  <si>
    <t>　加：营业外收入</t>
  </si>
  <si>
    <t xml:space="preserve">        其中：补贴收入</t>
  </si>
  <si>
    <t>　减：营业外支出</t>
  </si>
  <si>
    <t xml:space="preserve">        其中：非流动资产处置损失</t>
  </si>
  <si>
    <t>三、利润总额（亏损以“-”号填列）</t>
  </si>
  <si>
    <t>　减：所得税费用</t>
  </si>
  <si>
    <t>　　　少数股东损益</t>
  </si>
  <si>
    <t>四、净利润（净亏损以“-”号填列）</t>
  </si>
  <si>
    <t>现 金 流 量 表</t>
  </si>
  <si>
    <t xml:space="preserve"> 核算表项 </t>
  </si>
  <si>
    <t xml:space="preserve"> 本期金额 </t>
  </si>
  <si>
    <t>本年累计</t>
  </si>
  <si>
    <t>一、经营活动产生的现金流量：</t>
  </si>
  <si>
    <t>销售商品、提供劳务收到的现金</t>
  </si>
  <si>
    <t>收到的税费返还</t>
  </si>
  <si>
    <t>收到的其他与经营活动有关的现金</t>
  </si>
  <si>
    <t>经营活动产生的现金流量现金流入</t>
  </si>
  <si>
    <t>购买商品接受劳务支付的现金</t>
  </si>
  <si>
    <t>支付给职工以及为职工支付的现金</t>
  </si>
  <si>
    <t>支付的各项税费</t>
  </si>
  <si>
    <t>支付的其他与经营活动有关的现金</t>
  </si>
  <si>
    <t>经营活动产生的现金流量现金流出</t>
  </si>
  <si>
    <t>经营活动产生的现金流量净额</t>
  </si>
  <si>
    <t>二、投资活动产生的现金流量：</t>
  </si>
  <si>
    <t>收回投资所收到的现金</t>
  </si>
  <si>
    <t>取得投资收益所收到的现金</t>
  </si>
  <si>
    <t>处置固定资产、无形资产和其他长期资产所收回的现金净额</t>
  </si>
  <si>
    <t>收到的其他与投资活动有关的现金</t>
  </si>
  <si>
    <t>投资活动产生的现金流量现金流入</t>
  </si>
  <si>
    <t>购建固定资产、无形资产和其他长期资产所支付的现金</t>
  </si>
  <si>
    <t>投资所支付的现金</t>
  </si>
  <si>
    <t>支付的其他与投资活动有关的现金</t>
  </si>
  <si>
    <t>投资活动产生的现金流量现金流出</t>
  </si>
  <si>
    <t>投资活动产生的现金流量净额</t>
  </si>
  <si>
    <t>三、筹资活动产生的现金流量：</t>
  </si>
  <si>
    <t>吸收投资所收到的现金</t>
  </si>
  <si>
    <t>取得借款所收到的现金</t>
  </si>
  <si>
    <t>收到的其他与筹资活动有关的现金</t>
  </si>
  <si>
    <t>筹资活动产生的现金流量现金流入</t>
  </si>
  <si>
    <t>偿还债务所支付的现金</t>
  </si>
  <si>
    <t>分配股利、利润和偿付利息所支付的现金</t>
  </si>
  <si>
    <t>支付的其他与筹资活动有关的现金</t>
  </si>
  <si>
    <t>筹资活动产生的现金流量现金流出</t>
  </si>
  <si>
    <t>筹资活动产生的现金流量净额</t>
  </si>
  <si>
    <t>四、汇率变动对现金的影响</t>
  </si>
  <si>
    <t>五、现金及现金等价物净增加额</t>
  </si>
  <si>
    <t>六、期初余额</t>
  </si>
  <si>
    <t>七、期末余额</t>
  </si>
  <si>
    <r>
      <rPr>
        <sz val="10"/>
        <color theme="1"/>
        <rFont val="华文细黑"/>
        <family val="3"/>
        <charset val="134"/>
      </rPr>
      <t>年份</t>
    </r>
    <phoneticPr fontId="244" type="noConversion"/>
  </si>
  <si>
    <r>
      <rPr>
        <sz val="10"/>
        <color theme="1"/>
        <rFont val="华文细黑"/>
        <family val="3"/>
        <charset val="134"/>
      </rPr>
      <t>万元</t>
    </r>
    <phoneticPr fontId="244" type="noConversion"/>
  </si>
  <si>
    <r>
      <rPr>
        <sz val="10"/>
        <color theme="1"/>
        <rFont val="华文细黑"/>
        <family val="3"/>
        <charset val="134"/>
      </rPr>
      <t>增长率</t>
    </r>
    <phoneticPr fontId="244" type="noConversion"/>
  </si>
  <si>
    <r>
      <rPr>
        <sz val="10"/>
        <color theme="1"/>
        <rFont val="华文细黑"/>
        <family val="3"/>
        <charset val="134"/>
      </rPr>
      <t>全产权面积单价（元</t>
    </r>
    <r>
      <rPr>
        <sz val="10"/>
        <color theme="1"/>
        <rFont val="Arial"/>
        <family val="2"/>
      </rPr>
      <t>/m2·</t>
    </r>
    <r>
      <rPr>
        <sz val="10"/>
        <color theme="1"/>
        <rFont val="华文细黑"/>
        <family val="3"/>
        <charset val="134"/>
      </rPr>
      <t>天）</t>
    </r>
    <phoneticPr fontId="244" type="noConversion"/>
  </si>
  <si>
    <r>
      <rPr>
        <sz val="10"/>
        <color theme="1"/>
        <rFont val="华文细黑"/>
        <family val="3"/>
        <charset val="134"/>
      </rPr>
      <t>除地库单价（元</t>
    </r>
    <r>
      <rPr>
        <sz val="10"/>
        <color theme="1"/>
        <rFont val="Arial"/>
        <family val="2"/>
      </rPr>
      <t>/m2·</t>
    </r>
    <r>
      <rPr>
        <sz val="10"/>
        <color theme="1"/>
        <rFont val="华文细黑"/>
        <family val="3"/>
        <charset val="134"/>
      </rPr>
      <t>天）</t>
    </r>
    <phoneticPr fontId="244" type="noConversion"/>
  </si>
  <si>
    <r>
      <rPr>
        <sz val="10"/>
        <color theme="1"/>
        <rFont val="华文细黑"/>
        <family val="3"/>
        <charset val="134"/>
      </rPr>
      <t>按租赁面积单价（元</t>
    </r>
    <r>
      <rPr>
        <sz val="10"/>
        <color theme="1"/>
        <rFont val="Arial"/>
        <family val="2"/>
      </rPr>
      <t>/m2·</t>
    </r>
    <r>
      <rPr>
        <sz val="10"/>
        <color theme="1"/>
        <rFont val="华文细黑"/>
        <family val="3"/>
        <charset val="134"/>
      </rPr>
      <t>天）</t>
    </r>
    <phoneticPr fontId="244" type="noConversion"/>
  </si>
  <si>
    <r>
      <rPr>
        <sz val="11"/>
        <color theme="1"/>
        <rFont val="华文细黑"/>
        <family val="3"/>
        <charset val="134"/>
      </rPr>
      <t>年总收入</t>
    </r>
    <phoneticPr fontId="244" type="noConversion"/>
  </si>
  <si>
    <r>
      <rPr>
        <sz val="11"/>
        <color theme="1"/>
        <rFont val="华文细黑"/>
        <family val="3"/>
        <charset val="134"/>
      </rPr>
      <t>楼层</t>
    </r>
  </si>
  <si>
    <r>
      <rPr>
        <sz val="11"/>
        <color theme="1"/>
        <rFont val="华文细黑"/>
        <family val="3"/>
        <charset val="134"/>
      </rPr>
      <t>系数</t>
    </r>
  </si>
  <si>
    <r>
      <rPr>
        <sz val="11"/>
        <color theme="1"/>
        <rFont val="华文细黑"/>
        <family val="3"/>
        <charset val="134"/>
      </rPr>
      <t>售价</t>
    </r>
  </si>
  <si>
    <r>
      <rPr>
        <sz val="11"/>
        <color theme="1"/>
        <rFont val="华文细黑"/>
        <family val="3"/>
        <charset val="134"/>
      </rPr>
      <t>租金</t>
    </r>
  </si>
  <si>
    <r>
      <rPr>
        <sz val="11"/>
        <color theme="1"/>
        <rFont val="华文细黑"/>
        <family val="3"/>
        <charset val="134"/>
      </rPr>
      <t>面积</t>
    </r>
  </si>
  <si>
    <r>
      <rPr>
        <sz val="11"/>
        <color theme="1"/>
        <rFont val="华文细黑"/>
        <family val="3"/>
        <charset val="134"/>
      </rPr>
      <t>地下一层商业</t>
    </r>
  </si>
  <si>
    <r>
      <rPr>
        <sz val="11"/>
        <color theme="1"/>
        <rFont val="华文细黑"/>
        <family val="3"/>
        <charset val="134"/>
      </rPr>
      <t>地下二层商业</t>
    </r>
  </si>
  <si>
    <r>
      <rPr>
        <sz val="11"/>
        <color theme="1"/>
        <rFont val="华文细黑"/>
        <family val="3"/>
        <charset val="134"/>
      </rPr>
      <t>地下车库</t>
    </r>
  </si>
  <si>
    <t>成本比率</t>
  </si>
  <si>
    <t>建筑物价值</t>
  </si>
  <si>
    <t>租金天收入</t>
    <phoneticPr fontId="135" type="noConversion"/>
  </si>
  <si>
    <t>北京城市副中心0101街区FZX-0101-0607地块F3其他类多功能用地</t>
    <phoneticPr fontId="135" type="noConversion"/>
  </si>
  <si>
    <t>北京城市副中心站综合交通枢纽地区 FZX-0101-03单元FZX-0101-0307 (1)地块F3其他类多功能用地</t>
    <phoneticPr fontId="135" type="noConversion"/>
  </si>
  <si>
    <t>北京市石景山区衙门口棚户区改造土地开发项目1616-613、616、617地块B4综合性商业金融服务业用地、F3其他类多功能用地</t>
    <phoneticPr fontId="135" type="noConversion"/>
  </si>
  <si>
    <t>衙门口棚改 1616-613/616/617（B4+F3）</t>
  </si>
  <si>
    <t>副中心 0101 街区 0607（F3）</t>
  </si>
  <si>
    <t>副中心站 03 单元 0307（F3）</t>
  </si>
  <si>
    <t>区位</t>
  </si>
  <si>
    <t>石景山区鲁谷街道（衙门口棚改核心）</t>
  </si>
  <si>
    <t>通州区通运街道（运河商务区 / 副中心站核心）</t>
  </si>
  <si>
    <t>通州区通运街道（副中心站枢纽核心）</t>
  </si>
  <si>
    <t>用地性质</t>
  </si>
  <si>
    <t>B4 商业金融 + F3 多功能（混合宗地）</t>
  </si>
  <si>
    <t>F3 其他类多功能</t>
  </si>
  <si>
    <t>总用地面积</t>
  </si>
  <si>
    <t>79,959.07㎡（约 8 公顷）</t>
  </si>
  <si>
    <t>11,304.48㎡</t>
  </si>
  <si>
    <t>约 1.16 公顷（以出让公告为准）</t>
  </si>
  <si>
    <t>地上建面</t>
  </si>
  <si>
    <t>≤266,129㎡</t>
  </si>
  <si>
    <t>≤71,783㎡</t>
  </si>
  <si>
    <t>≤30,295㎡（0307 (2) 地块）</t>
  </si>
  <si>
    <t>整体约 3.32（分宗地略有差异）</t>
  </si>
  <si>
    <t>约 2.60</t>
  </si>
  <si>
    <t>建筑控高</t>
  </si>
  <si>
    <t>未统一披露（分宗地核定）</t>
  </si>
  <si>
    <t>120 米</t>
  </si>
  <si>
    <t>未统一披露</t>
  </si>
  <si>
    <t>土地年限</t>
  </si>
  <si>
    <t>40 年</t>
  </si>
  <si>
    <t>成交总价</t>
  </si>
  <si>
    <t>294,800 万元（整体）</t>
  </si>
  <si>
    <t>93,950 万元</t>
  </si>
  <si>
    <t>40,501 万元（0307 (2) 地块）</t>
  </si>
  <si>
    <t>竞得方</t>
  </si>
  <si>
    <t>北京石泰集团（石景山属国企）</t>
  </si>
  <si>
    <t>北京京国盛置业（国资公司 / 金控集团）</t>
  </si>
  <si>
    <t>北京京投站城融合置业</t>
  </si>
  <si>
    <t>出让时间</t>
  </si>
  <si>
    <t>开发定位</t>
  </si>
  <si>
    <t>棚改配套商业商务综合体、TOD 综合开发</t>
  </si>
  <si>
    <t>市属国企总部园区、滨水地标</t>
  </si>
  <si>
    <t>枢纽站城融合、办公商业配套</t>
  </si>
  <si>
    <t>交通配套</t>
  </si>
  <si>
    <t>M11 号线 + 市郊铁路衙门口东站</t>
  </si>
  <si>
    <t>6/101 / 平谷线 / 城际联络线</t>
  </si>
  <si>
    <r>
      <rPr>
        <sz val="11"/>
        <rFont val="宋体"/>
        <family val="3"/>
        <charset val="134"/>
      </rPr>
      <t>周边</t>
    </r>
    <r>
      <rPr>
        <sz val="11"/>
        <rFont val="Arial"/>
        <family val="3"/>
        <charset val="134"/>
      </rPr>
      <t>3</t>
    </r>
    <r>
      <rPr>
        <sz val="11"/>
        <rFont val="宋体"/>
        <family val="3"/>
        <charset val="134"/>
      </rPr>
      <t>公里范围有万达广场</t>
    </r>
    <r>
      <rPr>
        <sz val="11"/>
        <rFont val="Arial"/>
        <family val="3"/>
        <charset val="134"/>
      </rPr>
      <t>(</t>
    </r>
    <r>
      <rPr>
        <sz val="11"/>
        <rFont val="宋体"/>
        <family val="3"/>
        <charset val="134"/>
      </rPr>
      <t>北京石景山店</t>
    </r>
    <r>
      <rPr>
        <sz val="11"/>
        <rFont val="Arial"/>
        <family val="3"/>
        <charset val="134"/>
      </rPr>
      <t>)</t>
    </r>
    <r>
      <rPr>
        <sz val="11"/>
        <rFont val="宋体"/>
        <family val="3"/>
        <charset val="134"/>
      </rPr>
      <t>、泰禾新天地及社区配套商业用房，人流量较大，集中程度较好，商业繁华度较好。</t>
    </r>
    <phoneticPr fontId="31"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</si>
  <si>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2"/>
      </rPr>
      <t>T109</t>
    </r>
    <r>
      <rPr>
        <sz val="11"/>
        <rFont val="宋体"/>
        <family val="3"/>
        <charset val="134"/>
      </rPr>
      <t>路</t>
    </r>
    <r>
      <rPr>
        <sz val="11"/>
        <rFont val="Arial"/>
        <family val="2"/>
      </rPr>
      <t xml:space="preserve"> T115</t>
    </r>
    <r>
      <rPr>
        <sz val="11"/>
        <rFont val="宋体"/>
        <family val="3"/>
        <charset val="134"/>
      </rPr>
      <t>路</t>
    </r>
    <r>
      <rPr>
        <sz val="11"/>
        <rFont val="Arial"/>
        <family val="2"/>
      </rPr>
      <t xml:space="preserve"> T45</t>
    </r>
    <r>
      <rPr>
        <sz val="11"/>
        <rFont val="宋体"/>
        <family val="3"/>
        <charset val="134"/>
      </rPr>
      <t>路等多条公交线路，综合评价交通便捷度较好。</t>
    </r>
    <phoneticPr fontId="31" type="noConversion"/>
  </si>
  <si>
    <r>
      <rPr>
        <sz val="11"/>
        <rFont val="宋体"/>
        <family val="3"/>
        <charset val="134"/>
      </rPr>
      <t>周边有多条城市主次干道通过，路网密集程度较好，道路通达程度较好。所在位置为北京城市副中心站综合交通枢纽，周边有</t>
    </r>
    <r>
      <rPr>
        <sz val="11"/>
        <rFont val="Arial"/>
        <family val="3"/>
        <charset val="134"/>
      </rPr>
      <t>472</t>
    </r>
    <r>
      <rPr>
        <sz val="11"/>
        <rFont val="宋体"/>
        <family val="3"/>
        <charset val="134"/>
      </rPr>
      <t>路</t>
    </r>
    <r>
      <rPr>
        <sz val="11"/>
        <rFont val="Arial"/>
        <family val="3"/>
        <charset val="134"/>
      </rPr>
      <t xml:space="preserve"> </t>
    </r>
    <r>
      <rPr>
        <sz val="11"/>
        <rFont val="宋体"/>
        <family val="3"/>
        <charset val="134"/>
      </rPr>
      <t>专</t>
    </r>
    <r>
      <rPr>
        <sz val="11"/>
        <rFont val="Arial"/>
        <family val="3"/>
        <charset val="134"/>
      </rPr>
      <t>46</t>
    </r>
    <r>
      <rPr>
        <sz val="11"/>
        <rFont val="宋体"/>
        <family val="3"/>
        <charset val="134"/>
      </rPr>
      <t>路等多条公交线路，综合评价交通便捷度较好。</t>
    </r>
    <phoneticPr fontId="31" type="noConversion"/>
  </si>
  <si>
    <t>周边有衙门口城市森林公园等绿化景观，自然环境较好；有首钢园等人文场所，人文环境较好；综合评价环境状况较好。</t>
    <phoneticPr fontId="31" type="noConversion"/>
  </si>
  <si>
    <r>
      <rPr>
        <sz val="11"/>
        <rFont val="宋体"/>
        <family val="3"/>
        <charset val="134"/>
      </rPr>
      <t>周边</t>
    </r>
    <r>
      <rPr>
        <sz val="11"/>
        <rFont val="Arial"/>
        <family val="3"/>
        <charset val="134"/>
      </rPr>
      <t>2</t>
    </r>
    <r>
      <rPr>
        <sz val="11"/>
        <rFont val="宋体"/>
        <family val="3"/>
        <charset val="134"/>
      </rPr>
      <t>公里内的公共服务配套设施齐备度较好，有医院（北京市石景山医院）、银行（中国银行</t>
    </r>
    <r>
      <rPr>
        <sz val="11"/>
        <rFont val="Arial"/>
        <family val="3"/>
        <charset val="134"/>
      </rPr>
      <t>(</t>
    </r>
    <r>
      <rPr>
        <sz val="11"/>
        <rFont val="宋体"/>
        <family val="3"/>
        <charset val="134"/>
      </rPr>
      <t>北京鲁谷支行</t>
    </r>
    <r>
      <rPr>
        <sz val="11"/>
        <rFont val="Arial"/>
        <family val="3"/>
        <charset val="134"/>
      </rPr>
      <t>)</t>
    </r>
    <r>
      <rPr>
        <sz val="11"/>
        <rFont val="宋体"/>
        <family val="3"/>
        <charset val="134"/>
      </rPr>
      <t>等）、学校（北京十二中附属实验小学）等公共服务配套设施。</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</si>
</sst>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_ * #,##0.0_ ;_ * \-#,##0.0_ ;_ * &quot;-&quot;??_ ;_ @_ "/>
  </numFmts>
  <fonts count="31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2"/>
      <charset val="134"/>
      <scheme val="minor"/>
    </font>
    <font>
      <sz val="11"/>
      <color rgb="FFFF0000"/>
      <name val="宋体"/>
      <family val="3"/>
      <charset val="134"/>
      <scheme val="minor"/>
    </font>
    <font>
      <sz val="10"/>
      <color theme="1"/>
      <name val="宋体"/>
      <family val="2"/>
      <scheme val="minor"/>
    </font>
    <font>
      <sz val="10"/>
      <color rgb="FFFF0000"/>
      <name val="宋体"/>
      <family val="3"/>
      <charset val="134"/>
      <scheme val="minor"/>
    </font>
    <font>
      <sz val="11"/>
      <name val="Arial"/>
      <family val="3"/>
      <charset val="134"/>
    </font>
    <font>
      <sz val="10"/>
      <color rgb="FF0070C0"/>
      <name val="宋体"/>
      <family val="3"/>
      <charset val="134"/>
      <scheme val="minor"/>
    </font>
    <font>
      <sz val="10"/>
      <color rgb="FF00B050"/>
      <name val="宋体"/>
      <family val="3"/>
      <charset val="134"/>
      <scheme val="minor"/>
    </font>
    <font>
      <b/>
      <sz val="14"/>
      <color theme="0"/>
      <name val="微软雅黑"/>
      <family val="2"/>
      <charset val="134"/>
    </font>
    <font>
      <b/>
      <sz val="11"/>
      <color theme="0"/>
      <name val="微软雅黑"/>
      <family val="2"/>
      <charset val="134"/>
    </font>
    <font>
      <sz val="11"/>
      <color theme="1"/>
      <name val="微软雅黑"/>
      <family val="2"/>
      <charset val="134"/>
    </font>
    <font>
      <sz val="11"/>
      <color indexed="8"/>
      <name val="宋体"/>
      <family val="2"/>
      <scheme val="minor"/>
    </font>
    <font>
      <b/>
      <sz val="13.5"/>
      <color rgb="FF464646"/>
      <name val="黑体"/>
      <family val="2"/>
    </font>
    <font>
      <b/>
      <sz val="9"/>
      <color rgb="FF464646"/>
      <name val="宋体"/>
      <family val="2"/>
    </font>
    <font>
      <b/>
      <sz val="10.5"/>
      <color rgb="FF464646"/>
      <name val="宋体"/>
      <family val="2"/>
    </font>
    <font>
      <sz val="10.5"/>
      <color theme="1"/>
      <name val="宋体"/>
      <family val="2"/>
    </font>
    <font>
      <sz val="10.5"/>
      <color rgb="FF464646"/>
      <name val="宋体"/>
      <family val="2"/>
    </font>
    <font>
      <sz val="9.9499999999999993"/>
      <color rgb="FF464646"/>
      <name val="宋体"/>
      <family val="2"/>
    </font>
    <font>
      <b/>
      <sz val="9"/>
      <color rgb="FF464646"/>
      <name val="Calibri"/>
      <family val="2"/>
    </font>
    <font>
      <sz val="11"/>
      <color theme="1"/>
      <name val="华文细黑"/>
      <family val="3"/>
      <charset val="134"/>
    </font>
    <font>
      <sz val="10"/>
      <color theme="1"/>
      <name val="华文细黑"/>
      <family val="3"/>
      <charset val="134"/>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249977111117893"/>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0" fontId="294" fillId="0" borderId="0">
      <alignment vertical="center"/>
    </xf>
    <xf numFmtId="43" fontId="294" fillId="0" borderId="0" applyFont="0" applyFill="0" applyBorder="0" applyAlignment="0" applyProtection="0">
      <alignment vertical="center"/>
    </xf>
    <xf numFmtId="0" fontId="304" fillId="0" borderId="0">
      <alignment vertical="center"/>
    </xf>
  </cellStyleXfs>
  <cellXfs count="47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8"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10" fontId="168" fillId="15" borderId="0" xfId="9" applyNumberFormat="1" applyFont="1" applyFill="1" applyAlignment="1">
      <alignment horizontal="left" vertical="center"/>
    </xf>
    <xf numFmtId="10" fontId="168" fillId="15" borderId="159" xfId="9" applyNumberFormat="1" applyFont="1" applyFill="1" applyBorder="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59" xfId="9" applyFont="1" applyBorder="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10" fontId="100" fillId="0" borderId="159" xfId="9" applyNumberFormat="1"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2" xfId="9" applyFont="1" applyFill="1" applyBorder="1" applyAlignment="1">
      <alignment horizontal="left" vertical="center" wrapText="1"/>
    </xf>
    <xf numFmtId="0" fontId="143" fillId="18" borderId="164" xfId="16" applyFont="1" applyFill="1" applyBorder="1" applyAlignment="1">
      <alignment horizontal="left" vertical="center" wrapText="1"/>
    </xf>
    <xf numFmtId="0" fontId="100" fillId="17" borderId="167" xfId="9" applyFont="1" applyFill="1" applyBorder="1" applyAlignment="1">
      <alignment horizontal="left" vertical="center"/>
    </xf>
    <xf numFmtId="10" fontId="100" fillId="18" borderId="168" xfId="9" applyNumberFormat="1" applyFont="1" applyFill="1" applyBorder="1" applyAlignment="1">
      <alignment horizontal="left" vertical="center"/>
    </xf>
    <xf numFmtId="10" fontId="100" fillId="18" borderId="167" xfId="9" applyNumberFormat="1" applyFont="1" applyFill="1" applyBorder="1" applyAlignment="1">
      <alignment horizontal="left" vertical="center"/>
    </xf>
    <xf numFmtId="0" fontId="100" fillId="18" borderId="167" xfId="9" applyFont="1" applyFill="1" applyBorder="1" applyAlignment="1">
      <alignment horizontal="left" vertical="center"/>
    </xf>
    <xf numFmtId="0" fontId="144" fillId="18" borderId="167"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61" fillId="0" borderId="1" xfId="0" applyNumberFormat="1" applyFont="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3"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4"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59"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7"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7"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0" fontId="54" fillId="6" borderId="1"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69" xfId="0" applyFont="1" applyFill="1" applyBorder="1" applyAlignment="1">
      <alignment horizontal="left" vertical="center"/>
    </xf>
    <xf numFmtId="0" fontId="99"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2"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176" fontId="143" fillId="0" borderId="126" xfId="16" applyNumberFormat="1" applyFont="1" applyBorder="1" applyAlignment="1">
      <alignment horizontal="left" vertical="center" wrapText="1"/>
    </xf>
    <xf numFmtId="176" fontId="143" fillId="0" borderId="135" xfId="16" applyNumberFormat="1" applyFont="1" applyBorder="1" applyAlignment="1">
      <alignment horizontal="left" vertical="center" wrapText="1"/>
    </xf>
    <xf numFmtId="10" fontId="100" fillId="21" borderId="0" xfId="9" applyNumberFormat="1" applyFont="1" applyFill="1" applyAlignment="1">
      <alignment horizontal="left" vertical="center"/>
    </xf>
    <xf numFmtId="10" fontId="100" fillId="18" borderId="0" xfId="9" applyNumberFormat="1" applyFont="1" applyFill="1" applyAlignment="1">
      <alignment horizontal="left" vertical="center"/>
    </xf>
    <xf numFmtId="192" fontId="100" fillId="21" borderId="0" xfId="9" applyNumberFormat="1" applyFont="1" applyFill="1" applyAlignment="1">
      <alignment horizontal="left" vertical="center"/>
    </xf>
    <xf numFmtId="192" fontId="100" fillId="18" borderId="0" xfId="9" applyNumberFormat="1" applyFont="1" applyFill="1" applyAlignment="1">
      <alignment horizontal="left" vertical="center"/>
    </xf>
    <xf numFmtId="192" fontId="0" fillId="0" borderId="0" xfId="0" applyNumberFormat="1">
      <alignment vertical="center"/>
    </xf>
    <xf numFmtId="10" fontId="168" fillId="15" borderId="173" xfId="9" applyNumberFormat="1" applyFont="1" applyFill="1" applyBorder="1" applyAlignment="1">
      <alignment horizontal="left" vertical="center"/>
    </xf>
    <xf numFmtId="0" fontId="168" fillId="15" borderId="173" xfId="9" applyFont="1" applyFill="1" applyBorder="1" applyAlignment="1">
      <alignment horizontal="left" vertical="center"/>
    </xf>
    <xf numFmtId="192" fontId="168" fillId="15" borderId="173" xfId="9" applyNumberFormat="1" applyFont="1" applyFill="1" applyBorder="1" applyAlignment="1">
      <alignment horizontal="left" vertical="center"/>
    </xf>
    <xf numFmtId="176" fontId="103" fillId="5" borderId="0" xfId="9" applyNumberFormat="1" applyFont="1" applyFill="1" applyAlignment="1">
      <alignment horizontal="right" vertical="center"/>
    </xf>
    <xf numFmtId="0" fontId="23" fillId="0" borderId="119" xfId="10" applyFont="1" applyBorder="1" applyAlignment="1">
      <alignment horizontal="left" vertical="center"/>
    </xf>
    <xf numFmtId="176" fontId="54" fillId="0" borderId="1" xfId="4" applyNumberFormat="1" applyFont="1" applyBorder="1" applyProtection="1">
      <protection locked="0"/>
    </xf>
    <xf numFmtId="49" fontId="54" fillId="6" borderId="1" xfId="4" applyNumberFormat="1" applyFont="1" applyFill="1" applyBorder="1" applyAlignment="1">
      <alignment horizontal="center" vertical="center"/>
    </xf>
    <xf numFmtId="0" fontId="20" fillId="6" borderId="1" xfId="4" applyFont="1" applyFill="1" applyBorder="1" applyAlignment="1">
      <alignment horizontal="left"/>
    </xf>
    <xf numFmtId="0" fontId="20" fillId="6" borderId="1" xfId="4" applyFont="1" applyFill="1" applyBorder="1" applyAlignment="1">
      <alignment horizontal="right"/>
    </xf>
    <xf numFmtId="176" fontId="54" fillId="6" borderId="1" xfId="4" applyNumberFormat="1" applyFont="1" applyFill="1" applyBorder="1" applyAlignment="1">
      <alignment horizontal="left" vertical="center"/>
    </xf>
    <xf numFmtId="0" fontId="54" fillId="6" borderId="1" xfId="4" applyFont="1" applyFill="1" applyBorder="1" applyAlignment="1">
      <alignment horizontal="left"/>
    </xf>
    <xf numFmtId="185" fontId="54" fillId="6" borderId="1" xfId="4" applyNumberFormat="1" applyFont="1" applyFill="1" applyBorder="1" applyAlignment="1">
      <alignment horizontal="left" vertical="center"/>
    </xf>
    <xf numFmtId="0" fontId="81" fillId="6" borderId="1" xfId="4" applyFont="1" applyFill="1" applyBorder="1" applyAlignment="1">
      <alignment horizontal="left" vertical="center"/>
    </xf>
    <xf numFmtId="185" fontId="55" fillId="6" borderId="1" xfId="4" applyNumberFormat="1" applyFont="1" applyFill="1" applyBorder="1" applyAlignment="1">
      <alignment horizontal="right"/>
    </xf>
    <xf numFmtId="0" fontId="81" fillId="6" borderId="1" xfId="4" applyFont="1" applyFill="1" applyBorder="1" applyAlignment="1">
      <alignment horizontal="right"/>
    </xf>
    <xf numFmtId="0" fontId="81" fillId="6" borderId="63" xfId="4" applyFont="1" applyFill="1" applyBorder="1" applyAlignment="1">
      <alignment vertical="center"/>
    </xf>
    <xf numFmtId="0" fontId="78" fillId="0" borderId="1" xfId="0" applyFont="1" applyBorder="1" applyAlignment="1" applyProtection="1">
      <alignment horizontal="center" vertical="center" wrapText="1"/>
      <protection locked="0"/>
    </xf>
    <xf numFmtId="0" fontId="96" fillId="0" borderId="0" xfId="10" applyAlignment="1">
      <alignment horizontal="left" vertical="center"/>
    </xf>
    <xf numFmtId="0" fontId="96" fillId="0" borderId="1" xfId="10" applyBorder="1" applyAlignment="1">
      <alignment horizontal="left" vertical="center"/>
    </xf>
    <xf numFmtId="49" fontId="96" fillId="0" borderId="1" xfId="10" applyNumberFormat="1" applyBorder="1" applyAlignment="1">
      <alignment horizontal="left" vertical="center"/>
    </xf>
    <xf numFmtId="0" fontId="96" fillId="5" borderId="1" xfId="10" applyFill="1" applyBorder="1" applyAlignment="1">
      <alignment horizontal="left" vertical="center"/>
    </xf>
    <xf numFmtId="0" fontId="295" fillId="0" borderId="1" xfId="10" applyFont="1" applyBorder="1" applyAlignment="1">
      <alignment horizontal="left" vertical="center"/>
    </xf>
    <xf numFmtId="49" fontId="96" fillId="9" borderId="1" xfId="10" applyNumberFormat="1" applyFill="1" applyBorder="1" applyAlignment="1">
      <alignment horizontal="left" vertical="center"/>
    </xf>
    <xf numFmtId="0" fontId="96" fillId="9" borderId="1" xfId="10" applyFill="1" applyBorder="1" applyAlignment="1">
      <alignment horizontal="left" vertical="center"/>
    </xf>
    <xf numFmtId="0" fontId="296" fillId="0" borderId="0" xfId="19" applyFont="1" applyAlignment="1">
      <alignment horizontal="left" vertical="center"/>
    </xf>
    <xf numFmtId="14" fontId="108" fillId="0" borderId="0" xfId="19" applyNumberFormat="1" applyFont="1" applyAlignment="1">
      <alignment horizontal="left" vertical="center"/>
    </xf>
    <xf numFmtId="0" fontId="108" fillId="0" borderId="0" xfId="19" applyFont="1" applyAlignment="1">
      <alignment horizontal="left" vertical="center"/>
    </xf>
    <xf numFmtId="0" fontId="108" fillId="0" borderId="0" xfId="19" applyFont="1" applyAlignment="1">
      <alignment horizontal="left" vertical="center" wrapText="1"/>
    </xf>
    <xf numFmtId="0" fontId="129" fillId="0" borderId="46" xfId="0" applyFont="1" applyBorder="1" applyAlignment="1" applyProtection="1">
      <alignment horizontal="left" vertical="center" wrapText="1"/>
      <protection locked="0"/>
    </xf>
    <xf numFmtId="49" fontId="129" fillId="0" borderId="41" xfId="0" applyNumberFormat="1" applyFont="1" applyBorder="1" applyAlignment="1" applyProtection="1">
      <alignment horizontal="left" vertical="center" wrapText="1"/>
      <protection locked="0"/>
    </xf>
    <xf numFmtId="49" fontId="129" fillId="0" borderId="7" xfId="0" applyNumberFormat="1" applyFont="1" applyBorder="1" applyAlignment="1" applyProtection="1">
      <alignment horizontal="left" vertical="center" wrapText="1"/>
      <protection locked="0"/>
    </xf>
    <xf numFmtId="49" fontId="95" fillId="0" borderId="14" xfId="0" applyNumberFormat="1" applyFont="1" applyBorder="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98" fillId="0" borderId="35" xfId="0" applyNumberFormat="1" applyFont="1" applyBorder="1" applyAlignment="1" applyProtection="1">
      <alignment horizontal="left" vertical="center" wrapText="1"/>
      <protection locked="0"/>
    </xf>
    <xf numFmtId="49" fontId="298" fillId="0" borderId="14" xfId="0" applyNumberFormat="1" applyFont="1" applyBorder="1" applyAlignment="1" applyProtection="1">
      <alignment horizontal="left" vertical="center" wrapText="1"/>
      <protection locked="0"/>
    </xf>
    <xf numFmtId="0" fontId="299" fillId="0" borderId="0" xfId="19" applyFont="1" applyAlignment="1">
      <alignment horizontal="left" vertical="center"/>
    </xf>
    <xf numFmtId="14" fontId="299" fillId="0" borderId="0" xfId="19" applyNumberFormat="1" applyFont="1" applyAlignment="1">
      <alignment horizontal="left" vertical="center"/>
    </xf>
    <xf numFmtId="0" fontId="300" fillId="0" borderId="0" xfId="19" applyFont="1" applyAlignment="1">
      <alignment horizontal="left" vertical="center"/>
    </xf>
    <xf numFmtId="14" fontId="300" fillId="0" borderId="0" xfId="19" applyNumberFormat="1" applyFont="1" applyAlignment="1">
      <alignment horizontal="left" vertical="center"/>
    </xf>
    <xf numFmtId="0" fontId="297" fillId="5" borderId="0" xfId="19" applyFont="1" applyFill="1" applyAlignment="1">
      <alignment horizontal="left" vertical="center"/>
    </xf>
    <xf numFmtId="14" fontId="297" fillId="5" borderId="0" xfId="19" applyNumberFormat="1" applyFont="1" applyFill="1" applyAlignment="1">
      <alignment horizontal="left" vertical="center"/>
    </xf>
    <xf numFmtId="0" fontId="294" fillId="0" borderId="0" xfId="20">
      <alignment vertical="center"/>
    </xf>
    <xf numFmtId="0" fontId="302" fillId="23" borderId="0" xfId="20" applyFont="1" applyFill="1" applyAlignment="1">
      <alignment horizontal="center" vertical="center"/>
    </xf>
    <xf numFmtId="43" fontId="302" fillId="23" borderId="0" xfId="21" applyFont="1" applyFill="1" applyAlignment="1">
      <alignment horizontal="center" vertical="center"/>
    </xf>
    <xf numFmtId="14" fontId="302" fillId="23" borderId="0" xfId="20" applyNumberFormat="1" applyFont="1" applyFill="1" applyAlignment="1">
      <alignment horizontal="center" vertical="center"/>
    </xf>
    <xf numFmtId="0" fontId="303" fillId="0" borderId="174" xfId="20" applyFont="1" applyBorder="1" applyAlignment="1">
      <alignment horizontal="center" vertical="center"/>
    </xf>
    <xf numFmtId="43" fontId="303" fillId="0" borderId="174" xfId="21" applyFont="1" applyBorder="1" applyAlignment="1">
      <alignment horizontal="center" vertical="center"/>
    </xf>
    <xf numFmtId="0" fontId="303" fillId="0" borderId="174" xfId="21" applyNumberFormat="1" applyFont="1" applyBorder="1" applyAlignment="1">
      <alignment horizontal="center" vertical="center"/>
    </xf>
    <xf numFmtId="14" fontId="303" fillId="0" borderId="174" xfId="20" applyNumberFormat="1" applyFont="1" applyBorder="1" applyAlignment="1">
      <alignment horizontal="right" vertical="center"/>
    </xf>
    <xf numFmtId="0" fontId="303" fillId="0" borderId="0" xfId="20" applyFont="1" applyAlignment="1">
      <alignment horizontal="center" vertical="center"/>
    </xf>
    <xf numFmtId="43" fontId="303" fillId="0" borderId="0" xfId="21" applyFont="1" applyAlignment="1">
      <alignment horizontal="center" vertical="center"/>
    </xf>
    <xf numFmtId="14" fontId="303" fillId="0" borderId="0" xfId="20" applyNumberFormat="1" applyFont="1" applyAlignment="1">
      <alignment horizontal="center" vertical="center"/>
    </xf>
    <xf numFmtId="49" fontId="302" fillId="23" borderId="174" xfId="20" applyNumberFormat="1" applyFont="1" applyFill="1" applyBorder="1" applyAlignment="1">
      <alignment horizontal="center" vertical="center"/>
    </xf>
    <xf numFmtId="195" fontId="302" fillId="23" borderId="174" xfId="21" applyNumberFormat="1" applyFont="1" applyFill="1" applyBorder="1" applyAlignment="1">
      <alignment horizontal="center" vertical="center"/>
    </xf>
    <xf numFmtId="49" fontId="303" fillId="0" borderId="174" xfId="20" applyNumberFormat="1" applyFont="1" applyBorder="1" applyAlignment="1">
      <alignment horizontal="center" vertical="center"/>
    </xf>
    <xf numFmtId="195" fontId="303" fillId="0" borderId="174" xfId="21" applyNumberFormat="1" applyFont="1" applyBorder="1" applyAlignment="1">
      <alignment horizontal="center" vertical="center"/>
    </xf>
    <xf numFmtId="49" fontId="303" fillId="0" borderId="1" xfId="20" applyNumberFormat="1" applyFont="1" applyBorder="1" applyAlignment="1">
      <alignment horizontal="left" vertical="center"/>
    </xf>
    <xf numFmtId="195" fontId="303" fillId="0" borderId="0" xfId="21" applyNumberFormat="1" applyFont="1" applyAlignment="1">
      <alignment horizontal="center" vertical="center"/>
    </xf>
    <xf numFmtId="49" fontId="303" fillId="0" borderId="176" xfId="20" applyNumberFormat="1" applyFont="1" applyBorder="1" applyAlignment="1">
      <alignment horizontal="center" vertical="center"/>
    </xf>
    <xf numFmtId="195" fontId="294" fillId="0" borderId="0" xfId="20" applyNumberFormat="1">
      <alignment vertical="center"/>
    </xf>
    <xf numFmtId="195" fontId="303" fillId="0" borderId="1" xfId="20" applyNumberFormat="1" applyFont="1" applyBorder="1" applyAlignment="1">
      <alignment horizontal="left" vertical="center"/>
    </xf>
    <xf numFmtId="0" fontId="304" fillId="0" borderId="0" xfId="22">
      <alignment vertical="center"/>
    </xf>
    <xf numFmtId="0" fontId="307" fillId="0" borderId="177" xfId="22" applyFont="1" applyBorder="1" applyAlignment="1" applyProtection="1">
      <alignment horizontal="left" vertical="center"/>
      <protection locked="0"/>
    </xf>
    <xf numFmtId="0" fontId="307" fillId="0" borderId="178" xfId="22" applyFont="1" applyBorder="1" applyAlignment="1" applyProtection="1">
      <alignment horizontal="left" vertical="center"/>
      <protection locked="0"/>
    </xf>
    <xf numFmtId="0" fontId="307" fillId="0" borderId="2" xfId="22" applyFont="1" applyBorder="1" applyAlignment="1" applyProtection="1">
      <alignment horizontal="left" vertical="center"/>
      <protection locked="0"/>
    </xf>
    <xf numFmtId="0" fontId="308" fillId="0" borderId="2" xfId="22" applyFont="1" applyBorder="1" applyAlignment="1" applyProtection="1">
      <alignment vertical="top"/>
      <protection locked="0"/>
    </xf>
    <xf numFmtId="0" fontId="307" fillId="0" borderId="179" xfId="22" applyFont="1" applyBorder="1" applyAlignment="1" applyProtection="1">
      <alignment horizontal="left" vertical="center"/>
      <protection locked="0"/>
    </xf>
    <xf numFmtId="0" fontId="307" fillId="0" borderId="180" xfId="22" applyFont="1" applyBorder="1" applyAlignment="1" applyProtection="1">
      <alignment horizontal="left" vertical="center"/>
      <protection locked="0"/>
    </xf>
    <xf numFmtId="0" fontId="307" fillId="0" borderId="1" xfId="22" applyFont="1" applyBorder="1" applyAlignment="1" applyProtection="1">
      <alignment horizontal="left" vertical="center"/>
      <protection locked="0"/>
    </xf>
    <xf numFmtId="0" fontId="309" fillId="0" borderId="179" xfId="22" applyFont="1" applyBorder="1" applyAlignment="1" applyProtection="1">
      <alignment horizontal="left" vertical="center"/>
      <protection locked="0"/>
    </xf>
    <xf numFmtId="4" fontId="309" fillId="0" borderId="179" xfId="22" applyNumberFormat="1" applyFont="1" applyBorder="1" applyAlignment="1" applyProtection="1">
      <alignment horizontal="right" vertical="center"/>
      <protection locked="0"/>
    </xf>
    <xf numFmtId="0" fontId="309" fillId="0" borderId="180" xfId="22" applyFont="1" applyBorder="1" applyAlignment="1" applyProtection="1">
      <alignment horizontal="left" vertical="center"/>
      <protection locked="0"/>
    </xf>
    <xf numFmtId="0" fontId="308" fillId="0" borderId="0" xfId="22" applyFont="1" applyAlignment="1" applyProtection="1">
      <alignment vertical="top"/>
      <protection locked="0"/>
    </xf>
    <xf numFmtId="0" fontId="306" fillId="0" borderId="179" xfId="22" applyFont="1" applyBorder="1" applyAlignment="1" applyProtection="1">
      <alignment horizontal="left" vertical="center"/>
      <protection locked="0"/>
    </xf>
    <xf numFmtId="4" fontId="310" fillId="0" borderId="179" xfId="22" applyNumberFormat="1" applyFont="1" applyBorder="1" applyAlignment="1" applyProtection="1">
      <alignment horizontal="right" vertical="center"/>
      <protection locked="0"/>
    </xf>
    <xf numFmtId="0" fontId="311" fillId="0" borderId="179" xfId="22" applyFont="1" applyBorder="1" applyAlignment="1" applyProtection="1">
      <alignment horizontal="left" vertical="center"/>
      <protection locked="0"/>
    </xf>
    <xf numFmtId="0" fontId="309" fillId="0" borderId="179" xfId="22" applyFont="1" applyBorder="1" applyAlignment="1" applyProtection="1">
      <alignment horizontal="center" vertical="center"/>
      <protection locked="0"/>
    </xf>
    <xf numFmtId="10" fontId="308" fillId="0" borderId="0" xfId="22" applyNumberFormat="1" applyFont="1" applyAlignment="1" applyProtection="1">
      <alignment vertical="top"/>
      <protection locked="0"/>
    </xf>
    <xf numFmtId="14" fontId="48" fillId="7" borderId="0" xfId="0" applyNumberFormat="1" applyFont="1" applyFill="1" applyProtection="1">
      <alignment vertical="center"/>
      <protection locked="0"/>
    </xf>
    <xf numFmtId="49" fontId="100" fillId="0" borderId="1" xfId="20" applyNumberFormat="1" applyFont="1" applyBorder="1" applyAlignment="1">
      <alignment horizontal="left" vertical="center" wrapText="1"/>
    </xf>
    <xf numFmtId="49" fontId="99" fillId="0" borderId="1" xfId="20" applyNumberFormat="1" applyFont="1" applyBorder="1" applyAlignment="1">
      <alignment horizontal="left" vertical="center"/>
    </xf>
    <xf numFmtId="10" fontId="99" fillId="0" borderId="1" xfId="20" applyNumberFormat="1" applyFont="1" applyBorder="1" applyAlignment="1">
      <alignment horizontal="left" vertical="center"/>
    </xf>
    <xf numFmtId="0" fontId="99" fillId="0" borderId="0" xfId="20" applyFont="1">
      <alignment vertical="center"/>
    </xf>
    <xf numFmtId="0" fontId="99" fillId="0" borderId="1" xfId="20" applyFont="1" applyBorder="1" applyAlignment="1">
      <alignment horizontal="left" vertical="center"/>
    </xf>
    <xf numFmtId="0" fontId="115" fillId="0" borderId="1" xfId="20" applyFont="1" applyBorder="1" applyAlignment="1">
      <alignment horizontal="left" vertical="center"/>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1"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18"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48" xfId="0" applyNumberFormat="1" applyFont="1" applyFill="1" applyBorder="1" applyAlignment="1">
      <alignment horizontal="lef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301" fillId="23" borderId="0" xfId="20" applyFont="1" applyFill="1" applyAlignment="1">
      <alignment horizontal="center"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301" fillId="23" borderId="0" xfId="20" applyFont="1" applyFill="1" applyAlignment="1">
      <alignment horizontal="center" vertical="center"/>
    </xf>
    <xf numFmtId="0" fontId="301" fillId="23" borderId="175" xfId="20" applyFont="1" applyFill="1" applyBorder="1" applyAlignment="1">
      <alignment horizontal="center" vertical="center"/>
    </xf>
    <xf numFmtId="0" fontId="305" fillId="0" borderId="1" xfId="22" applyFont="1" applyBorder="1" applyAlignment="1" applyProtection="1">
      <alignment horizontal="center" vertical="center"/>
      <protection locked="0"/>
    </xf>
    <xf numFmtId="0" fontId="306" fillId="0" borderId="177" xfId="22" applyFont="1" applyBorder="1" applyAlignment="1" applyProtection="1">
      <alignment horizontal="left" vertical="center"/>
      <protection locked="0"/>
    </xf>
    <xf numFmtId="0" fontId="307" fillId="0" borderId="177" xfId="22" applyFont="1" applyBorder="1" applyAlignment="1" applyProtection="1">
      <alignment horizontal="left" vertical="center"/>
      <protection locked="0"/>
    </xf>
    <xf numFmtId="0" fontId="307" fillId="0" borderId="179" xfId="22" applyFont="1" applyBorder="1" applyAlignment="1" applyProtection="1">
      <alignment horizontal="center" vertical="center"/>
      <protection locked="0"/>
    </xf>
    <xf numFmtId="0" fontId="306" fillId="0" borderId="179" xfId="22" applyFont="1" applyBorder="1" applyAlignment="1" applyProtection="1">
      <alignment horizontal="left" vertical="center"/>
      <protection locked="0"/>
    </xf>
    <xf numFmtId="0" fontId="305" fillId="0" borderId="179" xfId="22" applyFont="1" applyBorder="1" applyAlignment="1" applyProtection="1">
      <alignment horizontal="center" vertical="center"/>
      <protection locked="0"/>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314" fillId="0" borderId="0" xfId="19" applyFont="1" applyFill="1" applyAlignment="1">
      <alignment horizontal="left" vertical="center"/>
    </xf>
    <xf numFmtId="14" fontId="314" fillId="0" borderId="0" xfId="19" applyNumberFormat="1" applyFont="1" applyFill="1" applyAlignment="1">
      <alignment horizontal="left" vertical="center"/>
    </xf>
    <xf numFmtId="0" fontId="97" fillId="0" borderId="181" xfId="0" applyFont="1" applyBorder="1" applyAlignment="1">
      <alignment horizontal="left" vertical="center" wrapText="1"/>
    </xf>
    <xf numFmtId="0" fontId="96" fillId="0" borderId="181" xfId="0" applyFont="1" applyBorder="1" applyAlignment="1">
      <alignment horizontal="left" vertical="center" wrapText="1"/>
    </xf>
    <xf numFmtId="14" fontId="96" fillId="0" borderId="181" xfId="0" applyNumberFormat="1" applyFont="1" applyBorder="1" applyAlignment="1">
      <alignment horizontal="left" vertical="center" wrapText="1"/>
    </xf>
    <xf numFmtId="49" fontId="95" fillId="0" borderId="35" xfId="0" applyNumberFormat="1" applyFont="1" applyBorder="1" applyAlignment="1" applyProtection="1">
      <alignment horizontal="left" vertical="center" wrapText="1"/>
      <protection locked="0"/>
    </xf>
  </cellXfs>
  <cellStyles count="23">
    <cellStyle name="百分比" xfId="17" builtinId="5"/>
    <cellStyle name="百分比 2" xfId="14" xr:uid="{00000000-0005-0000-0000-000001000000}"/>
    <cellStyle name="常规" xfId="0" builtinId="0"/>
    <cellStyle name="常规 10" xfId="19" xr:uid="{681662D9-0F0F-479F-824C-15D6333C5EFE}"/>
    <cellStyle name="常规 11" xfId="18" xr:uid="{00000000-0005-0000-0000-000003000000}"/>
    <cellStyle name="常规 12" xfId="20" xr:uid="{8115EE0D-553E-4AC3-9E0B-B54C8AB2FA74}"/>
    <cellStyle name="常规 13" xfId="22" xr:uid="{2A4DFFD5-9EF4-436A-BDDC-4C01E0CAA06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0D804EB7-C553-4680-8FE3-92370C30DEA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a:extLst>
            <a:ext uri="{FF2B5EF4-FFF2-40B4-BE49-F238E27FC236}">
              <a16:creationId xmlns:a16="http://schemas.microsoft.com/office/drawing/2014/main" id="{3C7A76D3-524B-4305-9236-CDE91690AD78}"/>
            </a:ext>
          </a:extLst>
        </xdr:cNvPr>
        <xdr:cNvPicPr>
          <a:picLocks noChangeAspect="1"/>
        </xdr:cNvPicPr>
      </xdr:nvPicPr>
      <xdr:blipFill>
        <a:blip xmlns:r="http://schemas.openxmlformats.org/officeDocument/2006/relationships" r:embed="rId1"/>
        <a:stretch>
          <a:fillRect/>
        </a:stretch>
      </xdr:blipFill>
      <xdr:spPr>
        <a:xfrm>
          <a:off x="3419475" y="8086725"/>
          <a:ext cx="5415231" cy="72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26</xdr:row>
      <xdr:rowOff>28575</xdr:rowOff>
    </xdr:from>
    <xdr:ext cx="12468225" cy="4695825"/>
    <xdr:pic>
      <xdr:nvPicPr>
        <xdr:cNvPr id="2" name="图片 1">
          <a:extLst>
            <a:ext uri="{FF2B5EF4-FFF2-40B4-BE49-F238E27FC236}">
              <a16:creationId xmlns:a16="http://schemas.microsoft.com/office/drawing/2014/main" id="{9E276D40-2373-4FC4-9FD0-FB6DB808DAF4}"/>
            </a:ext>
          </a:extLst>
        </xdr:cNvPr>
        <xdr:cNvPicPr>
          <a:picLocks noChangeAspect="1"/>
        </xdr:cNvPicPr>
      </xdr:nvPicPr>
      <xdr:blipFill>
        <a:blip xmlns:r="http://schemas.openxmlformats.org/officeDocument/2006/relationships" r:embed="rId1"/>
        <a:stretch>
          <a:fillRect/>
        </a:stretch>
      </xdr:blipFill>
      <xdr:spPr>
        <a:xfrm>
          <a:off x="0" y="4143375"/>
          <a:ext cx="12468225" cy="4695825"/>
        </a:xfrm>
        <a:prstGeom prst="rect">
          <a:avLst/>
        </a:prstGeom>
      </xdr:spPr>
    </xdr:pic>
    <xdr:clientData/>
  </xdr:oneCellAnchor>
  <xdr:twoCellAnchor>
    <xdr:from>
      <xdr:col>0</xdr:col>
      <xdr:colOff>0</xdr:colOff>
      <xdr:row>114</xdr:row>
      <xdr:rowOff>57150</xdr:rowOff>
    </xdr:from>
    <xdr:to>
      <xdr:col>12</xdr:col>
      <xdr:colOff>402925</xdr:colOff>
      <xdr:row>148</xdr:row>
      <xdr:rowOff>54001</xdr:rowOff>
    </xdr:to>
    <xdr:grpSp>
      <xdr:nvGrpSpPr>
        <xdr:cNvPr id="22" name="组合 21">
          <a:extLst>
            <a:ext uri="{FF2B5EF4-FFF2-40B4-BE49-F238E27FC236}">
              <a16:creationId xmlns:a16="http://schemas.microsoft.com/office/drawing/2014/main" id="{0B543D4E-1CF9-F7F3-694E-84ECD5E9F9FE}"/>
            </a:ext>
          </a:extLst>
        </xdr:cNvPr>
        <xdr:cNvGrpSpPr/>
      </xdr:nvGrpSpPr>
      <xdr:grpSpPr>
        <a:xfrm>
          <a:off x="0" y="18087415"/>
          <a:ext cx="12292366" cy="5330851"/>
          <a:chOff x="0" y="17583150"/>
          <a:chExt cx="11337625" cy="5178451"/>
        </a:xfrm>
      </xdr:grpSpPr>
      <xdr:pic>
        <xdr:nvPicPr>
          <xdr:cNvPr id="8" name="图片 7">
            <a:extLst>
              <a:ext uri="{FF2B5EF4-FFF2-40B4-BE49-F238E27FC236}">
                <a16:creationId xmlns:a16="http://schemas.microsoft.com/office/drawing/2014/main" id="{5B75B4F7-5F4A-DD76-7306-0A134A5D0EBD}"/>
              </a:ext>
            </a:extLst>
          </xdr:cNvPr>
          <xdr:cNvPicPr>
            <a:picLocks noChangeAspect="1"/>
          </xdr:cNvPicPr>
        </xdr:nvPicPr>
        <xdr:blipFill>
          <a:blip xmlns:r="http://schemas.openxmlformats.org/officeDocument/2006/relationships" r:embed="rId2"/>
          <a:stretch>
            <a:fillRect/>
          </a:stretch>
        </xdr:blipFill>
        <xdr:spPr>
          <a:xfrm>
            <a:off x="0" y="17583150"/>
            <a:ext cx="5781675" cy="5178451"/>
          </a:xfrm>
          <a:prstGeom prst="rect">
            <a:avLst/>
          </a:prstGeom>
        </xdr:spPr>
      </xdr:pic>
      <xdr:pic>
        <xdr:nvPicPr>
          <xdr:cNvPr id="9" name="图片 8">
            <a:extLst>
              <a:ext uri="{FF2B5EF4-FFF2-40B4-BE49-F238E27FC236}">
                <a16:creationId xmlns:a16="http://schemas.microsoft.com/office/drawing/2014/main" id="{01DB1C68-3F7E-564E-FB98-A32287FACA52}"/>
              </a:ext>
            </a:extLst>
          </xdr:cNvPr>
          <xdr:cNvPicPr>
            <a:picLocks noChangeAspect="1"/>
          </xdr:cNvPicPr>
        </xdr:nvPicPr>
        <xdr:blipFill>
          <a:blip xmlns:r="http://schemas.openxmlformats.org/officeDocument/2006/relationships" r:embed="rId3"/>
          <a:stretch>
            <a:fillRect/>
          </a:stretch>
        </xdr:blipFill>
        <xdr:spPr>
          <a:xfrm>
            <a:off x="5823249" y="18097500"/>
            <a:ext cx="5514376" cy="3305175"/>
          </a:xfrm>
          <a:prstGeom prst="rect">
            <a:avLst/>
          </a:prstGeom>
        </xdr:spPr>
      </xdr:pic>
    </xdr:grpSp>
    <xdr:clientData/>
  </xdr:twoCellAnchor>
  <xdr:twoCellAnchor>
    <xdr:from>
      <xdr:col>2</xdr:col>
      <xdr:colOff>161925</xdr:colOff>
      <xdr:row>37</xdr:row>
      <xdr:rowOff>76200</xdr:rowOff>
    </xdr:from>
    <xdr:to>
      <xdr:col>3</xdr:col>
      <xdr:colOff>571500</xdr:colOff>
      <xdr:row>38</xdr:row>
      <xdr:rowOff>95250</xdr:rowOff>
    </xdr:to>
    <xdr:sp macro="" textlink="">
      <xdr:nvSpPr>
        <xdr:cNvPr id="5" name="矩形 4">
          <a:extLst>
            <a:ext uri="{FF2B5EF4-FFF2-40B4-BE49-F238E27FC236}">
              <a16:creationId xmlns:a16="http://schemas.microsoft.com/office/drawing/2014/main" id="{386414D1-0388-4BA4-AC0C-8633A17A330A}"/>
            </a:ext>
          </a:extLst>
        </xdr:cNvPr>
        <xdr:cNvSpPr/>
      </xdr:nvSpPr>
      <xdr:spPr>
        <a:xfrm>
          <a:off x="3257550" y="5867400"/>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476250</xdr:colOff>
      <xdr:row>35</xdr:row>
      <xdr:rowOff>85725</xdr:rowOff>
    </xdr:from>
    <xdr:to>
      <xdr:col>8</xdr:col>
      <xdr:colOff>180975</xdr:colOff>
      <xdr:row>36</xdr:row>
      <xdr:rowOff>104775</xdr:rowOff>
    </xdr:to>
    <xdr:sp macro="" textlink="">
      <xdr:nvSpPr>
        <xdr:cNvPr id="6" name="矩形 5">
          <a:extLst>
            <a:ext uri="{FF2B5EF4-FFF2-40B4-BE49-F238E27FC236}">
              <a16:creationId xmlns:a16="http://schemas.microsoft.com/office/drawing/2014/main" id="{9150C8DD-6F02-4DF6-BFF4-6C71297B4D3D}"/>
            </a:ext>
          </a:extLst>
        </xdr:cNvPr>
        <xdr:cNvSpPr/>
      </xdr:nvSpPr>
      <xdr:spPr>
        <a:xfrm>
          <a:off x="7010400" y="5572125"/>
          <a:ext cx="1123950" cy="1714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85725</xdr:colOff>
      <xdr:row>34</xdr:row>
      <xdr:rowOff>95250</xdr:rowOff>
    </xdr:from>
    <xdr:to>
      <xdr:col>6</xdr:col>
      <xdr:colOff>476250</xdr:colOff>
      <xdr:row>37</xdr:row>
      <xdr:rowOff>0</xdr:rowOff>
    </xdr:to>
    <xdr:sp macro="" textlink="">
      <xdr:nvSpPr>
        <xdr:cNvPr id="12" name="矩形 11">
          <a:extLst>
            <a:ext uri="{FF2B5EF4-FFF2-40B4-BE49-F238E27FC236}">
              <a16:creationId xmlns:a16="http://schemas.microsoft.com/office/drawing/2014/main" id="{83811CE0-CCA9-CFDF-ACC6-DD02DC5103E2}"/>
            </a:ext>
          </a:extLst>
        </xdr:cNvPr>
        <xdr:cNvSpPr/>
      </xdr:nvSpPr>
      <xdr:spPr>
        <a:xfrm>
          <a:off x="6619875" y="5429250"/>
          <a:ext cx="390525" cy="3619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695325</xdr:colOff>
      <xdr:row>42</xdr:row>
      <xdr:rowOff>19050</xdr:rowOff>
    </xdr:from>
    <xdr:to>
      <xdr:col>3</xdr:col>
      <xdr:colOff>304800</xdr:colOff>
      <xdr:row>44</xdr:row>
      <xdr:rowOff>19050</xdr:rowOff>
    </xdr:to>
    <xdr:sp macro="" textlink="">
      <xdr:nvSpPr>
        <xdr:cNvPr id="13" name="星形: 五角 12">
          <a:extLst>
            <a:ext uri="{FF2B5EF4-FFF2-40B4-BE49-F238E27FC236}">
              <a16:creationId xmlns:a16="http://schemas.microsoft.com/office/drawing/2014/main" id="{A3C7EB91-CDF5-872A-715D-9F65258780DF}"/>
            </a:ext>
          </a:extLst>
        </xdr:cNvPr>
        <xdr:cNvSpPr/>
      </xdr:nvSpPr>
      <xdr:spPr>
        <a:xfrm>
          <a:off x="3790950" y="6572250"/>
          <a:ext cx="323850" cy="304800"/>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xdr:colOff>
      <xdr:row>58</xdr:row>
      <xdr:rowOff>19050</xdr:rowOff>
    </xdr:from>
    <xdr:to>
      <xdr:col>15</xdr:col>
      <xdr:colOff>399246</xdr:colOff>
      <xdr:row>85</xdr:row>
      <xdr:rowOff>130253</xdr:rowOff>
    </xdr:to>
    <xdr:grpSp>
      <xdr:nvGrpSpPr>
        <xdr:cNvPr id="15" name="组合 14">
          <a:extLst>
            <a:ext uri="{FF2B5EF4-FFF2-40B4-BE49-F238E27FC236}">
              <a16:creationId xmlns:a16="http://schemas.microsoft.com/office/drawing/2014/main" id="{DA5EBEC1-549E-FFB6-3E13-B4E2C49E0733}"/>
            </a:ext>
          </a:extLst>
        </xdr:cNvPr>
        <xdr:cNvGrpSpPr/>
      </xdr:nvGrpSpPr>
      <xdr:grpSpPr>
        <a:xfrm>
          <a:off x="1" y="9263903"/>
          <a:ext cx="14182480" cy="4347026"/>
          <a:chOff x="1" y="18307050"/>
          <a:chExt cx="13238945" cy="4226003"/>
        </a:xfrm>
      </xdr:grpSpPr>
      <xdr:pic>
        <xdr:nvPicPr>
          <xdr:cNvPr id="10" name="图片 9">
            <a:extLst>
              <a:ext uri="{FF2B5EF4-FFF2-40B4-BE49-F238E27FC236}">
                <a16:creationId xmlns:a16="http://schemas.microsoft.com/office/drawing/2014/main" id="{CB57A79A-8A9A-FF07-EED7-73D86A8DDD6F}"/>
              </a:ext>
            </a:extLst>
          </xdr:cNvPr>
          <xdr:cNvPicPr>
            <a:picLocks noChangeAspect="1"/>
          </xdr:cNvPicPr>
        </xdr:nvPicPr>
        <xdr:blipFill>
          <a:blip xmlns:r="http://schemas.openxmlformats.org/officeDocument/2006/relationships" r:embed="rId4"/>
          <a:stretch>
            <a:fillRect/>
          </a:stretch>
        </xdr:blipFill>
        <xdr:spPr>
          <a:xfrm>
            <a:off x="1" y="18307050"/>
            <a:ext cx="7220688" cy="4152900"/>
          </a:xfrm>
          <a:prstGeom prst="rect">
            <a:avLst/>
          </a:prstGeom>
        </xdr:spPr>
      </xdr:pic>
      <xdr:pic>
        <xdr:nvPicPr>
          <xdr:cNvPr id="14" name="图片 13">
            <a:extLst>
              <a:ext uri="{FF2B5EF4-FFF2-40B4-BE49-F238E27FC236}">
                <a16:creationId xmlns:a16="http://schemas.microsoft.com/office/drawing/2014/main" id="{8DF20C48-8BE6-8172-77DB-44705FC7DAAD}"/>
              </a:ext>
            </a:extLst>
          </xdr:cNvPr>
          <xdr:cNvPicPr>
            <a:picLocks noChangeAspect="1"/>
          </xdr:cNvPicPr>
        </xdr:nvPicPr>
        <xdr:blipFill>
          <a:blip xmlns:r="http://schemas.openxmlformats.org/officeDocument/2006/relationships" r:embed="rId5"/>
          <a:stretch>
            <a:fillRect/>
          </a:stretch>
        </xdr:blipFill>
        <xdr:spPr>
          <a:xfrm>
            <a:off x="7143750" y="18307050"/>
            <a:ext cx="6095196" cy="4226003"/>
          </a:xfrm>
          <a:prstGeom prst="rect">
            <a:avLst/>
          </a:prstGeom>
        </xdr:spPr>
      </xdr:pic>
    </xdr:grpSp>
    <xdr:clientData/>
  </xdr:twoCellAnchor>
  <xdr:twoCellAnchor>
    <xdr:from>
      <xdr:col>0</xdr:col>
      <xdr:colOff>0</xdr:colOff>
      <xdr:row>86</xdr:row>
      <xdr:rowOff>9525</xdr:rowOff>
    </xdr:from>
    <xdr:to>
      <xdr:col>20</xdr:col>
      <xdr:colOff>570779</xdr:colOff>
      <xdr:row>117</xdr:row>
      <xdr:rowOff>149246</xdr:rowOff>
    </xdr:to>
    <xdr:grpSp>
      <xdr:nvGrpSpPr>
        <xdr:cNvPr id="20" name="组合 19">
          <a:extLst>
            <a:ext uri="{FF2B5EF4-FFF2-40B4-BE49-F238E27FC236}">
              <a16:creationId xmlns:a16="http://schemas.microsoft.com/office/drawing/2014/main" id="{D111E3E6-7C4D-5BAC-0DEC-22F7581E9E55}"/>
            </a:ext>
          </a:extLst>
        </xdr:cNvPr>
        <xdr:cNvGrpSpPr/>
      </xdr:nvGrpSpPr>
      <xdr:grpSpPr>
        <a:xfrm>
          <a:off x="0" y="13647084"/>
          <a:ext cx="18892397" cy="5003074"/>
          <a:chOff x="0" y="22564725"/>
          <a:chExt cx="17953904" cy="4864121"/>
        </a:xfrm>
      </xdr:grpSpPr>
      <xdr:pic>
        <xdr:nvPicPr>
          <xdr:cNvPr id="17" name="图片 16">
            <a:extLst>
              <a:ext uri="{FF2B5EF4-FFF2-40B4-BE49-F238E27FC236}">
                <a16:creationId xmlns:a16="http://schemas.microsoft.com/office/drawing/2014/main" id="{E724390D-8D5C-851F-A144-9998F7582D06}"/>
              </a:ext>
            </a:extLst>
          </xdr:cNvPr>
          <xdr:cNvPicPr>
            <a:picLocks noChangeAspect="1"/>
          </xdr:cNvPicPr>
        </xdr:nvPicPr>
        <xdr:blipFill>
          <a:blip xmlns:r="http://schemas.openxmlformats.org/officeDocument/2006/relationships" r:embed="rId6"/>
          <a:stretch>
            <a:fillRect/>
          </a:stretch>
        </xdr:blipFill>
        <xdr:spPr>
          <a:xfrm>
            <a:off x="6039715" y="22659975"/>
            <a:ext cx="6213168" cy="4768871"/>
          </a:xfrm>
          <a:prstGeom prst="rect">
            <a:avLst/>
          </a:prstGeom>
        </xdr:spPr>
      </xdr:pic>
      <xdr:pic>
        <xdr:nvPicPr>
          <xdr:cNvPr id="18" name="图片 17">
            <a:extLst>
              <a:ext uri="{FF2B5EF4-FFF2-40B4-BE49-F238E27FC236}">
                <a16:creationId xmlns:a16="http://schemas.microsoft.com/office/drawing/2014/main" id="{8FC16454-1847-6A39-6A6D-920686086474}"/>
              </a:ext>
            </a:extLst>
          </xdr:cNvPr>
          <xdr:cNvPicPr>
            <a:picLocks noChangeAspect="1"/>
          </xdr:cNvPicPr>
        </xdr:nvPicPr>
        <xdr:blipFill>
          <a:blip xmlns:r="http://schemas.openxmlformats.org/officeDocument/2006/relationships" r:embed="rId7"/>
          <a:stretch>
            <a:fillRect/>
          </a:stretch>
        </xdr:blipFill>
        <xdr:spPr>
          <a:xfrm>
            <a:off x="0" y="22669500"/>
            <a:ext cx="6038095" cy="4190476"/>
          </a:xfrm>
          <a:prstGeom prst="rect">
            <a:avLst/>
          </a:prstGeom>
        </xdr:spPr>
      </xdr:pic>
      <xdr:pic>
        <xdr:nvPicPr>
          <xdr:cNvPr id="19" name="图片 18">
            <a:extLst>
              <a:ext uri="{FF2B5EF4-FFF2-40B4-BE49-F238E27FC236}">
                <a16:creationId xmlns:a16="http://schemas.microsoft.com/office/drawing/2014/main" id="{F2A80E27-6E62-3870-5EFF-B638ADCE1009}"/>
              </a:ext>
            </a:extLst>
          </xdr:cNvPr>
          <xdr:cNvPicPr>
            <a:picLocks noChangeAspect="1"/>
          </xdr:cNvPicPr>
        </xdr:nvPicPr>
        <xdr:blipFill>
          <a:blip xmlns:r="http://schemas.openxmlformats.org/officeDocument/2006/relationships" r:embed="rId8"/>
          <a:stretch>
            <a:fillRect/>
          </a:stretch>
        </xdr:blipFill>
        <xdr:spPr>
          <a:xfrm>
            <a:off x="12182475" y="22564725"/>
            <a:ext cx="5771429" cy="4419048"/>
          </a:xfrm>
          <a:prstGeom prst="rect">
            <a:avLst/>
          </a:prstGeom>
        </xdr:spPr>
      </xdr:pic>
    </xdr:grpSp>
    <xdr:clientData/>
  </xdr:twoCellAnchor>
  <xdr:twoCellAnchor editAs="oneCell">
    <xdr:from>
      <xdr:col>15</xdr:col>
      <xdr:colOff>72839</xdr:colOff>
      <xdr:row>26</xdr:row>
      <xdr:rowOff>134471</xdr:rowOff>
    </xdr:from>
    <xdr:to>
      <xdr:col>33</xdr:col>
      <xdr:colOff>237813</xdr:colOff>
      <xdr:row>76</xdr:row>
      <xdr:rowOff>14809</xdr:rowOff>
    </xdr:to>
    <xdr:pic>
      <xdr:nvPicPr>
        <xdr:cNvPr id="23" name="图片 22">
          <a:extLst>
            <a:ext uri="{FF2B5EF4-FFF2-40B4-BE49-F238E27FC236}">
              <a16:creationId xmlns:a16="http://schemas.microsoft.com/office/drawing/2014/main" id="{0FD5188C-621E-D8C0-6E45-023BA786DC9E}"/>
            </a:ext>
          </a:extLst>
        </xdr:cNvPr>
        <xdr:cNvPicPr>
          <a:picLocks noChangeAspect="1"/>
        </xdr:cNvPicPr>
      </xdr:nvPicPr>
      <xdr:blipFill>
        <a:blip xmlns:r="http://schemas.openxmlformats.org/officeDocument/2006/relationships" r:embed="rId9"/>
        <a:stretch>
          <a:fillRect/>
        </a:stretch>
      </xdr:blipFill>
      <xdr:spPr>
        <a:xfrm>
          <a:off x="12914780" y="4359089"/>
          <a:ext cx="13589621" cy="7724455"/>
        </a:xfrm>
        <a:prstGeom prst="rect">
          <a:avLst/>
        </a:prstGeom>
      </xdr:spPr>
    </xdr:pic>
    <xdr:clientData/>
  </xdr:twoCellAnchor>
  <xdr:twoCellAnchor editAs="oneCell">
    <xdr:from>
      <xdr:col>4</xdr:col>
      <xdr:colOff>67236</xdr:colOff>
      <xdr:row>149</xdr:row>
      <xdr:rowOff>11206</xdr:rowOff>
    </xdr:from>
    <xdr:to>
      <xdr:col>11</xdr:col>
      <xdr:colOff>431790</xdr:colOff>
      <xdr:row>158</xdr:row>
      <xdr:rowOff>324280</xdr:rowOff>
    </xdr:to>
    <xdr:pic>
      <xdr:nvPicPr>
        <xdr:cNvPr id="24" name="图片 23">
          <a:extLst>
            <a:ext uri="{FF2B5EF4-FFF2-40B4-BE49-F238E27FC236}">
              <a16:creationId xmlns:a16="http://schemas.microsoft.com/office/drawing/2014/main" id="{5FCA91FA-CF45-F9CF-D6FA-3D92E9AF994A}"/>
            </a:ext>
          </a:extLst>
        </xdr:cNvPr>
        <xdr:cNvPicPr>
          <a:picLocks noChangeAspect="1"/>
        </xdr:cNvPicPr>
      </xdr:nvPicPr>
      <xdr:blipFill>
        <a:blip xmlns:r="http://schemas.openxmlformats.org/officeDocument/2006/relationships" r:embed="rId10"/>
        <a:stretch>
          <a:fillRect/>
        </a:stretch>
      </xdr:blipFill>
      <xdr:spPr>
        <a:xfrm>
          <a:off x="5546912" y="23532353"/>
          <a:ext cx="6057143" cy="5523809"/>
        </a:xfrm>
        <a:prstGeom prst="rect">
          <a:avLst/>
        </a:prstGeom>
      </xdr:spPr>
    </xdr:pic>
    <xdr:clientData/>
  </xdr:twoCellAnchor>
  <xdr:twoCellAnchor editAs="oneCell">
    <xdr:from>
      <xdr:col>11</xdr:col>
      <xdr:colOff>481852</xdr:colOff>
      <xdr:row>149</xdr:row>
      <xdr:rowOff>67236</xdr:rowOff>
    </xdr:from>
    <xdr:to>
      <xdr:col>19</xdr:col>
      <xdr:colOff>54153</xdr:colOff>
      <xdr:row>157</xdr:row>
      <xdr:rowOff>300306</xdr:rowOff>
    </xdr:to>
    <xdr:pic>
      <xdr:nvPicPr>
        <xdr:cNvPr id="25" name="图片 24">
          <a:extLst>
            <a:ext uri="{FF2B5EF4-FFF2-40B4-BE49-F238E27FC236}">
              <a16:creationId xmlns:a16="http://schemas.microsoft.com/office/drawing/2014/main" id="{13D166FA-A4DF-6ED2-DF6C-E7122354F0EB}"/>
            </a:ext>
          </a:extLst>
        </xdr:cNvPr>
        <xdr:cNvPicPr>
          <a:picLocks noChangeAspect="1"/>
        </xdr:cNvPicPr>
      </xdr:nvPicPr>
      <xdr:blipFill>
        <a:blip xmlns:r="http://schemas.openxmlformats.org/officeDocument/2006/relationships" r:embed="rId11"/>
        <a:stretch>
          <a:fillRect/>
        </a:stretch>
      </xdr:blipFill>
      <xdr:spPr>
        <a:xfrm>
          <a:off x="11654117" y="23588383"/>
          <a:ext cx="6038095"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估价对象为北京市房地产，为所有。根据《国有土地使用证》[]，估价对象（分摊）出让国有建设用地使用权面积为24498.84平方米，建筑面积为119963.53平方米。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估价对象为北京市房地产,属开发建设的，该项目尚在开发建设中。根据《国有土地使用证》[]，估价对象（分摊）出让国有建设用地使用权面积为24498.84平方米，规划建筑面积为119963.53平方米。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2026年4月14日（评估专业人员实地查勘之日）</v>
      </c>
    </row>
    <row r="13" spans="1:2">
      <c r="A13" s="793" t="s">
        <v>523</v>
      </c>
      <c r="B13" s="794" t="str">
        <f>'预评函-1'!A18</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260382</v>
      </c>
    </row>
    <row r="21" spans="1:2">
      <c r="A21" s="793" t="s">
        <v>531</v>
      </c>
      <c r="B21" s="794">
        <f ca="1">'预评函-2'!D7</f>
        <v>21705</v>
      </c>
    </row>
    <row r="22" spans="1:2">
      <c r="A22" s="793" t="s">
        <v>532</v>
      </c>
      <c r="B22" s="794" t="str">
        <f ca="1">'预评函-2'!D6</f>
        <v>贰拾陆亿零叁佰捌拾贰万元整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260382</v>
      </c>
    </row>
    <row r="31" spans="1:2">
      <c r="A31" s="793" t="s">
        <v>570</v>
      </c>
      <c r="B31" s="794">
        <f ca="1">'预评函-2'!D15</f>
        <v>21705</v>
      </c>
    </row>
    <row r="32" spans="1:2">
      <c r="A32" s="793" t="s">
        <v>537</v>
      </c>
      <c r="B32" s="794" t="str">
        <f ca="1">'预评函-2'!D14</f>
        <v>贰拾陆亿零叁佰捌拾贰万元整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119963.53</v>
      </c>
    </row>
    <row r="44" spans="1:2">
      <c r="A44" s="793" t="s">
        <v>569</v>
      </c>
      <c r="B44" s="794" t="str">
        <f>'预评函-3'!C2</f>
        <v>(分摊)土地面积</v>
      </c>
    </row>
    <row r="45" spans="1:2">
      <c r="A45" s="793" t="s">
        <v>541</v>
      </c>
      <c r="B45" s="794">
        <f>'预评函-3'!C4</f>
        <v>24498.84</v>
      </c>
    </row>
    <row r="46" spans="1:2">
      <c r="A46" s="793" t="s">
        <v>567</v>
      </c>
      <c r="B46" s="794" t="str">
        <f>'预评函-3'!D2</f>
        <v>出让国有建设用地使用权价值</v>
      </c>
    </row>
    <row r="47" spans="1:2">
      <c r="A47" s="793" t="s">
        <v>542</v>
      </c>
      <c r="B47" s="794">
        <f ca="1">'预评函-3'!D4</f>
        <v>159875</v>
      </c>
    </row>
    <row r="48" spans="1:2">
      <c r="A48" s="793" t="s">
        <v>543</v>
      </c>
      <c r="B48" s="794">
        <f ca="1">'预评函-3'!E4</f>
        <v>13327</v>
      </c>
    </row>
    <row r="49" spans="1:2">
      <c r="A49" s="793" t="s">
        <v>544</v>
      </c>
      <c r="B49" s="794" t="str">
        <f ca="1">'预评函-3'!D5</f>
        <v>壹拾伍亿玖仟捌佰柒拾伍万元整</v>
      </c>
    </row>
    <row r="50" spans="1:2">
      <c r="A50" s="793" t="s">
        <v>568</v>
      </c>
      <c r="B50" s="794" t="str">
        <f>'预评函-3'!F2</f>
        <v>建筑物价值</v>
      </c>
    </row>
    <row r="51" spans="1:2">
      <c r="A51" s="793" t="s">
        <v>545</v>
      </c>
      <c r="B51" s="794">
        <f ca="1">'预评函-3'!F4</f>
        <v>100507</v>
      </c>
    </row>
    <row r="52" spans="1:2">
      <c r="A52" s="793" t="s">
        <v>546</v>
      </c>
      <c r="B52" s="794">
        <f ca="1">'预评函-3'!G4</f>
        <v>8378</v>
      </c>
    </row>
    <row r="53" spans="1:2">
      <c r="A53" s="793" t="s">
        <v>574</v>
      </c>
      <c r="B53" s="794" t="str">
        <f ca="1">'预评函-3'!F5</f>
        <v>壹拾亿零伍佰零柒万元整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3230</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66">
        <v>20</v>
      </c>
      <c r="H2" s="1087" t="s">
        <v>980</v>
      </c>
      <c r="I2" s="1087" t="s">
        <v>3216</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2321</v>
      </c>
      <c r="Y2" s="1089" t="s">
        <v>3271</v>
      </c>
      <c r="Z2" s="1089" t="s">
        <v>2334</v>
      </c>
      <c r="AA2" s="1089" t="s">
        <v>3272</v>
      </c>
      <c r="AB2" s="1089" t="s">
        <v>2361</v>
      </c>
    </row>
    <row r="3" spans="1:28">
      <c r="A3" s="1085" t="s">
        <v>985</v>
      </c>
      <c r="B3" s="1088" t="s">
        <v>442</v>
      </c>
      <c r="C3" s="1086" t="s">
        <v>314</v>
      </c>
      <c r="D3" s="1087" t="s">
        <v>986</v>
      </c>
      <c r="E3" s="1087" t="s">
        <v>12</v>
      </c>
      <c r="F3" s="1087" t="s">
        <v>987</v>
      </c>
      <c r="G3" s="3466">
        <v>40</v>
      </c>
      <c r="H3" s="1087" t="s">
        <v>987</v>
      </c>
      <c r="I3" s="1087" t="s">
        <v>3217</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2323</v>
      </c>
      <c r="Z3" s="1089" t="s">
        <v>2336</v>
      </c>
      <c r="AB3" s="1089" t="s">
        <v>2363</v>
      </c>
    </row>
    <row r="4" spans="1:28">
      <c r="A4" s="1085" t="s">
        <v>992</v>
      </c>
      <c r="B4" s="1085" t="s">
        <v>993</v>
      </c>
      <c r="C4" s="1086" t="s">
        <v>315</v>
      </c>
      <c r="D4" s="1087" t="s">
        <v>383</v>
      </c>
      <c r="E4" s="1087" t="s">
        <v>994</v>
      </c>
      <c r="F4" s="1087" t="s">
        <v>995</v>
      </c>
      <c r="G4" s="3466">
        <v>50</v>
      </c>
      <c r="H4" s="1087" t="s">
        <v>995</v>
      </c>
      <c r="I4" s="1087" t="s">
        <v>3218</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2325</v>
      </c>
      <c r="Z4" s="1089" t="s">
        <v>2338</v>
      </c>
      <c r="AB4" s="1089" t="s">
        <v>2365</v>
      </c>
    </row>
    <row r="5" spans="1:28">
      <c r="A5" s="1085" t="s">
        <v>998</v>
      </c>
      <c r="B5" s="1085" t="s">
        <v>999</v>
      </c>
      <c r="C5" s="1086" t="s">
        <v>316</v>
      </c>
      <c r="F5" s="1087" t="s">
        <v>1000</v>
      </c>
      <c r="G5" s="3466">
        <v>70</v>
      </c>
      <c r="H5" s="1087" t="s">
        <v>1001</v>
      </c>
      <c r="I5" s="1087" t="s">
        <v>3219</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2327</v>
      </c>
      <c r="Z5" s="1089" t="s">
        <v>2340</v>
      </c>
      <c r="AB5" s="1089" t="s">
        <v>3273</v>
      </c>
    </row>
    <row r="6" spans="1:28">
      <c r="A6" s="1085" t="s">
        <v>1004</v>
      </c>
      <c r="B6" s="1088" t="s">
        <v>443</v>
      </c>
      <c r="C6" s="1090" t="s">
        <v>22</v>
      </c>
      <c r="F6" s="1087" t="s">
        <v>1001</v>
      </c>
      <c r="H6" s="1087" t="s">
        <v>1005</v>
      </c>
      <c r="I6" s="1087" t="s">
        <v>3220</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2329</v>
      </c>
      <c r="Z6" s="1089" t="s">
        <v>2342</v>
      </c>
      <c r="AB6" s="1089" t="s">
        <v>2368</v>
      </c>
    </row>
    <row r="7" spans="1:28">
      <c r="A7" s="1085" t="s">
        <v>1007</v>
      </c>
      <c r="B7" s="1088" t="s">
        <v>444</v>
      </c>
      <c r="C7" s="1086" t="s">
        <v>23</v>
      </c>
      <c r="F7" s="1087" t="s">
        <v>1008</v>
      </c>
      <c r="H7" s="1087" t="s">
        <v>1009</v>
      </c>
      <c r="I7" s="1087" t="s">
        <v>3221</v>
      </c>
      <c r="X7" s="1089" t="s">
        <v>2331</v>
      </c>
      <c r="Z7" s="1089" t="s">
        <v>2344</v>
      </c>
      <c r="AB7" s="1089" t="s">
        <v>2370</v>
      </c>
    </row>
    <row r="8" spans="1:28">
      <c r="A8" s="1085" t="s">
        <v>1010</v>
      </c>
      <c r="B8" s="1085" t="s">
        <v>2315</v>
      </c>
      <c r="C8" s="1086" t="s">
        <v>317</v>
      </c>
      <c r="F8" s="1087" t="s">
        <v>1012</v>
      </c>
      <c r="H8" s="1087" t="s">
        <v>2459</v>
      </c>
      <c r="I8" s="1087" t="s">
        <v>3222</v>
      </c>
      <c r="X8" s="1089" t="s">
        <v>3274</v>
      </c>
      <c r="Z8" s="1089" t="s">
        <v>2346</v>
      </c>
      <c r="AB8" s="1089" t="s">
        <v>2372</v>
      </c>
    </row>
    <row r="9" spans="1:28">
      <c r="A9" s="1085" t="s">
        <v>1013</v>
      </c>
      <c r="B9" s="1085" t="s">
        <v>1011</v>
      </c>
      <c r="C9" s="1086" t="s">
        <v>318</v>
      </c>
      <c r="F9" s="1087" t="s">
        <v>1015</v>
      </c>
      <c r="H9" s="1087"/>
      <c r="I9" s="1089" t="s">
        <v>3223</v>
      </c>
      <c r="X9" s="1089" t="s">
        <v>3275</v>
      </c>
      <c r="Z9" s="1089" t="s">
        <v>2348</v>
      </c>
      <c r="AB9" s="1089" t="s">
        <v>2374</v>
      </c>
    </row>
    <row r="10" spans="1:28">
      <c r="A10" s="1085" t="s">
        <v>1016</v>
      </c>
      <c r="B10" s="1085" t="s">
        <v>1014</v>
      </c>
      <c r="C10" s="1086" t="s">
        <v>319</v>
      </c>
      <c r="F10" s="1087" t="s">
        <v>2460</v>
      </c>
      <c r="I10" s="1089" t="s">
        <v>3224</v>
      </c>
      <c r="Z10" s="1089" t="s">
        <v>2350</v>
      </c>
      <c r="AB10" s="1089" t="s">
        <v>2376</v>
      </c>
    </row>
    <row r="11" spans="1:28">
      <c r="A11" s="1085" t="s">
        <v>1018</v>
      </c>
      <c r="B11" s="1085" t="s">
        <v>1017</v>
      </c>
      <c r="C11" s="1086" t="s">
        <v>320</v>
      </c>
      <c r="F11" s="1087" t="s">
        <v>12</v>
      </c>
      <c r="I11" s="1089" t="s">
        <v>3225</v>
      </c>
      <c r="Z11" s="1089" t="s">
        <v>2352</v>
      </c>
      <c r="AB11" s="1089" t="s">
        <v>2378</v>
      </c>
    </row>
    <row r="12" spans="1:28">
      <c r="A12" s="1085" t="s">
        <v>1020</v>
      </c>
      <c r="B12" s="1085" t="s">
        <v>1019</v>
      </c>
      <c r="C12" s="1086" t="s">
        <v>321</v>
      </c>
      <c r="I12" s="1089" t="s">
        <v>3226</v>
      </c>
      <c r="Z12" s="1089" t="s">
        <v>2354</v>
      </c>
      <c r="AB12" s="1089" t="s">
        <v>2380</v>
      </c>
    </row>
    <row r="13" spans="1:28">
      <c r="A13" s="1085" t="s">
        <v>1022</v>
      </c>
      <c r="B13" s="1085" t="s">
        <v>1021</v>
      </c>
      <c r="C13" s="1086" t="s">
        <v>322</v>
      </c>
      <c r="I13" s="1089" t="s">
        <v>3227</v>
      </c>
      <c r="Z13" s="1089" t="s">
        <v>2356</v>
      </c>
    </row>
    <row r="14" spans="1:28">
      <c r="A14" s="1085" t="s">
        <v>1024</v>
      </c>
      <c r="B14" s="1085" t="s">
        <v>1023</v>
      </c>
      <c r="C14" s="1087" t="s">
        <v>12</v>
      </c>
      <c r="I14" s="1089" t="s">
        <v>3228</v>
      </c>
      <c r="Z14" s="1089" t="s">
        <v>2358</v>
      </c>
    </row>
    <row r="15" spans="1:28">
      <c r="A15" s="1085" t="s">
        <v>1026</v>
      </c>
      <c r="B15" s="1085" t="s">
        <v>2192</v>
      </c>
      <c r="C15" s="1086"/>
      <c r="I15" s="1089" t="s">
        <v>3229</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2192</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6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7"/>
      <c r="B54" s="1091" t="s">
        <v>379</v>
      </c>
      <c r="C54" s="1089" t="s">
        <v>577</v>
      </c>
    </row>
    <row r="55" spans="1:4">
      <c r="A55" s="4367"/>
      <c r="B55" s="1091" t="s">
        <v>380</v>
      </c>
      <c r="C55" s="1089" t="s">
        <v>578</v>
      </c>
    </row>
    <row r="56" spans="1:4">
      <c r="A56" s="4367"/>
      <c r="B56" s="1091" t="s">
        <v>381</v>
      </c>
      <c r="C56" s="1089" t="s">
        <v>582</v>
      </c>
    </row>
    <row r="57" spans="1:4">
      <c r="A57" s="436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G1" zoomScaleNormal="100" workbookViewId="0">
      <selection activeCell="P22" sqref="P22"/>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2382</v>
      </c>
      <c r="B1" s="2176"/>
      <c r="C1" s="2176"/>
      <c r="D1" s="2176"/>
      <c r="E1" s="2176"/>
      <c r="F1" s="2177"/>
      <c r="I1" s="2461" t="s">
        <v>2475</v>
      </c>
      <c r="J1" s="3482"/>
      <c r="K1" s="3482"/>
      <c r="L1" s="3482"/>
      <c r="M1" s="3482"/>
      <c r="N1" s="3483"/>
      <c r="O1" s="3483"/>
      <c r="P1" s="3483"/>
      <c r="Q1" s="3483"/>
      <c r="R1" s="3484"/>
    </row>
    <row r="2" spans="1:19">
      <c r="A2" s="2179"/>
      <c r="B2" s="2180"/>
      <c r="C2" s="2180"/>
      <c r="D2" s="2180"/>
      <c r="E2" s="2180"/>
      <c r="F2" s="2181"/>
      <c r="I2" s="4368" t="s">
        <v>2462</v>
      </c>
      <c r="J2" s="4369"/>
      <c r="K2" s="4369"/>
      <c r="L2" s="4369"/>
      <c r="M2" s="4369"/>
      <c r="N2" s="4369"/>
      <c r="O2" s="4369"/>
      <c r="P2" s="4369"/>
      <c r="Q2" s="4369"/>
      <c r="R2" s="4370"/>
    </row>
    <row r="3" spans="1:19">
      <c r="A3" s="2182" t="s">
        <v>2383</v>
      </c>
      <c r="B3" s="2183">
        <f>项目基本情况!D3</f>
        <v>46126</v>
      </c>
      <c r="C3" s="2184"/>
      <c r="D3" s="2184"/>
      <c r="E3" s="2184"/>
      <c r="F3" s="2181"/>
      <c r="I3" s="2188"/>
      <c r="J3" s="2189" t="s">
        <v>2466</v>
      </c>
      <c r="K3" s="2189" t="s">
        <v>2467</v>
      </c>
      <c r="L3" s="2189" t="s">
        <v>2468</v>
      </c>
      <c r="M3" s="2189" t="s">
        <v>2469</v>
      </c>
      <c r="N3" s="2462" t="s">
        <v>2470</v>
      </c>
      <c r="O3" s="2462" t="s">
        <v>2471</v>
      </c>
      <c r="P3" s="2462" t="s">
        <v>2472</v>
      </c>
      <c r="Q3" s="2462" t="s">
        <v>2473</v>
      </c>
      <c r="R3" s="3469" t="s">
        <v>2474</v>
      </c>
    </row>
    <row r="4" spans="1:19">
      <c r="A4" s="2182" t="s">
        <v>2384</v>
      </c>
      <c r="B4" s="2184" t="s">
        <v>2385</v>
      </c>
      <c r="C4" s="2184" t="s">
        <v>2386</v>
      </c>
      <c r="D4" s="2184" t="s">
        <v>2387</v>
      </c>
      <c r="E4" s="2184" t="s">
        <v>2388</v>
      </c>
      <c r="F4" s="2181"/>
      <c r="I4" s="2188" t="s">
        <v>2463</v>
      </c>
      <c r="J4" s="3947">
        <v>80</v>
      </c>
      <c r="K4" s="3947">
        <v>70</v>
      </c>
      <c r="L4" s="3947">
        <v>20</v>
      </c>
      <c r="M4" s="3947">
        <v>30</v>
      </c>
      <c r="N4" s="3486">
        <v>45</v>
      </c>
      <c r="O4" s="3486">
        <v>60</v>
      </c>
      <c r="P4" s="3486">
        <v>50</v>
      </c>
      <c r="Q4" s="3486">
        <v>20</v>
      </c>
      <c r="R4" s="3948">
        <v>375</v>
      </c>
    </row>
    <row r="5" spans="1:19">
      <c r="A5" s="3485">
        <v>40</v>
      </c>
      <c r="B5" s="2183">
        <v>46375</v>
      </c>
      <c r="C5" s="3486">
        <f>ROUNDDOWN(MIN((B5-B3)/365,A5),2)</f>
        <v>0.68</v>
      </c>
      <c r="D5" s="3487">
        <f>IF(ISERROR(ROUND(POWER(1+E5,A5-C5)*(POWER(1+E5,C5)-1)/(POWER(1+E5,A5)-1),3)),0,ROUND(POWER(1+E5,A5-C5)*(POWER(1+E5,C5)-1)/(POWER(1+E5,A5)-1),4))</f>
        <v>3.32E-2</v>
      </c>
      <c r="E5" s="3488">
        <v>0.04</v>
      </c>
      <c r="F5" s="2181"/>
      <c r="I5" s="2188" t="s">
        <v>2464</v>
      </c>
      <c r="J5" s="3947">
        <v>70</v>
      </c>
      <c r="K5" s="3947">
        <v>60</v>
      </c>
      <c r="L5" s="3947">
        <v>15</v>
      </c>
      <c r="M5" s="3947">
        <v>25</v>
      </c>
      <c r="N5" s="3486">
        <v>40</v>
      </c>
      <c r="O5" s="3486">
        <v>50</v>
      </c>
      <c r="P5" s="3486">
        <v>40</v>
      </c>
      <c r="Q5" s="3486">
        <v>15</v>
      </c>
      <c r="R5" s="3948">
        <v>315</v>
      </c>
    </row>
    <row r="6" spans="1:19" ht="14.25" thickBot="1">
      <c r="A6" s="3485">
        <v>50</v>
      </c>
      <c r="B6" s="2183">
        <v>50028</v>
      </c>
      <c r="C6" s="3486">
        <f>ROUNDDOWN(MIN((B6-B3)/365,A6),2)</f>
        <v>10.69</v>
      </c>
      <c r="D6" s="3487">
        <f>IF(ISERROR(ROUND(POWER(1+E6,A6-C6)*(POWER(1+E6,C6)-1)/(POWER(1+E6,A6)-1),3)),0,ROUND(POWER(1+E6,A6-C6)*(POWER(1+E6,C6)-1)/(POWER(1+E6,A6)-1),4))</f>
        <v>0.39860000000000001</v>
      </c>
      <c r="E6" s="3488">
        <v>0.04</v>
      </c>
      <c r="F6" s="2181"/>
      <c r="I6" s="3470" t="s">
        <v>2465</v>
      </c>
      <c r="J6" s="3949">
        <v>60</v>
      </c>
      <c r="K6" s="3949">
        <v>50</v>
      </c>
      <c r="L6" s="3949">
        <v>10</v>
      </c>
      <c r="M6" s="3949">
        <v>20</v>
      </c>
      <c r="N6" s="3950">
        <v>35</v>
      </c>
      <c r="O6" s="3950">
        <v>40</v>
      </c>
      <c r="P6" s="3950">
        <v>30</v>
      </c>
      <c r="Q6" s="3950">
        <v>10</v>
      </c>
      <c r="R6" s="3951">
        <v>255</v>
      </c>
    </row>
    <row r="7" spans="1:19">
      <c r="A7" s="3485">
        <v>70</v>
      </c>
      <c r="B7" s="2183">
        <v>57333</v>
      </c>
      <c r="C7" s="3486">
        <f>ROUNDDOWN(MIN((B7-B3)/365,A7),2)</f>
        <v>30.7</v>
      </c>
      <c r="D7" s="3487">
        <f>IF(ISERROR(ROUND(POWER(1+E7,A7-C7)*(POWER(1+E7,C7)-1)/(POWER(1+E7,A7)-1),3)),0,ROUND(POWER(1+E7,A7-C7)*(POWER(1+E7,C7)-1)/(POWER(1+E7,A7)-1),4))</f>
        <v>0.74809999999999999</v>
      </c>
      <c r="E7" s="3488">
        <v>0.04</v>
      </c>
      <c r="F7" s="2181"/>
      <c r="I7" s="3471" t="s">
        <v>3661</v>
      </c>
      <c r="J7" s="3472" t="s">
        <v>3663</v>
      </c>
      <c r="K7" s="3473">
        <v>2.5</v>
      </c>
      <c r="L7" s="3474"/>
      <c r="M7" s="3468"/>
      <c r="N7" s="2176"/>
      <c r="O7" s="2176"/>
      <c r="P7" s="2176"/>
      <c r="Q7" s="2176"/>
      <c r="R7" s="2177"/>
    </row>
    <row r="8" spans="1:19" ht="14.25" thickBot="1">
      <c r="A8" s="2179"/>
      <c r="B8" s="2180"/>
      <c r="C8" s="2180"/>
      <c r="D8" s="2180"/>
      <c r="E8" s="2180"/>
      <c r="F8" s="2181"/>
      <c r="I8" s="4368" t="s">
        <v>3662</v>
      </c>
      <c r="J8" s="4369"/>
      <c r="K8" s="4369"/>
      <c r="L8" s="4369"/>
      <c r="M8" s="4369"/>
      <c r="N8" s="4369"/>
      <c r="O8" s="4369"/>
      <c r="P8" s="4369"/>
      <c r="Q8" s="4369"/>
      <c r="R8" s="4370"/>
    </row>
    <row r="9" spans="1:19">
      <c r="A9" s="2182" t="s">
        <v>2389</v>
      </c>
      <c r="B9" s="2184"/>
      <c r="C9" s="2184"/>
      <c r="D9" s="2184"/>
      <c r="E9" s="2184"/>
      <c r="F9" s="2185"/>
      <c r="I9" s="2188"/>
      <c r="J9" s="2189" t="s">
        <v>2466</v>
      </c>
      <c r="K9" s="2189" t="s">
        <v>2467</v>
      </c>
      <c r="L9" s="2189" t="s">
        <v>2468</v>
      </c>
      <c r="M9" s="2189" t="s">
        <v>2469</v>
      </c>
      <c r="N9" s="2462" t="s">
        <v>2470</v>
      </c>
      <c r="O9" s="2462" t="s">
        <v>2471</v>
      </c>
      <c r="P9" s="2462" t="s">
        <v>2472</v>
      </c>
      <c r="Q9" s="2462" t="s">
        <v>2473</v>
      </c>
      <c r="R9" s="3469" t="s">
        <v>2474</v>
      </c>
      <c r="S9" s="4373" t="s">
        <v>3864</v>
      </c>
    </row>
    <row r="10" spans="1:19">
      <c r="A10" s="2182" t="s">
        <v>2390</v>
      </c>
      <c r="B10" s="2184"/>
      <c r="C10" s="2184"/>
      <c r="D10" s="2184" t="s">
        <v>2388</v>
      </c>
      <c r="E10" s="2184"/>
      <c r="F10" s="2185" t="s">
        <v>2387</v>
      </c>
      <c r="I10" s="2188" t="s">
        <v>2463</v>
      </c>
      <c r="J10" s="3947">
        <f>ROUND(J4/$K$7,0)</f>
        <v>32</v>
      </c>
      <c r="K10" s="3947">
        <f t="shared" ref="K10:Q12" si="0">ROUND(K4/$K$7,0)</f>
        <v>28</v>
      </c>
      <c r="L10" s="3947">
        <f t="shared" si="0"/>
        <v>8</v>
      </c>
      <c r="M10" s="3947">
        <f t="shared" si="0"/>
        <v>12</v>
      </c>
      <c r="N10" s="3947">
        <f t="shared" si="0"/>
        <v>18</v>
      </c>
      <c r="O10" s="3947">
        <f t="shared" si="0"/>
        <v>24</v>
      </c>
      <c r="P10" s="3947">
        <f t="shared" si="0"/>
        <v>20</v>
      </c>
      <c r="Q10" s="3947">
        <f t="shared" si="0"/>
        <v>8</v>
      </c>
      <c r="R10" s="3952">
        <f>SUM(J10:Q10)</f>
        <v>150</v>
      </c>
      <c r="S10" s="4374"/>
    </row>
    <row r="11" spans="1:19">
      <c r="A11" s="3491" t="s">
        <v>2391</v>
      </c>
      <c r="B11" s="3489">
        <v>70</v>
      </c>
      <c r="C11" s="3492" t="s">
        <v>2392</v>
      </c>
      <c r="D11" s="3488">
        <v>4.4999999999999998E-2</v>
      </c>
      <c r="E11" s="3492" t="s">
        <v>2393</v>
      </c>
      <c r="F11" s="3490">
        <f>ROUND(1-(1/(POWER(1+D11,B11))),4)</f>
        <v>0.95409999999999995</v>
      </c>
      <c r="I11" s="2188" t="s">
        <v>2464</v>
      </c>
      <c r="J11" s="3947">
        <f>ROUND(J5/$K$7,0)</f>
        <v>28</v>
      </c>
      <c r="K11" s="3947">
        <f t="shared" si="0"/>
        <v>24</v>
      </c>
      <c r="L11" s="3947">
        <f t="shared" si="0"/>
        <v>6</v>
      </c>
      <c r="M11" s="3947">
        <f t="shared" si="0"/>
        <v>10</v>
      </c>
      <c r="N11" s="3947">
        <f t="shared" si="0"/>
        <v>16</v>
      </c>
      <c r="O11" s="3947">
        <f t="shared" si="0"/>
        <v>20</v>
      </c>
      <c r="P11" s="3947">
        <f t="shared" si="0"/>
        <v>16</v>
      </c>
      <c r="Q11" s="3947">
        <f t="shared" si="0"/>
        <v>6</v>
      </c>
      <c r="R11" s="3952">
        <f t="shared" ref="R11:R12" si="1">SUM(J11:Q11)</f>
        <v>126</v>
      </c>
      <c r="S11" s="4374"/>
    </row>
    <row r="12" spans="1:19" ht="14.25" thickBot="1">
      <c r="A12" s="3491" t="s">
        <v>2394</v>
      </c>
      <c r="B12" s="3489">
        <v>40</v>
      </c>
      <c r="C12" s="3492" t="s">
        <v>2395</v>
      </c>
      <c r="D12" s="3488">
        <v>4.4999999999999998E-2</v>
      </c>
      <c r="E12" s="3492" t="s">
        <v>2396</v>
      </c>
      <c r="F12" s="3490">
        <f>ROUND(1-(1/(POWER(1+D12,B12))),4)</f>
        <v>0.82809999999999995</v>
      </c>
      <c r="I12" s="3475" t="s">
        <v>2465</v>
      </c>
      <c r="J12" s="3947">
        <f>ROUND(J6/$K$7,0)</f>
        <v>24</v>
      </c>
      <c r="K12" s="3947">
        <f t="shared" si="0"/>
        <v>20</v>
      </c>
      <c r="L12" s="3947">
        <f t="shared" si="0"/>
        <v>4</v>
      </c>
      <c r="M12" s="3947">
        <f t="shared" si="0"/>
        <v>8</v>
      </c>
      <c r="N12" s="3947">
        <f t="shared" si="0"/>
        <v>14</v>
      </c>
      <c r="O12" s="3947">
        <f t="shared" si="0"/>
        <v>16</v>
      </c>
      <c r="P12" s="3947">
        <f t="shared" si="0"/>
        <v>12</v>
      </c>
      <c r="Q12" s="3947">
        <f t="shared" si="0"/>
        <v>4</v>
      </c>
      <c r="R12" s="3952">
        <f t="shared" si="1"/>
        <v>102</v>
      </c>
      <c r="S12" s="4374"/>
    </row>
    <row r="13" spans="1:19">
      <c r="A13" s="2182" t="s">
        <v>2397</v>
      </c>
      <c r="B13" s="2184"/>
      <c r="C13" s="2184"/>
      <c r="D13" s="2180"/>
      <c r="E13" s="2180"/>
      <c r="F13" s="2181"/>
      <c r="I13" s="3467" t="s">
        <v>3664</v>
      </c>
      <c r="J13" s="3476">
        <v>3.49</v>
      </c>
      <c r="K13" s="3468" t="s">
        <v>3665</v>
      </c>
      <c r="L13" s="3477">
        <f>基准地价修正!C25</f>
        <v>0.95240000000000002</v>
      </c>
      <c r="M13" s="3468"/>
      <c r="N13" s="2176"/>
      <c r="O13" s="2176"/>
      <c r="P13" s="2176"/>
      <c r="Q13" s="2176"/>
      <c r="R13" s="2177"/>
      <c r="S13" s="4374"/>
    </row>
    <row r="14" spans="1:19">
      <c r="A14" s="3491" t="s">
        <v>2398</v>
      </c>
      <c r="B14" s="3493">
        <v>5000</v>
      </c>
      <c r="C14" s="3494"/>
      <c r="D14" s="2180"/>
      <c r="E14" s="2180"/>
      <c r="F14" s="2181"/>
      <c r="I14" s="2188"/>
      <c r="J14" s="2189" t="s">
        <v>2466</v>
      </c>
      <c r="K14" s="2189" t="s">
        <v>2467</v>
      </c>
      <c r="L14" s="2189" t="s">
        <v>2468</v>
      </c>
      <c r="M14" s="2189" t="s">
        <v>2469</v>
      </c>
      <c r="N14" s="2462" t="s">
        <v>2470</v>
      </c>
      <c r="O14" s="2462" t="s">
        <v>2471</v>
      </c>
      <c r="P14" s="2462" t="s">
        <v>2472</v>
      </c>
      <c r="Q14" s="2462" t="s">
        <v>2473</v>
      </c>
      <c r="R14" s="3469" t="s">
        <v>2474</v>
      </c>
      <c r="S14" s="4374"/>
    </row>
    <row r="15" spans="1:19">
      <c r="A15" s="3491" t="s">
        <v>2399</v>
      </c>
      <c r="B15" s="3495">
        <f>ROUND(B14*F12/F11,2)</f>
        <v>4339.6899999999996</v>
      </c>
      <c r="C15" s="3487">
        <f>ROUND(F12/F11,4)</f>
        <v>0.8679</v>
      </c>
      <c r="D15" s="2180"/>
      <c r="E15" s="2180"/>
      <c r="F15" s="2181"/>
      <c r="I15" s="2188" t="s">
        <v>2463</v>
      </c>
      <c r="J15" s="3947">
        <f>ROUND(J10*$L$13,0)</f>
        <v>30</v>
      </c>
      <c r="K15" s="3947">
        <f t="shared" ref="K15:Q15" si="2">ROUND(K10*$L$13,0)</f>
        <v>27</v>
      </c>
      <c r="L15" s="3947">
        <f t="shared" si="2"/>
        <v>8</v>
      </c>
      <c r="M15" s="3947">
        <f t="shared" si="2"/>
        <v>11</v>
      </c>
      <c r="N15" s="3947">
        <f t="shared" si="2"/>
        <v>17</v>
      </c>
      <c r="O15" s="3947">
        <f t="shared" si="2"/>
        <v>23</v>
      </c>
      <c r="P15" s="3947">
        <f t="shared" si="2"/>
        <v>19</v>
      </c>
      <c r="Q15" s="3947">
        <f t="shared" si="2"/>
        <v>8</v>
      </c>
      <c r="R15" s="3953">
        <f>SUM(J15:Q15)</f>
        <v>143</v>
      </c>
      <c r="S15" s="4374"/>
    </row>
    <row r="16" spans="1:19">
      <c r="A16" s="2182" t="s">
        <v>2400</v>
      </c>
      <c r="B16" s="2581"/>
      <c r="C16" s="2581"/>
      <c r="D16" s="2180"/>
      <c r="E16" s="2180"/>
      <c r="F16" s="2181"/>
      <c r="I16" s="2188" t="s">
        <v>2464</v>
      </c>
      <c r="J16" s="3947">
        <f t="shared" ref="J16:Q16" si="3">ROUND(J11*$L$13,0)</f>
        <v>27</v>
      </c>
      <c r="K16" s="3947">
        <f t="shared" si="3"/>
        <v>23</v>
      </c>
      <c r="L16" s="3947">
        <f t="shared" si="3"/>
        <v>6</v>
      </c>
      <c r="M16" s="3947">
        <f t="shared" si="3"/>
        <v>10</v>
      </c>
      <c r="N16" s="3947">
        <f t="shared" si="3"/>
        <v>15</v>
      </c>
      <c r="O16" s="3947">
        <f t="shared" si="3"/>
        <v>19</v>
      </c>
      <c r="P16" s="3947">
        <f t="shared" si="3"/>
        <v>15</v>
      </c>
      <c r="Q16" s="3947">
        <f t="shared" si="3"/>
        <v>6</v>
      </c>
      <c r="R16" s="3953">
        <f t="shared" ref="R16:R17" si="4">SUM(J16:Q16)</f>
        <v>121</v>
      </c>
      <c r="S16" s="4374"/>
    </row>
    <row r="17" spans="1:19" ht="14.25" thickBot="1">
      <c r="A17" s="3491" t="s">
        <v>2399</v>
      </c>
      <c r="B17" s="3493">
        <v>4810</v>
      </c>
      <c r="C17" s="3494"/>
      <c r="D17" s="2180"/>
      <c r="E17" s="2180"/>
      <c r="F17" s="2181"/>
      <c r="I17" s="3470" t="s">
        <v>2465</v>
      </c>
      <c r="J17" s="3947">
        <f t="shared" ref="J17:Q17" si="5">ROUND(J12*$L$13,0)</f>
        <v>23</v>
      </c>
      <c r="K17" s="3947">
        <f t="shared" si="5"/>
        <v>19</v>
      </c>
      <c r="L17" s="3947">
        <f t="shared" si="5"/>
        <v>4</v>
      </c>
      <c r="M17" s="3947">
        <f t="shared" si="5"/>
        <v>8</v>
      </c>
      <c r="N17" s="3947">
        <f t="shared" si="5"/>
        <v>13</v>
      </c>
      <c r="O17" s="3947">
        <f t="shared" si="5"/>
        <v>15</v>
      </c>
      <c r="P17" s="3947">
        <f t="shared" si="5"/>
        <v>11</v>
      </c>
      <c r="Q17" s="3947">
        <f t="shared" si="5"/>
        <v>4</v>
      </c>
      <c r="R17" s="3953">
        <f t="shared" si="4"/>
        <v>97</v>
      </c>
      <c r="S17" s="4375"/>
    </row>
    <row r="18" spans="1:19" ht="14.25" thickBot="1">
      <c r="A18" s="3496" t="s">
        <v>2398</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2401</v>
      </c>
      <c r="B20" s="2335"/>
      <c r="C20" s="2335"/>
      <c r="D20" s="2335"/>
      <c r="E20" s="2335"/>
      <c r="F20" s="2335"/>
      <c r="G20" s="3481"/>
      <c r="I20" s="2209" t="s">
        <v>2446</v>
      </c>
      <c r="J20" s="2209" t="s">
        <v>2451</v>
      </c>
    </row>
    <row r="21" spans="1:19">
      <c r="A21" s="2188"/>
      <c r="B21" s="2189" t="s">
        <v>2402</v>
      </c>
      <c r="C21" s="2189" t="s">
        <v>2403</v>
      </c>
      <c r="D21" s="2189" t="s">
        <v>2404</v>
      </c>
      <c r="E21" s="2189" t="s">
        <v>2405</v>
      </c>
      <c r="F21" s="2189" t="s">
        <v>2406</v>
      </c>
      <c r="G21" s="2190" t="s">
        <v>2407</v>
      </c>
      <c r="I21" s="2583">
        <v>5</v>
      </c>
      <c r="J21" s="2582">
        <v>54.2</v>
      </c>
      <c r="K21" s="2582"/>
    </row>
    <row r="22" spans="1:19">
      <c r="A22" s="2188" t="s">
        <v>2408</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2409</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2449</v>
      </c>
      <c r="N23" s="2468" t="s">
        <v>2450</v>
      </c>
    </row>
    <row r="24" spans="1:19">
      <c r="A24" s="2188" t="s">
        <v>2410</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2448</v>
      </c>
      <c r="N24" s="2584">
        <v>10</v>
      </c>
    </row>
    <row r="25" spans="1:19">
      <c r="A25" s="2188" t="s">
        <v>2411</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2452</v>
      </c>
      <c r="N25" s="2584">
        <v>8</v>
      </c>
    </row>
    <row r="26" spans="1:19">
      <c r="A26" s="2191"/>
      <c r="B26" s="2192"/>
      <c r="C26" s="2192"/>
      <c r="D26" s="2192"/>
      <c r="E26" s="2192"/>
      <c r="F26" s="2192"/>
      <c r="G26" s="2193"/>
      <c r="I26" s="2583">
        <v>30</v>
      </c>
      <c r="J26" s="2582">
        <v>90.5</v>
      </c>
      <c r="K26" s="2582">
        <f t="shared" si="7"/>
        <v>4.2000000000000028</v>
      </c>
      <c r="L26" s="2209" t="s">
        <v>2453</v>
      </c>
      <c r="N26" s="2584">
        <v>5</v>
      </c>
    </row>
    <row r="27" spans="1:19">
      <c r="A27" s="2191" t="s">
        <v>2412</v>
      </c>
      <c r="B27" s="2192"/>
      <c r="C27" s="2192"/>
      <c r="D27" s="2192"/>
      <c r="E27" s="2192"/>
      <c r="F27" s="2192"/>
      <c r="G27" s="2193"/>
      <c r="I27" s="2583">
        <v>35</v>
      </c>
      <c r="J27" s="2582">
        <v>93.8</v>
      </c>
      <c r="K27" s="2582">
        <f t="shared" si="7"/>
        <v>3.2999999999999972</v>
      </c>
      <c r="L27" s="2209" t="s">
        <v>2454</v>
      </c>
      <c r="N27" s="2584">
        <v>3</v>
      </c>
    </row>
    <row r="28" spans="1:19">
      <c r="A28" s="2191" t="s">
        <v>2413</v>
      </c>
      <c r="B28" s="2192"/>
      <c r="C28" s="2192"/>
      <c r="D28" s="2192"/>
      <c r="E28" s="2192"/>
      <c r="F28" s="2192"/>
      <c r="G28" s="2193"/>
      <c r="I28" s="2583">
        <v>40</v>
      </c>
      <c r="J28" s="2582">
        <v>96.4</v>
      </c>
      <c r="K28" s="2582">
        <f t="shared" si="7"/>
        <v>2.6000000000000085</v>
      </c>
      <c r="L28" s="2209" t="s">
        <v>2455</v>
      </c>
      <c r="N28" s="2584">
        <v>2</v>
      </c>
    </row>
    <row r="29" spans="1:19">
      <c r="A29" s="2191" t="s">
        <v>2414</v>
      </c>
      <c r="B29" s="2192"/>
      <c r="C29" s="2192"/>
      <c r="D29" s="2192"/>
      <c r="E29" s="2192"/>
      <c r="F29" s="2192"/>
      <c r="G29" s="2193"/>
      <c r="I29" s="2583">
        <v>45</v>
      </c>
      <c r="J29" s="2582">
        <v>98.4</v>
      </c>
      <c r="K29" s="2582">
        <f t="shared" si="7"/>
        <v>2</v>
      </c>
    </row>
    <row r="30" spans="1:19">
      <c r="A30" s="2191" t="s">
        <v>2415</v>
      </c>
      <c r="B30" s="2192"/>
      <c r="C30" s="2192"/>
      <c r="D30" s="2192"/>
      <c r="E30" s="2192"/>
      <c r="F30" s="2192"/>
      <c r="G30" s="2193"/>
      <c r="I30" s="2583">
        <v>50</v>
      </c>
      <c r="J30" s="2582">
        <v>100</v>
      </c>
      <c r="K30" s="2582">
        <f t="shared" si="7"/>
        <v>1.5999999999999943</v>
      </c>
    </row>
    <row r="31" spans="1:19">
      <c r="A31" s="2191" t="s">
        <v>2416</v>
      </c>
      <c r="B31" s="2192"/>
      <c r="C31" s="2192"/>
      <c r="D31" s="2192"/>
      <c r="E31" s="2192"/>
      <c r="F31" s="2192"/>
      <c r="G31" s="2193"/>
      <c r="I31" s="2209" t="s">
        <v>2447</v>
      </c>
    </row>
    <row r="32" spans="1:19">
      <c r="A32" s="2191" t="s">
        <v>2417</v>
      </c>
      <c r="B32" s="2192"/>
      <c r="C32" s="2192"/>
      <c r="D32" s="2192"/>
      <c r="E32" s="2192"/>
      <c r="F32" s="2192"/>
      <c r="G32" s="2193"/>
    </row>
    <row r="33" spans="1:15">
      <c r="A33" s="2191" t="s">
        <v>2418</v>
      </c>
      <c r="B33" s="2192"/>
      <c r="C33" s="2192"/>
      <c r="D33" s="2192"/>
      <c r="E33" s="2192"/>
      <c r="F33" s="2192"/>
      <c r="G33" s="2193"/>
      <c r="I33" s="2209" t="s">
        <v>2446</v>
      </c>
      <c r="J33" s="2209" t="s">
        <v>2456</v>
      </c>
    </row>
    <row r="34" spans="1:15">
      <c r="A34" s="2191" t="s">
        <v>2419</v>
      </c>
      <c r="B34" s="2192"/>
      <c r="C34" s="2192"/>
      <c r="D34" s="2192"/>
      <c r="E34" s="2192"/>
      <c r="F34" s="2192"/>
      <c r="G34" s="2193"/>
      <c r="I34" s="2583">
        <v>5</v>
      </c>
      <c r="J34" s="2582">
        <v>55.1</v>
      </c>
      <c r="K34" s="2582"/>
    </row>
    <row r="35" spans="1:15">
      <c r="A35" s="2191" t="s">
        <v>2420</v>
      </c>
      <c r="B35" s="2192"/>
      <c r="C35" s="2192"/>
      <c r="D35" s="2192"/>
      <c r="E35" s="2192"/>
      <c r="F35" s="2192"/>
      <c r="G35" s="2193"/>
      <c r="I35" s="2583">
        <v>10</v>
      </c>
      <c r="J35" s="2582">
        <v>67</v>
      </c>
      <c r="K35" s="2582">
        <f>J35-J34</f>
        <v>11.899999999999999</v>
      </c>
    </row>
    <row r="36" spans="1:15">
      <c r="A36" s="2191" t="s">
        <v>2421</v>
      </c>
      <c r="B36" s="2192"/>
      <c r="C36" s="2192"/>
      <c r="D36" s="2192"/>
      <c r="E36" s="2192"/>
      <c r="F36" s="2192"/>
      <c r="G36" s="2193"/>
      <c r="I36" s="2583">
        <v>15</v>
      </c>
      <c r="J36" s="2582">
        <v>76.3</v>
      </c>
      <c r="K36" s="2582">
        <f t="shared" ref="K36:K41" si="8">J36-J35</f>
        <v>9.2999999999999972</v>
      </c>
      <c r="L36" s="2209" t="s">
        <v>2449</v>
      </c>
      <c r="N36" s="2468" t="s">
        <v>2450</v>
      </c>
    </row>
    <row r="37" spans="1:15">
      <c r="A37" s="2191" t="s">
        <v>2422</v>
      </c>
      <c r="B37" s="2192"/>
      <c r="C37" s="2192"/>
      <c r="D37" s="2192"/>
      <c r="E37" s="2192"/>
      <c r="F37" s="2192"/>
      <c r="G37" s="2193"/>
      <c r="I37" s="2583">
        <v>20</v>
      </c>
      <c r="J37" s="2582">
        <v>83.6</v>
      </c>
      <c r="K37" s="2582">
        <f t="shared" si="8"/>
        <v>7.2999999999999972</v>
      </c>
      <c r="L37" s="2209" t="s">
        <v>2448</v>
      </c>
      <c r="N37" s="2584">
        <v>10</v>
      </c>
    </row>
    <row r="38" spans="1:15">
      <c r="A38" s="2191" t="s">
        <v>2423</v>
      </c>
      <c r="B38" s="2192"/>
      <c r="C38" s="2192"/>
      <c r="D38" s="2192"/>
      <c r="E38" s="2192"/>
      <c r="F38" s="2192"/>
      <c r="G38" s="2193"/>
      <c r="I38" s="2583">
        <v>25</v>
      </c>
      <c r="J38" s="2582">
        <v>89.3</v>
      </c>
      <c r="K38" s="2582">
        <f t="shared" si="8"/>
        <v>5.7000000000000028</v>
      </c>
      <c r="L38" s="2209" t="s">
        <v>2452</v>
      </c>
      <c r="N38" s="2584">
        <v>8</v>
      </c>
    </row>
    <row r="39" spans="1:15">
      <c r="A39" s="2191"/>
      <c r="B39" s="2192"/>
      <c r="C39" s="2192"/>
      <c r="D39" s="2192"/>
      <c r="E39" s="2192"/>
      <c r="F39" s="2192"/>
      <c r="G39" s="2193"/>
      <c r="I39" s="2583">
        <v>30</v>
      </c>
      <c r="J39" s="2582">
        <v>93.8</v>
      </c>
      <c r="K39" s="2582">
        <f t="shared" si="8"/>
        <v>4.5</v>
      </c>
      <c r="L39" s="2209" t="s">
        <v>2453</v>
      </c>
      <c r="N39" s="2584">
        <v>6</v>
      </c>
    </row>
    <row r="40" spans="1:15">
      <c r="A40" s="2194" t="s">
        <v>2424</v>
      </c>
      <c r="B40" s="2195"/>
      <c r="C40" s="2195"/>
      <c r="D40" s="2195"/>
      <c r="E40" s="2195"/>
      <c r="F40" s="2195"/>
      <c r="G40" s="2196"/>
      <c r="I40" s="2583">
        <v>35</v>
      </c>
      <c r="J40" s="2582">
        <v>97.2</v>
      </c>
      <c r="K40" s="2582">
        <f t="shared" si="8"/>
        <v>3.4000000000000057</v>
      </c>
      <c r="L40" s="2209" t="s">
        <v>2454</v>
      </c>
      <c r="N40" s="2584">
        <v>3</v>
      </c>
    </row>
    <row r="41" spans="1:15">
      <c r="A41" s="2197" t="s">
        <v>2425</v>
      </c>
      <c r="B41" s="2198" t="s">
        <v>2426</v>
      </c>
      <c r="C41" s="2199" t="s">
        <v>2427</v>
      </c>
      <c r="D41" s="2199" t="s">
        <v>2428</v>
      </c>
      <c r="E41" s="2200"/>
      <c r="F41" s="2201"/>
      <c r="G41" s="2202"/>
      <c r="I41" s="2583">
        <v>40</v>
      </c>
      <c r="J41" s="2582">
        <v>100</v>
      </c>
      <c r="K41" s="2582">
        <f t="shared" si="8"/>
        <v>2.7999999999999972</v>
      </c>
    </row>
    <row r="42" spans="1:15">
      <c r="A42" s="2197" t="s">
        <v>2429</v>
      </c>
      <c r="B42" s="2198" t="s">
        <v>2430</v>
      </c>
      <c r="C42" s="2199" t="s">
        <v>2431</v>
      </c>
      <c r="D42" s="2203" t="s">
        <v>2432</v>
      </c>
      <c r="E42" s="2195" t="s">
        <v>2433</v>
      </c>
      <c r="F42" s="2195"/>
      <c r="G42" s="2196"/>
    </row>
    <row r="43" spans="1:15">
      <c r="A43" s="2197" t="s">
        <v>2434</v>
      </c>
      <c r="B43" s="2198" t="s">
        <v>2435</v>
      </c>
      <c r="C43" s="2199" t="s">
        <v>2436</v>
      </c>
      <c r="D43" s="2199" t="s">
        <v>2437</v>
      </c>
      <c r="E43" s="2200" t="s">
        <v>2438</v>
      </c>
      <c r="F43" s="2201"/>
      <c r="G43" s="2202"/>
      <c r="I43" s="2209" t="s">
        <v>2446</v>
      </c>
      <c r="J43" s="2209" t="s">
        <v>2457</v>
      </c>
    </row>
    <row r="44" spans="1:15">
      <c r="A44" s="2197" t="s">
        <v>2439</v>
      </c>
      <c r="B44" s="2198" t="s">
        <v>2440</v>
      </c>
      <c r="C44" s="2199" t="s">
        <v>2441</v>
      </c>
      <c r="D44" s="2203">
        <v>0.5</v>
      </c>
      <c r="E44" s="2200" t="s">
        <v>2442</v>
      </c>
      <c r="F44" s="2201"/>
      <c r="G44" s="2202"/>
      <c r="I44" s="2583">
        <v>30</v>
      </c>
      <c r="J44" s="2582">
        <v>81.7</v>
      </c>
      <c r="K44" s="2582"/>
    </row>
    <row r="45" spans="1:15" ht="14.25" thickBot="1">
      <c r="A45" s="2204" t="s">
        <v>2443</v>
      </c>
      <c r="B45" s="2205" t="s">
        <v>2430</v>
      </c>
      <c r="C45" s="2206" t="s">
        <v>2430</v>
      </c>
      <c r="D45" s="2206" t="s">
        <v>2444</v>
      </c>
      <c r="E45" s="2207" t="s">
        <v>2445</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6" customFormat="1" ht="16.5" thickTop="1" thickBot="1">
      <c r="A49" s="3944" t="s">
        <v>3341</v>
      </c>
      <c r="B49" s="3945"/>
      <c r="C49" s="3945"/>
      <c r="D49" s="3945"/>
      <c r="E49" s="3945"/>
      <c r="I49" s="4371" t="s">
        <v>3972</v>
      </c>
      <c r="J49" s="4371"/>
      <c r="K49" s="4371"/>
      <c r="L49" s="4371"/>
      <c r="M49" s="4371"/>
      <c r="N49" s="2186"/>
      <c r="O49" s="2186"/>
    </row>
    <row r="50" spans="1:16" ht="14.25">
      <c r="A50" s="2594" t="s">
        <v>3342</v>
      </c>
      <c r="B50" s="2597" t="s">
        <v>3343</v>
      </c>
      <c r="C50" s="2600" t="s">
        <v>3344</v>
      </c>
      <c r="D50" s="2601" t="s">
        <v>3352</v>
      </c>
      <c r="E50" s="2602" t="s">
        <v>3351</v>
      </c>
      <c r="F50" s="2603" t="s">
        <v>3358</v>
      </c>
      <c r="I50" s="4070" t="s">
        <v>3353</v>
      </c>
      <c r="J50" s="4071" t="s">
        <v>3354</v>
      </c>
      <c r="K50" s="4071" t="s">
        <v>3355</v>
      </c>
      <c r="L50" s="4071" t="s">
        <v>3356</v>
      </c>
      <c r="M50" s="4072" t="s">
        <v>3357</v>
      </c>
      <c r="N50" s="4078" t="s">
        <v>3968</v>
      </c>
      <c r="O50" s="4072" t="s">
        <v>3969</v>
      </c>
    </row>
    <row r="51" spans="1:16" ht="15">
      <c r="A51" s="1881" t="s">
        <v>3817</v>
      </c>
      <c r="B51" s="2598">
        <f>B52+B53</f>
        <v>119963.53</v>
      </c>
      <c r="C51" s="2598">
        <f>E51/B51</f>
        <v>3430.2757679771512</v>
      </c>
      <c r="D51" s="2607"/>
      <c r="E51" s="2610">
        <f>E52+E53</f>
        <v>411507990</v>
      </c>
      <c r="F51" s="3909">
        <f>E51/$E$62</f>
        <v>0.52694488535706951</v>
      </c>
      <c r="I51" s="2188"/>
      <c r="J51" s="2189"/>
      <c r="K51" s="2189"/>
      <c r="L51" s="2189"/>
      <c r="M51" s="2190"/>
      <c r="N51" s="4079"/>
      <c r="O51" s="4080"/>
    </row>
    <row r="52" spans="1:16" ht="14.25">
      <c r="A52" s="2595" t="s">
        <v>3345</v>
      </c>
      <c r="B52" s="2587">
        <f>'数据-汇总表'!F31</f>
        <v>85551.93</v>
      </c>
      <c r="C52" s="2606"/>
      <c r="D52" s="2589">
        <v>3000</v>
      </c>
      <c r="E52" s="2609">
        <f>D52*B52</f>
        <v>256655789.99999997</v>
      </c>
      <c r="F52" s="2604"/>
      <c r="G52" s="2586" t="s">
        <v>3818</v>
      </c>
      <c r="H52" s="2586"/>
      <c r="I52" s="4073">
        <f>E52</f>
        <v>256655789.99999997</v>
      </c>
      <c r="J52" s="2592">
        <f>E55</f>
        <v>128327894.99999999</v>
      </c>
      <c r="K52" s="2592">
        <f>E58</f>
        <v>128327894.99999999</v>
      </c>
      <c r="L52" s="2592">
        <f>E60*B52/B51</f>
        <v>41278689.821174815</v>
      </c>
      <c r="M52" s="4074">
        <f>E61*B52/B51</f>
        <v>10920021.091971001</v>
      </c>
      <c r="N52" s="4081">
        <f>SUM(I52:M52)</f>
        <v>565510290.91314578</v>
      </c>
      <c r="O52" s="4074">
        <f>N52/B52</f>
        <v>6610.1406585818204</v>
      </c>
      <c r="P52" s="3914" t="s">
        <v>3970</v>
      </c>
    </row>
    <row r="53" spans="1:16" ht="15" thickBot="1">
      <c r="A53" s="2595" t="s">
        <v>3346</v>
      </c>
      <c r="B53" s="2587">
        <f>'数据-汇总表'!G31</f>
        <v>34411.600000000006</v>
      </c>
      <c r="C53" s="2606"/>
      <c r="D53" s="2589">
        <v>4500</v>
      </c>
      <c r="E53" s="2609">
        <f>D53*B53</f>
        <v>154852200.00000003</v>
      </c>
      <c r="F53" s="2604"/>
      <c r="G53" s="2586" t="s">
        <v>3819</v>
      </c>
      <c r="H53" s="2586"/>
      <c r="I53" s="4075">
        <f>E53</f>
        <v>154852200.00000003</v>
      </c>
      <c r="J53" s="4076">
        <f>E56</f>
        <v>22367540.000000004</v>
      </c>
      <c r="K53" s="4076">
        <f>E59</f>
        <v>17205800.000000004</v>
      </c>
      <c r="L53" s="4076">
        <f>E60-L52</f>
        <v>16603550.178825185</v>
      </c>
      <c r="M53" s="4077">
        <f>E61-M52</f>
        <v>4392366.1080290005</v>
      </c>
      <c r="N53" s="4082">
        <f>SUM(I53:M53)</f>
        <v>215421456.28685421</v>
      </c>
      <c r="O53" s="4077">
        <f>N53/B53</f>
        <v>6260.1406585818204</v>
      </c>
      <c r="P53" s="3914" t="s">
        <v>3971</v>
      </c>
    </row>
    <row r="54" spans="1:16" ht="15">
      <c r="A54" s="1881" t="s">
        <v>3347</v>
      </c>
      <c r="B54" s="2598">
        <f>B51</f>
        <v>119963.53</v>
      </c>
      <c r="C54" s="2598">
        <f>E54/B54</f>
        <v>1256.1770648129477</v>
      </c>
      <c r="D54" s="3910"/>
      <c r="E54" s="2610">
        <f>E55+E56</f>
        <v>150695435</v>
      </c>
      <c r="F54" s="3909">
        <f>E54/$E$62</f>
        <v>0.1929687652478114</v>
      </c>
      <c r="G54" s="2586"/>
      <c r="H54" s="2586"/>
    </row>
    <row r="55" spans="1:16" ht="15">
      <c r="A55" s="2595" t="s">
        <v>3815</v>
      </c>
      <c r="B55" s="3908">
        <f>B52</f>
        <v>85551.93</v>
      </c>
      <c r="C55" s="2598"/>
      <c r="D55" s="3911">
        <v>1500</v>
      </c>
      <c r="E55" s="2609">
        <f>D55*B55</f>
        <v>128327894.99999999</v>
      </c>
      <c r="F55" s="2604"/>
      <c r="G55" s="2586" t="s">
        <v>3820</v>
      </c>
      <c r="H55" s="2586"/>
    </row>
    <row r="56" spans="1:16" ht="15">
      <c r="A56" s="2595" t="s">
        <v>3816</v>
      </c>
      <c r="B56" s="3908">
        <f>B53</f>
        <v>34411.600000000006</v>
      </c>
      <c r="C56" s="2598"/>
      <c r="D56" s="3911">
        <v>650</v>
      </c>
      <c r="E56" s="2609">
        <f>D56*B56</f>
        <v>22367540.000000004</v>
      </c>
      <c r="F56" s="2604"/>
      <c r="G56" s="2586" t="s">
        <v>3821</v>
      </c>
      <c r="H56" s="2586"/>
    </row>
    <row r="57" spans="1:16" ht="15">
      <c r="A57" s="3907" t="s">
        <v>3814</v>
      </c>
      <c r="B57" s="2598">
        <f>B51</f>
        <v>119963.53</v>
      </c>
      <c r="C57" s="2598">
        <f>E57/B57</f>
        <v>1213.1494880152327</v>
      </c>
      <c r="D57" s="3910"/>
      <c r="E57" s="2610">
        <f>E58+E59</f>
        <v>145533695</v>
      </c>
      <c r="F57" s="2604">
        <f>E57/$E$62</f>
        <v>0.18635904548868107</v>
      </c>
      <c r="G57" s="2586"/>
      <c r="H57" s="2586"/>
      <c r="I57" s="4372" t="s">
        <v>3359</v>
      </c>
      <c r="J57" s="4372"/>
      <c r="K57" s="4372"/>
      <c r="L57" s="4372"/>
      <c r="M57" s="4372"/>
      <c r="N57" s="2180"/>
    </row>
    <row r="58" spans="1:16" ht="14.25">
      <c r="A58" s="2595" t="s">
        <v>3815</v>
      </c>
      <c r="B58" s="3908">
        <f>B52</f>
        <v>85551.93</v>
      </c>
      <c r="C58" s="2587">
        <v>1500</v>
      </c>
      <c r="D58" s="3926"/>
      <c r="E58" s="2609">
        <f>C58*B58</f>
        <v>128327894.99999999</v>
      </c>
      <c r="F58" s="2604"/>
      <c r="G58" s="2586"/>
      <c r="H58" s="2586"/>
      <c r="I58" s="2592">
        <f>I52+I53</f>
        <v>411507990</v>
      </c>
      <c r="J58" s="2592">
        <f t="shared" ref="J58:M58" si="10">J52+J53</f>
        <v>150695435</v>
      </c>
      <c r="K58" s="2592">
        <f t="shared" si="10"/>
        <v>145533695</v>
      </c>
      <c r="L58" s="2592">
        <f t="shared" si="10"/>
        <v>57882240</v>
      </c>
      <c r="M58" s="3915">
        <f t="shared" si="10"/>
        <v>15312387.200000001</v>
      </c>
      <c r="N58" s="3915">
        <f>SUM(I58:M58)</f>
        <v>780931747.20000005</v>
      </c>
    </row>
    <row r="59" spans="1:16" ht="14.25">
      <c r="A59" s="2595" t="s">
        <v>3816</v>
      </c>
      <c r="B59" s="3908">
        <f>B53</f>
        <v>34411.600000000006</v>
      </c>
      <c r="C59" s="2587">
        <v>500</v>
      </c>
      <c r="D59" s="3926"/>
      <c r="E59" s="2609">
        <f>C59*B59</f>
        <v>17205800.000000004</v>
      </c>
      <c r="F59" s="2604"/>
      <c r="G59" s="2586" t="s">
        <v>3830</v>
      </c>
      <c r="H59" s="2586"/>
      <c r="I59" s="2593">
        <f>I58/$E$62</f>
        <v>0.52694488535706951</v>
      </c>
      <c r="J59" s="2593">
        <f t="shared" ref="J59:M59" si="11">J58/$E$62</f>
        <v>0.1929687652478114</v>
      </c>
      <c r="K59" s="2593">
        <f t="shared" si="11"/>
        <v>0.18635904548868107</v>
      </c>
      <c r="L59" s="2593">
        <f t="shared" si="11"/>
        <v>7.4119460769183076E-2</v>
      </c>
      <c r="M59" s="3916">
        <f t="shared" si="11"/>
        <v>1.9607843137254902E-2</v>
      </c>
      <c r="N59" s="3916">
        <f>SUM(I59:M59)</f>
        <v>1</v>
      </c>
    </row>
    <row r="60" spans="1:16" ht="15">
      <c r="A60" s="1881" t="s">
        <v>3349</v>
      </c>
      <c r="B60" s="2588">
        <f>面积指标!G14</f>
        <v>12862.72</v>
      </c>
      <c r="C60" s="2598">
        <f>E60/B51</f>
        <v>482.49863937815104</v>
      </c>
      <c r="D60" s="3913">
        <f>D53</f>
        <v>4500</v>
      </c>
      <c r="E60" s="2610">
        <f>D60*B60</f>
        <v>57882240</v>
      </c>
      <c r="F60" s="2604">
        <f>E60/$E$62</f>
        <v>7.4119460769183076E-2</v>
      </c>
      <c r="G60" s="3927">
        <f>B60/(B62+B60)</f>
        <v>9.6838689641542991E-2</v>
      </c>
      <c r="H60" s="3914" t="s">
        <v>3831</v>
      </c>
    </row>
    <row r="61" spans="1:16" ht="15">
      <c r="A61" s="1881" t="s">
        <v>3348</v>
      </c>
      <c r="B61" s="3912">
        <f>B51</f>
        <v>119963.53</v>
      </c>
      <c r="C61" s="2598">
        <f>E61/B61</f>
        <v>127.64201920366966</v>
      </c>
      <c r="D61" s="2590">
        <v>0.02</v>
      </c>
      <c r="E61" s="2610">
        <f>(E51+E54+E57+E60)*D61</f>
        <v>15312387.200000001</v>
      </c>
      <c r="F61" s="2604">
        <f>E61/$E$62</f>
        <v>1.9607843137254902E-2</v>
      </c>
      <c r="G61" s="2586" t="s">
        <v>3822</v>
      </c>
    </row>
    <row r="62" spans="1:16" ht="15.75" thickBot="1">
      <c r="A62" s="2596" t="s">
        <v>3350</v>
      </c>
      <c r="B62" s="2599">
        <f>B51</f>
        <v>119963.53</v>
      </c>
      <c r="C62" s="2608">
        <f>C51+C54+C57+C61+C60</f>
        <v>6509.7429793871524</v>
      </c>
      <c r="D62" s="3504">
        <f>E62/B62</f>
        <v>6509.7429793871524</v>
      </c>
      <c r="E62" s="2591">
        <f>E51+E54+E57+E61+E60</f>
        <v>780931747.20000005</v>
      </c>
      <c r="F62" s="2605">
        <f>F51+F54+F57+F60+F61</f>
        <v>1</v>
      </c>
      <c r="G62" s="3914"/>
    </row>
    <row r="63" spans="1:16">
      <c r="B63" s="2585"/>
      <c r="C63" s="2585"/>
      <c r="D63" s="2585"/>
    </row>
    <row r="65" spans="1:9" ht="14.25" thickBot="1">
      <c r="B65" s="2585"/>
      <c r="C65" s="2585"/>
      <c r="D65" s="2585"/>
      <c r="F65" s="2178" t="s">
        <v>4468</v>
      </c>
      <c r="G65" s="2178" t="s">
        <v>4469</v>
      </c>
    </row>
    <row r="66" spans="1:9">
      <c r="A66" s="3918" t="s">
        <v>3823</v>
      </c>
      <c r="B66" s="3919"/>
      <c r="C66" s="3919"/>
      <c r="D66" s="3920"/>
      <c r="F66" s="2178" t="s">
        <v>4470</v>
      </c>
      <c r="G66" s="2178" t="s">
        <v>4471</v>
      </c>
      <c r="H66" s="2178" t="s">
        <v>4472</v>
      </c>
      <c r="I66" s="2209" t="s">
        <v>4473</v>
      </c>
    </row>
    <row r="67" spans="1:9">
      <c r="A67" s="3921" t="s">
        <v>3826</v>
      </c>
      <c r="B67" s="3917"/>
      <c r="C67" s="3917"/>
      <c r="D67" s="3924" t="s">
        <v>3828</v>
      </c>
      <c r="F67" s="2178" t="s">
        <v>4474</v>
      </c>
      <c r="G67" s="2178">
        <v>284.91000000000003</v>
      </c>
      <c r="H67" s="2178">
        <v>301.89999999999998</v>
      </c>
      <c r="I67" s="2209">
        <v>357.4</v>
      </c>
    </row>
    <row r="68" spans="1:9">
      <c r="A68" s="3921" t="s">
        <v>3827</v>
      </c>
      <c r="B68" s="3917"/>
      <c r="C68" s="3917"/>
      <c r="D68" s="3924" t="s">
        <v>3829</v>
      </c>
      <c r="F68" s="2178" t="s">
        <v>4475</v>
      </c>
      <c r="G68" s="2178">
        <v>5200.8600000000006</v>
      </c>
      <c r="H68" s="2178">
        <v>4576.0200000000004</v>
      </c>
      <c r="I68" s="2209">
        <v>4538.9799999999996</v>
      </c>
    </row>
    <row r="69" spans="1:9" ht="14.25" thickBot="1">
      <c r="A69" s="3922" t="s">
        <v>3824</v>
      </c>
      <c r="B69" s="3923"/>
      <c r="C69" s="3923"/>
      <c r="D69" s="3925" t="s">
        <v>3825</v>
      </c>
      <c r="F69" s="2178" t="s">
        <v>4476</v>
      </c>
      <c r="G69" s="2178">
        <v>5.4781324627080907E-2</v>
      </c>
      <c r="H69" s="2178">
        <v>6.597436200016607E-2</v>
      </c>
      <c r="I69" s="2209">
        <v>7.874015748031496E-2</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1EF9-5325-46FE-8EB5-62EB3131F119}">
  <dimension ref="A1:P339"/>
  <sheetViews>
    <sheetView topLeftCell="B13" workbookViewId="0">
      <selection activeCell="F37" sqref="F37"/>
    </sheetView>
  </sheetViews>
  <sheetFormatPr defaultColWidth="9" defaultRowHeight="13.5"/>
  <cols>
    <col min="1" max="1" width="11.625" style="4257" customWidth="1"/>
    <col min="2" max="2" width="10.875" style="4257" customWidth="1"/>
    <col min="3" max="3" width="13.375" style="4257" customWidth="1"/>
    <col min="4" max="4" width="9" style="4257"/>
    <col min="5" max="5" width="12.125" style="4257" customWidth="1"/>
    <col min="6" max="6" width="18.25" style="4257" customWidth="1"/>
    <col min="7" max="7" width="15.75" style="4257" customWidth="1"/>
    <col min="8" max="8" width="16.875" style="4257" customWidth="1"/>
    <col min="9" max="9" width="9" style="4257"/>
    <col min="10" max="10" width="13" style="4257" bestFit="1" customWidth="1"/>
    <col min="11" max="11" width="9" style="4257"/>
    <col min="12" max="13" width="12.75" style="4257" bestFit="1" customWidth="1"/>
    <col min="14" max="14" width="9" style="4257"/>
    <col min="15" max="15" width="11.625" style="4257" bestFit="1" customWidth="1"/>
    <col min="16" max="16" width="10.5" style="4257" bestFit="1" customWidth="1"/>
    <col min="17" max="16384" width="9" style="4257"/>
  </cols>
  <sheetData>
    <row r="1" spans="1:15">
      <c r="A1" s="4257" t="s">
        <v>4081</v>
      </c>
      <c r="B1" s="4257">
        <v>24498.84</v>
      </c>
    </row>
    <row r="2" spans="1:15">
      <c r="E2" s="4258" t="s">
        <v>4082</v>
      </c>
      <c r="F2" s="4258"/>
      <c r="G2" s="4258"/>
      <c r="H2" s="4258"/>
      <c r="J2" s="4258"/>
      <c r="K2" s="4258" t="s">
        <v>4083</v>
      </c>
      <c r="L2" s="4258" t="s">
        <v>4084</v>
      </c>
      <c r="M2" s="4258" t="s">
        <v>4071</v>
      </c>
    </row>
    <row r="3" spans="1:15">
      <c r="E3" s="4258"/>
      <c r="F3" s="4258" t="s">
        <v>4085</v>
      </c>
      <c r="G3" s="4258" t="s">
        <v>3356</v>
      </c>
      <c r="H3" s="4258" t="s">
        <v>4086</v>
      </c>
      <c r="J3" s="4258" t="s">
        <v>4087</v>
      </c>
      <c r="K3" s="4258">
        <f>'数据-汇总表'!F19</f>
        <v>85551.93</v>
      </c>
      <c r="L3" s="4258">
        <f ca="1">结果表!E118*'土地比较法-住宅、综合'!F58/'土地比较法-住宅、综合'!F67+结果表!F118*面积指标!K3/10000</f>
        <v>225905.08030293661</v>
      </c>
      <c r="M3" s="4258">
        <f ca="1">ROUND(L3/K3*10000,0)</f>
        <v>26406</v>
      </c>
      <c r="O3" s="4257">
        <f ca="1">M3*N3</f>
        <v>0</v>
      </c>
    </row>
    <row r="4" spans="1:15">
      <c r="A4" s="4258" t="s">
        <v>4088</v>
      </c>
      <c r="B4" s="4258" t="s">
        <v>4089</v>
      </c>
      <c r="C4" s="4258">
        <v>47.62</v>
      </c>
      <c r="E4" s="4258" t="s">
        <v>4088</v>
      </c>
      <c r="F4" s="4258">
        <v>17244.13</v>
      </c>
      <c r="G4" s="4258">
        <v>12518.16</v>
      </c>
      <c r="H4" s="4258">
        <f>F4-G4</f>
        <v>4725.9700000000012</v>
      </c>
      <c r="J4" s="4258" t="s">
        <v>4090</v>
      </c>
      <c r="K4" s="4258">
        <f>G37</f>
        <v>15467.050000000001</v>
      </c>
      <c r="L4" s="4258">
        <f ca="1">结果表!E118*'土地比较法-住宅、综合'!F59/'土地比较法-住宅、综合'!F67+结果表!F118*面积指标!K4/10000</f>
        <v>17141.042276710083</v>
      </c>
      <c r="M4" s="4258">
        <f t="shared" ref="M4:M6" ca="1" si="0">ROUND(L4/K4*10000,0)</f>
        <v>11082</v>
      </c>
      <c r="O4" s="4257">
        <f t="shared" ref="O4:O5" ca="1" si="1">M4*N4</f>
        <v>0</v>
      </c>
    </row>
    <row r="5" spans="1:15">
      <c r="A5" s="4258"/>
      <c r="B5" s="4258" t="s">
        <v>4091</v>
      </c>
      <c r="C5" s="4258">
        <v>47.62</v>
      </c>
      <c r="E5" s="4258" t="s">
        <v>4092</v>
      </c>
      <c r="F5" s="4258">
        <v>17106.86</v>
      </c>
      <c r="G5" s="4258">
        <v>118.42</v>
      </c>
      <c r="H5" s="4258">
        <f t="shared" ref="H5:H13" si="2">F5-G5</f>
        <v>16988.440000000002</v>
      </c>
      <c r="J5" s="4258" t="s">
        <v>4093</v>
      </c>
      <c r="K5" s="4258">
        <f>H37</f>
        <v>2669.4900000000071</v>
      </c>
      <c r="L5" s="4258">
        <f ca="1">结果表!E118*'土地比较法-住宅、综合'!F60/'土地比较法-住宅、综合'!F67+结果表!F118*面积指标!K5/10000</f>
        <v>2597.6694760449836</v>
      </c>
      <c r="M5" s="4258">
        <f t="shared" ca="1" si="0"/>
        <v>9731</v>
      </c>
      <c r="O5" s="4257">
        <f t="shared" ca="1" si="1"/>
        <v>0</v>
      </c>
    </row>
    <row r="6" spans="1:15">
      <c r="A6" s="4258"/>
      <c r="B6" s="4258" t="s">
        <v>4094</v>
      </c>
      <c r="C6" s="4258">
        <v>46.06</v>
      </c>
      <c r="E6" s="4258" t="s">
        <v>4095</v>
      </c>
      <c r="F6" s="4258">
        <v>15606.7</v>
      </c>
      <c r="G6" s="4258">
        <v>139.65</v>
      </c>
      <c r="H6" s="4258">
        <f t="shared" si="2"/>
        <v>15467.050000000001</v>
      </c>
      <c r="J6" s="4258" t="s">
        <v>4096</v>
      </c>
      <c r="K6" s="4258">
        <f>'数据-基础表'!M13</f>
        <v>16275.06</v>
      </c>
      <c r="L6" s="4258">
        <f ca="1">结果表!E118*'土地比较法-住宅、综合'!F61/'土地比较法-住宅、综合'!F67+结果表!F118*面积指标!K6/10000</f>
        <v>13635.245268000001</v>
      </c>
      <c r="M6" s="4258">
        <f t="shared" ca="1" si="0"/>
        <v>8378</v>
      </c>
    </row>
    <row r="7" spans="1:15">
      <c r="A7" s="4258"/>
      <c r="B7" s="4258" t="s">
        <v>4097</v>
      </c>
      <c r="C7" s="4258">
        <v>46.06</v>
      </c>
      <c r="E7" s="4258" t="s">
        <v>4098</v>
      </c>
      <c r="F7" s="4258">
        <v>14406.6</v>
      </c>
      <c r="G7" s="4258">
        <v>86.49</v>
      </c>
      <c r="H7" s="4261">
        <f>F7-G7</f>
        <v>14320.11</v>
      </c>
      <c r="J7" s="4258"/>
      <c r="K7" s="4258">
        <f>SUM(K3:K6)</f>
        <v>119963.53</v>
      </c>
      <c r="L7" s="4258">
        <f ca="1">ROUND(SUM(L3:L6),0)</f>
        <v>259279</v>
      </c>
      <c r="M7" s="4258"/>
    </row>
    <row r="8" spans="1:15">
      <c r="A8" s="4258"/>
      <c r="B8" s="4258" t="s">
        <v>4099</v>
      </c>
      <c r="C8" s="4258">
        <v>46.06</v>
      </c>
      <c r="E8" s="4258" t="s">
        <v>4100</v>
      </c>
      <c r="F8" s="4258">
        <v>14588.99</v>
      </c>
      <c r="G8" s="4258"/>
      <c r="H8" s="4261">
        <f t="shared" si="2"/>
        <v>14588.99</v>
      </c>
    </row>
    <row r="9" spans="1:15">
      <c r="A9" s="4258"/>
      <c r="B9" s="4258" t="s">
        <v>4101</v>
      </c>
      <c r="C9" s="4258">
        <v>49.56</v>
      </c>
      <c r="E9" s="4258" t="s">
        <v>4102</v>
      </c>
      <c r="F9" s="4258">
        <v>14713.93</v>
      </c>
      <c r="G9" s="4258"/>
      <c r="H9" s="4261">
        <f t="shared" si="2"/>
        <v>14713.93</v>
      </c>
    </row>
    <row r="10" spans="1:15">
      <c r="A10" s="4258"/>
      <c r="B10" s="4258" t="s">
        <v>4103</v>
      </c>
      <c r="C10" s="4258">
        <v>47.62</v>
      </c>
      <c r="E10" s="4258" t="s">
        <v>4104</v>
      </c>
      <c r="F10" s="4258">
        <v>14715.7</v>
      </c>
      <c r="G10" s="4258"/>
      <c r="H10" s="4261">
        <f t="shared" si="2"/>
        <v>14715.7</v>
      </c>
    </row>
    <row r="11" spans="1:15">
      <c r="A11" s="4258"/>
      <c r="B11" s="4258" t="s">
        <v>4105</v>
      </c>
      <c r="C11" s="4258">
        <v>48.57</v>
      </c>
      <c r="E11" s="4258" t="s">
        <v>4106</v>
      </c>
      <c r="F11" s="4258">
        <v>14978.2</v>
      </c>
      <c r="G11" s="4258"/>
      <c r="H11" s="4261">
        <f t="shared" si="2"/>
        <v>14978.2</v>
      </c>
    </row>
    <row r="12" spans="1:15">
      <c r="A12" s="4258"/>
      <c r="B12" s="4258" t="s">
        <v>4107</v>
      </c>
      <c r="C12" s="4258">
        <v>48.57</v>
      </c>
      <c r="E12" s="4258" t="s">
        <v>4108</v>
      </c>
      <c r="F12" s="4258">
        <v>12235</v>
      </c>
      <c r="G12" s="4258"/>
      <c r="H12" s="4261">
        <f t="shared" si="2"/>
        <v>12235</v>
      </c>
    </row>
    <row r="13" spans="1:15">
      <c r="A13" s="4258"/>
      <c r="B13" s="4258" t="s">
        <v>4109</v>
      </c>
      <c r="C13" s="4258">
        <v>48.57</v>
      </c>
      <c r="E13" s="4258" t="s">
        <v>4110</v>
      </c>
      <c r="F13" s="4258">
        <v>378.24</v>
      </c>
      <c r="G13" s="4258"/>
      <c r="H13" s="4258">
        <f t="shared" si="2"/>
        <v>378.24</v>
      </c>
    </row>
    <row r="14" spans="1:15">
      <c r="A14" s="4258"/>
      <c r="B14" s="4258" t="s">
        <v>4111</v>
      </c>
      <c r="C14" s="4258">
        <v>48.57</v>
      </c>
      <c r="E14" s="4258"/>
      <c r="F14" s="4258">
        <f>SUM(F4:F13)</f>
        <v>135974.34999999998</v>
      </c>
      <c r="G14" s="4258">
        <f>SUM(G4:G12)</f>
        <v>12862.72</v>
      </c>
      <c r="H14" s="4258">
        <f>SUM(H4:H13)</f>
        <v>123111.63000000002</v>
      </c>
    </row>
    <row r="15" spans="1:15">
      <c r="A15" s="4258"/>
      <c r="B15" s="4258" t="s">
        <v>4112</v>
      </c>
      <c r="C15" s="4258">
        <v>48.57</v>
      </c>
    </row>
    <row r="16" spans="1:15">
      <c r="A16" s="4258"/>
      <c r="B16" s="4258" t="s">
        <v>4113</v>
      </c>
      <c r="C16" s="4258">
        <v>45.68</v>
      </c>
      <c r="E16" s="4258"/>
      <c r="F16" s="4258" t="s">
        <v>4114</v>
      </c>
      <c r="G16" s="4258" t="s">
        <v>4115</v>
      </c>
      <c r="H16" s="4258" t="s">
        <v>4116</v>
      </c>
    </row>
    <row r="17" spans="1:16">
      <c r="A17" s="4258"/>
      <c r="B17" s="4258" t="s">
        <v>4117</v>
      </c>
      <c r="C17" s="4258">
        <v>45.68</v>
      </c>
      <c r="E17" s="4259" t="s">
        <v>4118</v>
      </c>
      <c r="F17" s="4261">
        <f>C37</f>
        <v>1587.42</v>
      </c>
      <c r="G17" s="4258">
        <f>H4</f>
        <v>4725.9700000000012</v>
      </c>
      <c r="H17" s="4258">
        <f>F17-G17</f>
        <v>-3138.5500000000011</v>
      </c>
      <c r="J17" s="4257" t="s">
        <v>4119</v>
      </c>
      <c r="K17" s="4257" t="s">
        <v>4110</v>
      </c>
    </row>
    <row r="18" spans="1:16">
      <c r="A18" s="4258"/>
      <c r="B18" s="4258" t="s">
        <v>4120</v>
      </c>
      <c r="C18" s="4258">
        <v>44.69</v>
      </c>
      <c r="E18" s="4259" t="s">
        <v>4121</v>
      </c>
      <c r="F18" s="4261">
        <f>C338</f>
        <v>14687.639999999994</v>
      </c>
      <c r="G18" s="4258">
        <f>H5</f>
        <v>16988.440000000002</v>
      </c>
      <c r="H18" s="4258">
        <f t="shared" ref="H18:H21" si="3">F18-G18</f>
        <v>-2300.8000000000084</v>
      </c>
      <c r="J18" s="4257">
        <v>2434.54</v>
      </c>
      <c r="K18" s="4257">
        <v>378.24</v>
      </c>
    </row>
    <row r="19" spans="1:16">
      <c r="A19" s="4258"/>
      <c r="B19" s="4258" t="s">
        <v>4122</v>
      </c>
      <c r="C19" s="4258">
        <v>52.99</v>
      </c>
      <c r="E19" s="4259" t="s">
        <v>4123</v>
      </c>
      <c r="F19" s="4258">
        <f>C339</f>
        <v>103688.47</v>
      </c>
      <c r="G19" s="4258">
        <f>SUM(H6:H12)</f>
        <v>101018.98</v>
      </c>
      <c r="H19" s="4258">
        <f t="shared" si="3"/>
        <v>2669.4900000000052</v>
      </c>
    </row>
    <row r="20" spans="1:16">
      <c r="A20" s="4258"/>
      <c r="B20" s="4258" t="s">
        <v>4124</v>
      </c>
      <c r="C20" s="4258">
        <v>52.99</v>
      </c>
      <c r="E20" s="4259" t="s">
        <v>4110</v>
      </c>
      <c r="F20" s="4258"/>
      <c r="G20" s="4258">
        <v>378.24</v>
      </c>
      <c r="H20" s="4258">
        <f t="shared" si="3"/>
        <v>-378.24</v>
      </c>
    </row>
    <row r="21" spans="1:16">
      <c r="A21" s="4258"/>
      <c r="B21" s="4258" t="s">
        <v>4125</v>
      </c>
      <c r="C21" s="4258">
        <v>52.99</v>
      </c>
      <c r="E21" s="4259" t="s">
        <v>2474</v>
      </c>
      <c r="F21" s="4258">
        <f>SUM(F17:F19)</f>
        <v>119963.53</v>
      </c>
      <c r="G21" s="4258">
        <f>SUM(G17:G20)</f>
        <v>123111.63</v>
      </c>
      <c r="H21" s="4258">
        <f t="shared" si="3"/>
        <v>-3148.1000000000058</v>
      </c>
    </row>
    <row r="22" spans="1:16">
      <c r="A22" s="4258"/>
      <c r="B22" s="4258" t="s">
        <v>4126</v>
      </c>
      <c r="C22" s="4258">
        <v>49.07</v>
      </c>
    </row>
    <row r="23" spans="1:16">
      <c r="A23" s="4258"/>
      <c r="B23" s="4258" t="s">
        <v>4127</v>
      </c>
      <c r="C23" s="4258">
        <v>49.07</v>
      </c>
    </row>
    <row r="24" spans="1:16">
      <c r="A24" s="4258"/>
      <c r="B24" s="4258" t="s">
        <v>4128</v>
      </c>
      <c r="C24" s="4258">
        <v>49.07</v>
      </c>
      <c r="E24" s="4259" t="s">
        <v>4129</v>
      </c>
      <c r="F24" s="4258"/>
      <c r="J24" s="4258" t="s">
        <v>4130</v>
      </c>
      <c r="K24" s="4258" t="s">
        <v>4131</v>
      </c>
      <c r="L24" s="4258" t="s">
        <v>4132</v>
      </c>
      <c r="M24" s="4258" t="s">
        <v>4133</v>
      </c>
      <c r="N24" s="4258" t="s">
        <v>4134</v>
      </c>
      <c r="O24" s="4258"/>
      <c r="P24" s="4258"/>
    </row>
    <row r="25" spans="1:16">
      <c r="A25" s="4258"/>
      <c r="B25" s="4258" t="s">
        <v>4135</v>
      </c>
      <c r="C25" s="4258">
        <v>49.07</v>
      </c>
      <c r="E25" s="4259" t="s">
        <v>4136</v>
      </c>
      <c r="F25" s="4261">
        <v>16275.06</v>
      </c>
      <c r="J25" s="4258">
        <v>1</v>
      </c>
      <c r="K25" s="4258">
        <v>1</v>
      </c>
      <c r="L25" s="4258">
        <v>40000</v>
      </c>
      <c r="M25" s="4258">
        <v>10</v>
      </c>
      <c r="N25" s="4258">
        <f>H7</f>
        <v>14320.11</v>
      </c>
      <c r="O25" s="4258">
        <f>M25*N25</f>
        <v>143201.1</v>
      </c>
      <c r="P25" s="4258">
        <f>L25*N25/10000</f>
        <v>57280.44</v>
      </c>
    </row>
    <row r="26" spans="1:16">
      <c r="A26" s="4258"/>
      <c r="B26" s="4258" t="s">
        <v>4137</v>
      </c>
      <c r="C26" s="4258">
        <v>49.07</v>
      </c>
      <c r="E26" s="4259" t="s">
        <v>4138</v>
      </c>
      <c r="F26" s="4261">
        <v>103688.47</v>
      </c>
      <c r="J26" s="4258">
        <v>2</v>
      </c>
      <c r="K26" s="4258">
        <v>0.7</v>
      </c>
      <c r="L26" s="4258">
        <f>$L$25*K26</f>
        <v>28000</v>
      </c>
      <c r="M26" s="4258">
        <f t="shared" ref="M26:M32" si="4">$M$25*K26</f>
        <v>7</v>
      </c>
      <c r="N26" s="4258">
        <f t="shared" ref="N26:N30" si="5">H8</f>
        <v>14588.99</v>
      </c>
      <c r="O26" s="4258">
        <f t="shared" ref="O26:O33" si="6">M26*N26</f>
        <v>102122.93</v>
      </c>
      <c r="P26" s="4258">
        <f t="shared" ref="P26:P32" si="7">L26*N26/10000</f>
        <v>40849.171999999999</v>
      </c>
    </row>
    <row r="27" spans="1:16">
      <c r="A27" s="4258"/>
      <c r="B27" s="4258" t="s">
        <v>4139</v>
      </c>
      <c r="C27" s="4258">
        <v>49.07</v>
      </c>
      <c r="E27" s="4259" t="s">
        <v>4140</v>
      </c>
      <c r="F27" s="4258">
        <v>2434.54</v>
      </c>
      <c r="J27" s="4258">
        <v>3</v>
      </c>
      <c r="K27" s="4258">
        <v>0.6</v>
      </c>
      <c r="L27" s="4258">
        <f t="shared" ref="L27:L32" si="8">$L$25*K27</f>
        <v>24000</v>
      </c>
      <c r="M27" s="4258">
        <f t="shared" si="4"/>
        <v>6</v>
      </c>
      <c r="N27" s="4258">
        <f t="shared" si="5"/>
        <v>14713.93</v>
      </c>
      <c r="O27" s="4258">
        <f t="shared" si="6"/>
        <v>88283.58</v>
      </c>
      <c r="P27" s="4258">
        <f t="shared" si="7"/>
        <v>35313.432000000001</v>
      </c>
    </row>
    <row r="28" spans="1:16">
      <c r="A28" s="4258"/>
      <c r="B28" s="4258" t="s">
        <v>4141</v>
      </c>
      <c r="C28" s="4258">
        <v>46.51</v>
      </c>
      <c r="E28" s="4259" t="s">
        <v>2474</v>
      </c>
      <c r="F28" s="4258">
        <f>SUM(F25:F27)</f>
        <v>122398.06999999999</v>
      </c>
      <c r="J28" s="4258">
        <v>4</v>
      </c>
      <c r="K28" s="4258">
        <v>0.5</v>
      </c>
      <c r="L28" s="4258">
        <f t="shared" si="8"/>
        <v>20000</v>
      </c>
      <c r="M28" s="4258">
        <f t="shared" si="4"/>
        <v>5</v>
      </c>
      <c r="N28" s="4258">
        <f t="shared" si="5"/>
        <v>14715.7</v>
      </c>
      <c r="O28" s="4258">
        <f t="shared" si="6"/>
        <v>73578.5</v>
      </c>
      <c r="P28" s="4258">
        <f t="shared" si="7"/>
        <v>29431.4</v>
      </c>
    </row>
    <row r="29" spans="1:16">
      <c r="A29" s="4258"/>
      <c r="B29" s="4258" t="s">
        <v>4142</v>
      </c>
      <c r="C29" s="4258">
        <v>46.51</v>
      </c>
      <c r="J29" s="4258">
        <v>5</v>
      </c>
      <c r="K29" s="4258">
        <v>0.5</v>
      </c>
      <c r="L29" s="4258">
        <f t="shared" si="8"/>
        <v>20000</v>
      </c>
      <c r="M29" s="4258">
        <f t="shared" si="4"/>
        <v>5</v>
      </c>
      <c r="N29" s="4258">
        <f t="shared" si="5"/>
        <v>14978.2</v>
      </c>
      <c r="O29" s="4258">
        <f t="shared" si="6"/>
        <v>74891</v>
      </c>
      <c r="P29" s="4258">
        <f t="shared" si="7"/>
        <v>29956.400000000001</v>
      </c>
    </row>
    <row r="30" spans="1:16">
      <c r="A30" s="4258"/>
      <c r="B30" s="4258" t="s">
        <v>4143</v>
      </c>
      <c r="C30" s="4258">
        <v>46.51</v>
      </c>
      <c r="E30" s="4259" t="s">
        <v>4138</v>
      </c>
      <c r="F30" s="4258" t="s">
        <v>4144</v>
      </c>
      <c r="G30" s="4258" t="s">
        <v>4145</v>
      </c>
      <c r="H30" s="4258" t="s">
        <v>4116</v>
      </c>
      <c r="J30" s="4258">
        <v>6</v>
      </c>
      <c r="K30" s="4258">
        <v>0.5</v>
      </c>
      <c r="L30" s="4258">
        <f t="shared" si="8"/>
        <v>20000</v>
      </c>
      <c r="M30" s="4258">
        <f t="shared" si="4"/>
        <v>5</v>
      </c>
      <c r="N30" s="4258">
        <f t="shared" si="5"/>
        <v>12235</v>
      </c>
      <c r="O30" s="4258">
        <f t="shared" si="6"/>
        <v>61175</v>
      </c>
      <c r="P30" s="4258">
        <f t="shared" si="7"/>
        <v>24470</v>
      </c>
    </row>
    <row r="31" spans="1:16">
      <c r="A31" s="4258"/>
      <c r="B31" s="4258" t="s">
        <v>4146</v>
      </c>
      <c r="C31" s="4258">
        <v>47.5</v>
      </c>
      <c r="E31" s="4262" t="s">
        <v>4098</v>
      </c>
      <c r="F31" s="4263">
        <f t="shared" ref="F31:F36" si="9">H7</f>
        <v>14320.11</v>
      </c>
      <c r="G31" s="4258"/>
      <c r="H31" s="4258"/>
      <c r="J31" s="4258" t="s">
        <v>4090</v>
      </c>
      <c r="K31" s="4258">
        <v>0.6</v>
      </c>
      <c r="L31" s="4258">
        <f t="shared" si="8"/>
        <v>24000</v>
      </c>
      <c r="M31" s="4258">
        <f t="shared" si="4"/>
        <v>6</v>
      </c>
      <c r="N31" s="4258">
        <f>G37</f>
        <v>15467.050000000001</v>
      </c>
      <c r="O31" s="4258">
        <f t="shared" si="6"/>
        <v>92802.3</v>
      </c>
      <c r="P31" s="4258">
        <f t="shared" si="7"/>
        <v>37120.92</v>
      </c>
    </row>
    <row r="32" spans="1:16">
      <c r="A32" s="4258"/>
      <c r="B32" s="4258" t="s">
        <v>4147</v>
      </c>
      <c r="C32" s="4258">
        <v>47.5</v>
      </c>
      <c r="E32" s="4262" t="s">
        <v>4100</v>
      </c>
      <c r="F32" s="4263">
        <f t="shared" si="9"/>
        <v>14588.99</v>
      </c>
      <c r="G32" s="4258"/>
      <c r="H32" s="4258"/>
      <c r="J32" s="4258" t="s">
        <v>4093</v>
      </c>
      <c r="K32" s="4258">
        <v>0.4</v>
      </c>
      <c r="L32" s="4258">
        <f t="shared" si="8"/>
        <v>16000</v>
      </c>
      <c r="M32" s="4258">
        <f t="shared" si="4"/>
        <v>4</v>
      </c>
      <c r="N32" s="4258">
        <f>H37</f>
        <v>2669.4900000000071</v>
      </c>
      <c r="O32" s="4258">
        <f t="shared" si="6"/>
        <v>10677.960000000028</v>
      </c>
      <c r="P32" s="4258">
        <f t="shared" si="7"/>
        <v>4271.1840000000111</v>
      </c>
    </row>
    <row r="33" spans="1:16">
      <c r="A33" s="4258"/>
      <c r="B33" s="4258" t="s">
        <v>4148</v>
      </c>
      <c r="C33" s="4258">
        <v>47.5</v>
      </c>
      <c r="E33" s="4262" t="s">
        <v>4102</v>
      </c>
      <c r="F33" s="4263">
        <f t="shared" si="9"/>
        <v>14713.93</v>
      </c>
      <c r="G33" s="4258"/>
      <c r="H33" s="4258"/>
      <c r="J33" s="4258" t="s">
        <v>4149</v>
      </c>
      <c r="K33" s="4258"/>
      <c r="L33" s="4258"/>
      <c r="M33" s="4258">
        <f>1000/30/35</f>
        <v>0.95238095238095244</v>
      </c>
      <c r="N33" s="4258">
        <f>'数据-基础表'!M13</f>
        <v>16275.06</v>
      </c>
      <c r="O33" s="4258">
        <f t="shared" si="6"/>
        <v>15500.057142857144</v>
      </c>
      <c r="P33" s="4258"/>
    </row>
    <row r="34" spans="1:16">
      <c r="A34" s="4258"/>
      <c r="B34" s="4258" t="s">
        <v>4150</v>
      </c>
      <c r="C34" s="4258">
        <v>47.5</v>
      </c>
      <c r="E34" s="4262" t="s">
        <v>4104</v>
      </c>
      <c r="F34" s="4263">
        <f t="shared" si="9"/>
        <v>14715.7</v>
      </c>
      <c r="G34" s="4258"/>
      <c r="H34" s="4258"/>
      <c r="J34" s="4258"/>
      <c r="K34" s="4258"/>
      <c r="L34" s="4258">
        <f>P34/N34*10000</f>
        <v>21564.29941666438</v>
      </c>
      <c r="M34" s="4258">
        <f>O34/N34</f>
        <v>5.5202812650049333</v>
      </c>
      <c r="N34" s="4258">
        <f>SUM(N25:N33)</f>
        <v>119963.53</v>
      </c>
      <c r="O34" s="4258">
        <f>SUM(O25:O33)</f>
        <v>662232.42714285722</v>
      </c>
      <c r="P34" s="4258">
        <f>SUM(P25:P33)</f>
        <v>258692.94799999997</v>
      </c>
    </row>
    <row r="35" spans="1:16">
      <c r="A35" s="4258"/>
      <c r="B35" s="4258" t="s">
        <v>4151</v>
      </c>
      <c r="C35" s="4258">
        <v>47.5</v>
      </c>
      <c r="E35" s="4262" t="s">
        <v>4106</v>
      </c>
      <c r="F35" s="4263">
        <f t="shared" si="9"/>
        <v>14978.2</v>
      </c>
      <c r="G35" s="4258"/>
      <c r="H35" s="4258"/>
    </row>
    <row r="36" spans="1:16">
      <c r="A36" s="4258"/>
      <c r="B36" s="4258" t="s">
        <v>4152</v>
      </c>
      <c r="C36" s="4258">
        <v>47.5</v>
      </c>
      <c r="E36" s="4262" t="s">
        <v>4108</v>
      </c>
      <c r="F36" s="4263">
        <f t="shared" si="9"/>
        <v>12235</v>
      </c>
      <c r="G36" s="4258"/>
      <c r="H36" s="4258"/>
    </row>
    <row r="37" spans="1:16">
      <c r="A37" s="4260" t="s">
        <v>4153</v>
      </c>
      <c r="B37" s="4260"/>
      <c r="C37" s="4260">
        <f>SUM(C4:C36)</f>
        <v>1587.42</v>
      </c>
      <c r="E37" s="4262" t="s">
        <v>4154</v>
      </c>
      <c r="F37" s="4263">
        <f>F26-SUM(F31:F36)</f>
        <v>18136.540000000008</v>
      </c>
      <c r="G37" s="4258">
        <f>H6</f>
        <v>15467.050000000001</v>
      </c>
      <c r="H37" s="4258">
        <f>F37-G37</f>
        <v>2669.4900000000071</v>
      </c>
    </row>
    <row r="38" spans="1:16">
      <c r="A38" s="4258" t="s">
        <v>4092</v>
      </c>
      <c r="B38" s="4258" t="s">
        <v>4155</v>
      </c>
      <c r="C38" s="4258">
        <v>48.57</v>
      </c>
    </row>
    <row r="39" spans="1:16">
      <c r="A39" s="4258"/>
      <c r="B39" s="4258" t="s">
        <v>4156</v>
      </c>
      <c r="C39" s="4258">
        <v>48.57</v>
      </c>
    </row>
    <row r="40" spans="1:16">
      <c r="A40" s="4258"/>
      <c r="B40" s="4258" t="s">
        <v>4157</v>
      </c>
      <c r="C40" s="4258">
        <v>48.57</v>
      </c>
      <c r="E40" s="4258"/>
      <c r="F40" s="4258" t="s">
        <v>4158</v>
      </c>
      <c r="G40" s="4258" t="s">
        <v>4159</v>
      </c>
      <c r="H40" s="4258" t="s">
        <v>4160</v>
      </c>
    </row>
    <row r="41" spans="1:16">
      <c r="A41" s="4258"/>
      <c r="B41" s="4258" t="s">
        <v>4161</v>
      </c>
      <c r="C41" s="4258">
        <v>48.57</v>
      </c>
      <c r="E41" s="4258" t="s">
        <v>4162</v>
      </c>
      <c r="F41" s="4258">
        <v>242415</v>
      </c>
      <c r="G41" s="4258">
        <v>267181</v>
      </c>
      <c r="H41" s="4258">
        <v>254798</v>
      </c>
    </row>
    <row r="42" spans="1:16">
      <c r="A42" s="4258"/>
      <c r="B42" s="4258" t="s">
        <v>4163</v>
      </c>
      <c r="C42" s="4258">
        <v>48.57</v>
      </c>
      <c r="E42" s="4258" t="s">
        <v>4164</v>
      </c>
      <c r="F42" s="4258">
        <v>357444</v>
      </c>
      <c r="G42" s="4258">
        <v>182398</v>
      </c>
      <c r="H42" s="4258">
        <v>252416</v>
      </c>
    </row>
    <row r="43" spans="1:16">
      <c r="A43" s="4258"/>
      <c r="B43" s="4258" t="s">
        <v>4165</v>
      </c>
      <c r="C43" s="4258">
        <v>48.57</v>
      </c>
    </row>
    <row r="44" spans="1:16">
      <c r="A44" s="4258"/>
      <c r="B44" s="4258" t="s">
        <v>4166</v>
      </c>
      <c r="C44" s="4258">
        <v>48.57</v>
      </c>
    </row>
    <row r="45" spans="1:16">
      <c r="A45" s="4258"/>
      <c r="B45" s="4258" t="s">
        <v>4167</v>
      </c>
      <c r="C45" s="4258">
        <v>48.57</v>
      </c>
    </row>
    <row r="46" spans="1:16">
      <c r="A46" s="4258"/>
      <c r="B46" s="4258" t="s">
        <v>4168</v>
      </c>
      <c r="C46" s="4258">
        <v>48.57</v>
      </c>
    </row>
    <row r="47" spans="1:16">
      <c r="A47" s="4258"/>
      <c r="B47" s="4258" t="s">
        <v>4169</v>
      </c>
      <c r="C47" s="4258">
        <v>48.57</v>
      </c>
    </row>
    <row r="48" spans="1:16">
      <c r="A48" s="4258"/>
      <c r="B48" s="4258" t="s">
        <v>4170</v>
      </c>
      <c r="C48" s="4258">
        <v>48.57</v>
      </c>
    </row>
    <row r="49" spans="1:3">
      <c r="A49" s="4258"/>
      <c r="B49" s="4258" t="s">
        <v>4171</v>
      </c>
      <c r="C49" s="4258">
        <v>48.57</v>
      </c>
    </row>
    <row r="50" spans="1:3">
      <c r="A50" s="4258"/>
      <c r="B50" s="4258" t="s">
        <v>4172</v>
      </c>
      <c r="C50" s="4258">
        <v>48.57</v>
      </c>
    </row>
    <row r="51" spans="1:3">
      <c r="A51" s="4258"/>
      <c r="B51" s="4258" t="s">
        <v>4173</v>
      </c>
      <c r="C51" s="4258">
        <v>48.57</v>
      </c>
    </row>
    <row r="52" spans="1:3">
      <c r="A52" s="4258"/>
      <c r="B52" s="4258" t="s">
        <v>4174</v>
      </c>
      <c r="C52" s="4258">
        <v>48.57</v>
      </c>
    </row>
    <row r="53" spans="1:3">
      <c r="A53" s="4258"/>
      <c r="B53" s="4258" t="s">
        <v>4175</v>
      </c>
      <c r="C53" s="4258">
        <v>48.57</v>
      </c>
    </row>
    <row r="54" spans="1:3">
      <c r="A54" s="4258"/>
      <c r="B54" s="4258" t="s">
        <v>4176</v>
      </c>
      <c r="C54" s="4258">
        <v>48.57</v>
      </c>
    </row>
    <row r="55" spans="1:3">
      <c r="A55" s="4258"/>
      <c r="B55" s="4258" t="s">
        <v>4177</v>
      </c>
      <c r="C55" s="4258">
        <v>48.57</v>
      </c>
    </row>
    <row r="56" spans="1:3">
      <c r="A56" s="4258"/>
      <c r="B56" s="4258" t="s">
        <v>4178</v>
      </c>
      <c r="C56" s="4258">
        <v>48.57</v>
      </c>
    </row>
    <row r="57" spans="1:3">
      <c r="A57" s="4258"/>
      <c r="B57" s="4258" t="s">
        <v>4179</v>
      </c>
      <c r="C57" s="4258">
        <v>48.57</v>
      </c>
    </row>
    <row r="58" spans="1:3">
      <c r="A58" s="4258"/>
      <c r="B58" s="4258" t="s">
        <v>4180</v>
      </c>
      <c r="C58" s="4258">
        <v>49.56</v>
      </c>
    </row>
    <row r="59" spans="1:3">
      <c r="A59" s="4258"/>
      <c r="B59" s="4258" t="s">
        <v>4181</v>
      </c>
      <c r="C59" s="4258">
        <v>49.56</v>
      </c>
    </row>
    <row r="60" spans="1:3">
      <c r="A60" s="4258"/>
      <c r="B60" s="4258" t="s">
        <v>4182</v>
      </c>
      <c r="C60" s="4258">
        <v>48.57</v>
      </c>
    </row>
    <row r="61" spans="1:3">
      <c r="A61" s="4258"/>
      <c r="B61" s="4258" t="s">
        <v>4183</v>
      </c>
      <c r="C61" s="4258">
        <v>48.57</v>
      </c>
    </row>
    <row r="62" spans="1:3">
      <c r="A62" s="4258"/>
      <c r="B62" s="4258" t="s">
        <v>4184</v>
      </c>
      <c r="C62" s="4258">
        <v>48.57</v>
      </c>
    </row>
    <row r="63" spans="1:3">
      <c r="A63" s="4258"/>
      <c r="B63" s="4258" t="s">
        <v>4185</v>
      </c>
      <c r="C63" s="4258">
        <v>48.57</v>
      </c>
    </row>
    <row r="64" spans="1:3">
      <c r="A64" s="4258"/>
      <c r="B64" s="4258" t="s">
        <v>4186</v>
      </c>
      <c r="C64" s="4258">
        <v>48.57</v>
      </c>
    </row>
    <row r="65" spans="1:3">
      <c r="A65" s="4258"/>
      <c r="B65" s="4258" t="s">
        <v>4187</v>
      </c>
      <c r="C65" s="4258">
        <v>48.57</v>
      </c>
    </row>
    <row r="66" spans="1:3">
      <c r="A66" s="4258"/>
      <c r="B66" s="4258" t="s">
        <v>4188</v>
      </c>
      <c r="C66" s="4258">
        <v>48.57</v>
      </c>
    </row>
    <row r="67" spans="1:3">
      <c r="A67" s="4258"/>
      <c r="B67" s="4258" t="s">
        <v>4189</v>
      </c>
      <c r="C67" s="4258">
        <v>48.57</v>
      </c>
    </row>
    <row r="68" spans="1:3">
      <c r="A68" s="4258"/>
      <c r="B68" s="4258" t="s">
        <v>4190</v>
      </c>
      <c r="C68" s="4258">
        <v>48.57</v>
      </c>
    </row>
    <row r="69" spans="1:3">
      <c r="A69" s="4258"/>
      <c r="B69" s="4258" t="s">
        <v>4191</v>
      </c>
      <c r="C69" s="4258">
        <v>48.57</v>
      </c>
    </row>
    <row r="70" spans="1:3">
      <c r="A70" s="4258"/>
      <c r="B70" s="4258" t="s">
        <v>4192</v>
      </c>
      <c r="C70" s="4258">
        <v>48.57</v>
      </c>
    </row>
    <row r="71" spans="1:3">
      <c r="A71" s="4258"/>
      <c r="B71" s="4258" t="s">
        <v>4193</v>
      </c>
      <c r="C71" s="4258">
        <v>54.97</v>
      </c>
    </row>
    <row r="72" spans="1:3">
      <c r="A72" s="4258"/>
      <c r="B72" s="4258" t="s">
        <v>4194</v>
      </c>
      <c r="C72" s="4258">
        <v>54.97</v>
      </c>
    </row>
    <row r="73" spans="1:3">
      <c r="A73" s="4258"/>
      <c r="B73" s="4258" t="s">
        <v>4195</v>
      </c>
      <c r="C73" s="4258">
        <v>54.97</v>
      </c>
    </row>
    <row r="74" spans="1:3">
      <c r="A74" s="4258"/>
      <c r="B74" s="4258" t="s">
        <v>4196</v>
      </c>
      <c r="C74" s="4258">
        <v>48.57</v>
      </c>
    </row>
    <row r="75" spans="1:3">
      <c r="A75" s="4258"/>
      <c r="B75" s="4258" t="s">
        <v>4197</v>
      </c>
      <c r="C75" s="4258">
        <v>48.57</v>
      </c>
    </row>
    <row r="76" spans="1:3">
      <c r="A76" s="4258"/>
      <c r="B76" s="4258" t="s">
        <v>4198</v>
      </c>
      <c r="C76" s="4258">
        <v>48.57</v>
      </c>
    </row>
    <row r="77" spans="1:3">
      <c r="A77" s="4258"/>
      <c r="B77" s="4258" t="s">
        <v>4199</v>
      </c>
      <c r="C77" s="4258">
        <v>68.989999999999995</v>
      </c>
    </row>
    <row r="78" spans="1:3">
      <c r="A78" s="4258"/>
      <c r="B78" s="4258" t="s">
        <v>4200</v>
      </c>
      <c r="C78" s="4258">
        <v>52.46</v>
      </c>
    </row>
    <row r="79" spans="1:3">
      <c r="A79" s="4258"/>
      <c r="B79" s="4258" t="s">
        <v>4201</v>
      </c>
      <c r="C79" s="4258">
        <v>48.57</v>
      </c>
    </row>
    <row r="80" spans="1:3">
      <c r="A80" s="4258"/>
      <c r="B80" s="4258" t="s">
        <v>4202</v>
      </c>
      <c r="C80" s="4258">
        <v>48.57</v>
      </c>
    </row>
    <row r="81" spans="1:3">
      <c r="A81" s="4258"/>
      <c r="B81" s="4258" t="s">
        <v>4203</v>
      </c>
      <c r="C81" s="4258">
        <v>48.57</v>
      </c>
    </row>
    <row r="82" spans="1:3">
      <c r="A82" s="4258"/>
      <c r="B82" s="4258" t="s">
        <v>4204</v>
      </c>
      <c r="C82" s="4258">
        <v>94.29</v>
      </c>
    </row>
    <row r="83" spans="1:3">
      <c r="A83" s="4258"/>
      <c r="B83" s="4258" t="s">
        <v>4205</v>
      </c>
      <c r="C83" s="4258">
        <v>46.63</v>
      </c>
    </row>
    <row r="84" spans="1:3">
      <c r="A84" s="4258"/>
      <c r="B84" s="4258" t="s">
        <v>4206</v>
      </c>
      <c r="C84" s="4258">
        <v>46.63</v>
      </c>
    </row>
    <row r="85" spans="1:3">
      <c r="A85" s="4258"/>
      <c r="B85" s="4258" t="s">
        <v>4207</v>
      </c>
      <c r="C85" s="4258">
        <v>46.63</v>
      </c>
    </row>
    <row r="86" spans="1:3">
      <c r="A86" s="4258"/>
      <c r="B86" s="4258" t="s">
        <v>4208</v>
      </c>
      <c r="C86" s="4258">
        <v>46.63</v>
      </c>
    </row>
    <row r="87" spans="1:3">
      <c r="A87" s="4258"/>
      <c r="B87" s="4258" t="s">
        <v>4209</v>
      </c>
      <c r="C87" s="4258">
        <v>46.63</v>
      </c>
    </row>
    <row r="88" spans="1:3">
      <c r="A88" s="4258"/>
      <c r="B88" s="4258" t="s">
        <v>4210</v>
      </c>
      <c r="C88" s="4258">
        <v>46.63</v>
      </c>
    </row>
    <row r="89" spans="1:3">
      <c r="A89" s="4258"/>
      <c r="B89" s="4258" t="s">
        <v>4211</v>
      </c>
      <c r="C89" s="4258">
        <v>48.57</v>
      </c>
    </row>
    <row r="90" spans="1:3">
      <c r="A90" s="4258"/>
      <c r="B90" s="4258" t="s">
        <v>4212</v>
      </c>
      <c r="C90" s="4258">
        <v>48.57</v>
      </c>
    </row>
    <row r="91" spans="1:3">
      <c r="A91" s="4258"/>
      <c r="B91" s="4258" t="s">
        <v>4213</v>
      </c>
      <c r="C91" s="4258">
        <v>48.57</v>
      </c>
    </row>
    <row r="92" spans="1:3">
      <c r="A92" s="4258"/>
      <c r="B92" s="4258" t="s">
        <v>4214</v>
      </c>
      <c r="C92" s="4258">
        <v>48.57</v>
      </c>
    </row>
    <row r="93" spans="1:3">
      <c r="A93" s="4258"/>
      <c r="B93" s="4258" t="s">
        <v>4215</v>
      </c>
      <c r="C93" s="4258">
        <v>48.57</v>
      </c>
    </row>
    <row r="94" spans="1:3">
      <c r="A94" s="4258"/>
      <c r="B94" s="4258" t="s">
        <v>4216</v>
      </c>
      <c r="C94" s="4258">
        <v>48.57</v>
      </c>
    </row>
    <row r="95" spans="1:3">
      <c r="A95" s="4258"/>
      <c r="B95" s="4258" t="s">
        <v>4217</v>
      </c>
      <c r="C95" s="4258">
        <v>48.57</v>
      </c>
    </row>
    <row r="96" spans="1:3">
      <c r="A96" s="4258"/>
      <c r="B96" s="4258" t="s">
        <v>4218</v>
      </c>
      <c r="C96" s="4258">
        <v>48.57</v>
      </c>
    </row>
    <row r="97" spans="1:3">
      <c r="A97" s="4258"/>
      <c r="B97" s="4258" t="s">
        <v>4219</v>
      </c>
      <c r="C97" s="4258">
        <v>48.57</v>
      </c>
    </row>
    <row r="98" spans="1:3">
      <c r="A98" s="4258"/>
      <c r="B98" s="4258" t="s">
        <v>4220</v>
      </c>
      <c r="C98" s="4258">
        <v>47.62</v>
      </c>
    </row>
    <row r="99" spans="1:3">
      <c r="A99" s="4258"/>
      <c r="B99" s="4258" t="s">
        <v>4221</v>
      </c>
      <c r="C99" s="4258">
        <v>47.62</v>
      </c>
    </row>
    <row r="100" spans="1:3">
      <c r="A100" s="4258"/>
      <c r="B100" s="4258" t="s">
        <v>4222</v>
      </c>
      <c r="C100" s="4258">
        <v>47.62</v>
      </c>
    </row>
    <row r="101" spans="1:3">
      <c r="A101" s="4258"/>
      <c r="B101" s="4258" t="s">
        <v>4223</v>
      </c>
      <c r="C101" s="4258">
        <v>48.57</v>
      </c>
    </row>
    <row r="102" spans="1:3">
      <c r="A102" s="4258"/>
      <c r="B102" s="4258" t="s">
        <v>4224</v>
      </c>
      <c r="C102" s="4258">
        <v>48.57</v>
      </c>
    </row>
    <row r="103" spans="1:3">
      <c r="A103" s="4258"/>
      <c r="B103" s="4258" t="s">
        <v>4225</v>
      </c>
      <c r="C103" s="4258">
        <v>48.57</v>
      </c>
    </row>
    <row r="104" spans="1:3">
      <c r="A104" s="4258"/>
      <c r="B104" s="4258" t="s">
        <v>4226</v>
      </c>
      <c r="C104" s="4258">
        <v>49.56</v>
      </c>
    </row>
    <row r="105" spans="1:3">
      <c r="A105" s="4258"/>
      <c r="B105" s="4258" t="s">
        <v>4227</v>
      </c>
      <c r="C105" s="4258">
        <v>47.62</v>
      </c>
    </row>
    <row r="106" spans="1:3">
      <c r="A106" s="4258"/>
      <c r="B106" s="4258" t="s">
        <v>4228</v>
      </c>
      <c r="C106" s="4258">
        <v>47.62</v>
      </c>
    </row>
    <row r="107" spans="1:3">
      <c r="A107" s="4258"/>
      <c r="B107" s="4258" t="s">
        <v>4229</v>
      </c>
      <c r="C107" s="4258">
        <v>47.62</v>
      </c>
    </row>
    <row r="108" spans="1:3">
      <c r="A108" s="4258"/>
      <c r="B108" s="4258" t="s">
        <v>4230</v>
      </c>
      <c r="C108" s="4258">
        <v>47.62</v>
      </c>
    </row>
    <row r="109" spans="1:3">
      <c r="A109" s="4258"/>
      <c r="B109" s="4258" t="s">
        <v>4231</v>
      </c>
      <c r="C109" s="4258">
        <v>48</v>
      </c>
    </row>
    <row r="110" spans="1:3">
      <c r="A110" s="4258"/>
      <c r="B110" s="4258" t="s">
        <v>4232</v>
      </c>
      <c r="C110" s="4258">
        <v>48</v>
      </c>
    </row>
    <row r="111" spans="1:3">
      <c r="A111" s="4258"/>
      <c r="B111" s="4258" t="s">
        <v>4233</v>
      </c>
      <c r="C111" s="4258">
        <v>48</v>
      </c>
    </row>
    <row r="112" spans="1:3">
      <c r="A112" s="4258"/>
      <c r="B112" s="4258" t="s">
        <v>4234</v>
      </c>
      <c r="C112" s="4258">
        <v>49.07</v>
      </c>
    </row>
    <row r="113" spans="1:3">
      <c r="A113" s="4258"/>
      <c r="B113" s="4258" t="s">
        <v>4235</v>
      </c>
      <c r="C113" s="4258">
        <v>47.5</v>
      </c>
    </row>
    <row r="114" spans="1:3">
      <c r="A114" s="4258"/>
      <c r="B114" s="4258" t="s">
        <v>4236</v>
      </c>
      <c r="C114" s="4258">
        <v>47.5</v>
      </c>
    </row>
    <row r="115" spans="1:3">
      <c r="A115" s="4258"/>
      <c r="B115" s="4258" t="s">
        <v>4237</v>
      </c>
      <c r="C115" s="4258">
        <v>47.5</v>
      </c>
    </row>
    <row r="116" spans="1:3">
      <c r="A116" s="4258"/>
      <c r="B116" s="4258" t="s">
        <v>4238</v>
      </c>
      <c r="C116" s="4258">
        <v>49.07</v>
      </c>
    </row>
    <row r="117" spans="1:3">
      <c r="A117" s="4258"/>
      <c r="B117" s="4258" t="s">
        <v>4239</v>
      </c>
      <c r="C117" s="4258">
        <v>43.31</v>
      </c>
    </row>
    <row r="118" spans="1:3">
      <c r="A118" s="4258"/>
      <c r="B118" s="4258" t="s">
        <v>4240</v>
      </c>
      <c r="C118" s="4258">
        <v>43.31</v>
      </c>
    </row>
    <row r="119" spans="1:3">
      <c r="A119" s="4258"/>
      <c r="B119" s="4258" t="s">
        <v>4241</v>
      </c>
      <c r="C119" s="4258">
        <v>43.31</v>
      </c>
    </row>
    <row r="120" spans="1:3">
      <c r="A120" s="4258"/>
      <c r="B120" s="4258" t="s">
        <v>4242</v>
      </c>
      <c r="C120" s="4258">
        <v>46.63</v>
      </c>
    </row>
    <row r="121" spans="1:3">
      <c r="A121" s="4258"/>
      <c r="B121" s="4258" t="s">
        <v>4243</v>
      </c>
      <c r="C121" s="4258">
        <v>46.63</v>
      </c>
    </row>
    <row r="122" spans="1:3">
      <c r="A122" s="4258"/>
      <c r="B122" s="4258" t="s">
        <v>4244</v>
      </c>
      <c r="C122" s="4258">
        <v>48.57</v>
      </c>
    </row>
    <row r="123" spans="1:3">
      <c r="A123" s="4258"/>
      <c r="B123" s="4258" t="s">
        <v>4245</v>
      </c>
      <c r="C123" s="4258">
        <v>48</v>
      </c>
    </row>
    <row r="124" spans="1:3">
      <c r="A124" s="4258"/>
      <c r="B124" s="4258" t="s">
        <v>4246</v>
      </c>
      <c r="C124" s="4258">
        <v>48</v>
      </c>
    </row>
    <row r="125" spans="1:3">
      <c r="A125" s="4258"/>
      <c r="B125" s="4258" t="s">
        <v>4247</v>
      </c>
      <c r="C125" s="4258">
        <v>48</v>
      </c>
    </row>
    <row r="126" spans="1:3">
      <c r="A126" s="4258"/>
      <c r="B126" s="4258" t="s">
        <v>4248</v>
      </c>
      <c r="C126" s="4258">
        <v>48.57</v>
      </c>
    </row>
    <row r="127" spans="1:3">
      <c r="A127" s="4258"/>
      <c r="B127" s="4258" t="s">
        <v>4249</v>
      </c>
      <c r="C127" s="4258">
        <v>48.57</v>
      </c>
    </row>
    <row r="128" spans="1:3">
      <c r="A128" s="4258"/>
      <c r="B128" s="4258" t="s">
        <v>4250</v>
      </c>
      <c r="C128" s="4258">
        <v>48.57</v>
      </c>
    </row>
    <row r="129" spans="1:3">
      <c r="A129" s="4258"/>
      <c r="B129" s="4258" t="s">
        <v>4251</v>
      </c>
      <c r="C129" s="4258">
        <v>48.57</v>
      </c>
    </row>
    <row r="130" spans="1:3">
      <c r="A130" s="4258"/>
      <c r="B130" s="4258" t="s">
        <v>4252</v>
      </c>
      <c r="C130" s="4258">
        <v>48.57</v>
      </c>
    </row>
    <row r="131" spans="1:3">
      <c r="A131" s="4258"/>
      <c r="B131" s="4258" t="s">
        <v>4253</v>
      </c>
      <c r="C131" s="4258">
        <v>46.86</v>
      </c>
    </row>
    <row r="132" spans="1:3">
      <c r="A132" s="4258"/>
      <c r="B132" s="4258" t="s">
        <v>4254</v>
      </c>
      <c r="C132" s="4258">
        <v>46.86</v>
      </c>
    </row>
    <row r="133" spans="1:3">
      <c r="A133" s="4258"/>
      <c r="B133" s="4258" t="s">
        <v>4255</v>
      </c>
      <c r="C133" s="4258">
        <v>46.86</v>
      </c>
    </row>
    <row r="134" spans="1:3">
      <c r="A134" s="4258"/>
      <c r="B134" s="4258" t="s">
        <v>4256</v>
      </c>
      <c r="C134" s="4258">
        <v>46.86</v>
      </c>
    </row>
    <row r="135" spans="1:3">
      <c r="A135" s="4258"/>
      <c r="B135" s="4258" t="s">
        <v>4257</v>
      </c>
      <c r="C135" s="4258">
        <v>46.86</v>
      </c>
    </row>
    <row r="136" spans="1:3">
      <c r="A136" s="4258"/>
      <c r="B136" s="4258" t="s">
        <v>4258</v>
      </c>
      <c r="C136" s="4258">
        <v>46.86</v>
      </c>
    </row>
    <row r="137" spans="1:3">
      <c r="A137" s="4258"/>
      <c r="B137" s="4258" t="s">
        <v>4259</v>
      </c>
      <c r="C137" s="4258">
        <v>46.48</v>
      </c>
    </row>
    <row r="138" spans="1:3">
      <c r="A138" s="4258"/>
      <c r="B138" s="4258" t="s">
        <v>4260</v>
      </c>
      <c r="C138" s="4258">
        <v>46.48</v>
      </c>
    </row>
    <row r="139" spans="1:3">
      <c r="A139" s="4258"/>
      <c r="B139" s="4258" t="s">
        <v>4261</v>
      </c>
      <c r="C139" s="4258">
        <v>46.48</v>
      </c>
    </row>
    <row r="140" spans="1:3">
      <c r="A140" s="4258"/>
      <c r="B140" s="4258" t="s">
        <v>4262</v>
      </c>
      <c r="C140" s="4258">
        <v>46.48</v>
      </c>
    </row>
    <row r="141" spans="1:3">
      <c r="A141" s="4258"/>
      <c r="B141" s="4258" t="s">
        <v>4263</v>
      </c>
      <c r="C141" s="4258">
        <v>47.43</v>
      </c>
    </row>
    <row r="142" spans="1:3">
      <c r="A142" s="4258"/>
      <c r="B142" s="4258" t="s">
        <v>4264</v>
      </c>
      <c r="C142" s="4258">
        <v>47.43</v>
      </c>
    </row>
    <row r="143" spans="1:3">
      <c r="A143" s="4258"/>
      <c r="B143" s="4258" t="s">
        <v>4265</v>
      </c>
      <c r="C143" s="4258">
        <v>47.43</v>
      </c>
    </row>
    <row r="144" spans="1:3">
      <c r="A144" s="4258"/>
      <c r="B144" s="4258" t="s">
        <v>4266</v>
      </c>
      <c r="C144" s="4258">
        <v>47.43</v>
      </c>
    </row>
    <row r="145" spans="1:3">
      <c r="A145" s="4258"/>
      <c r="B145" s="4258" t="s">
        <v>4267</v>
      </c>
      <c r="C145" s="4258">
        <v>47.43</v>
      </c>
    </row>
    <row r="146" spans="1:3">
      <c r="A146" s="4258"/>
      <c r="B146" s="4258" t="s">
        <v>4268</v>
      </c>
      <c r="C146" s="4258">
        <v>47.43</v>
      </c>
    </row>
    <row r="147" spans="1:3">
      <c r="A147" s="4258"/>
      <c r="B147" s="4258" t="s">
        <v>4269</v>
      </c>
      <c r="C147" s="4258">
        <v>47.43</v>
      </c>
    </row>
    <row r="148" spans="1:3">
      <c r="A148" s="4258"/>
      <c r="B148" s="4258" t="s">
        <v>4270</v>
      </c>
      <c r="C148" s="4258">
        <v>47.43</v>
      </c>
    </row>
    <row r="149" spans="1:3">
      <c r="A149" s="4258"/>
      <c r="B149" s="4258" t="s">
        <v>4271</v>
      </c>
      <c r="C149" s="4258">
        <v>48.57</v>
      </c>
    </row>
    <row r="150" spans="1:3">
      <c r="A150" s="4258"/>
      <c r="B150" s="4258" t="s">
        <v>4272</v>
      </c>
      <c r="C150" s="4258">
        <v>48.57</v>
      </c>
    </row>
    <row r="151" spans="1:3">
      <c r="A151" s="4258"/>
      <c r="B151" s="4258" t="s">
        <v>4273</v>
      </c>
      <c r="C151" s="4258">
        <v>48.57</v>
      </c>
    </row>
    <row r="152" spans="1:3">
      <c r="A152" s="4258"/>
      <c r="B152" s="4258" t="s">
        <v>4274</v>
      </c>
      <c r="C152" s="4258">
        <v>48.11</v>
      </c>
    </row>
    <row r="153" spans="1:3">
      <c r="A153" s="4258"/>
      <c r="B153" s="4258" t="s">
        <v>4275</v>
      </c>
      <c r="C153" s="4258">
        <v>48.11</v>
      </c>
    </row>
    <row r="154" spans="1:3">
      <c r="A154" s="4258"/>
      <c r="B154" s="4258" t="s">
        <v>4276</v>
      </c>
      <c r="C154" s="4258">
        <v>48</v>
      </c>
    </row>
    <row r="155" spans="1:3">
      <c r="A155" s="4258"/>
      <c r="B155" s="4258" t="s">
        <v>4277</v>
      </c>
      <c r="C155" s="4258">
        <v>48</v>
      </c>
    </row>
    <row r="156" spans="1:3">
      <c r="A156" s="4258"/>
      <c r="B156" s="4258" t="s">
        <v>4278</v>
      </c>
      <c r="C156" s="4258">
        <v>48</v>
      </c>
    </row>
    <row r="157" spans="1:3">
      <c r="A157" s="4258"/>
      <c r="B157" s="4258" t="s">
        <v>4279</v>
      </c>
      <c r="C157" s="4258">
        <v>58.29</v>
      </c>
    </row>
    <row r="158" spans="1:3">
      <c r="A158" s="4258"/>
      <c r="B158" s="4258" t="s">
        <v>4280</v>
      </c>
      <c r="C158" s="4258">
        <v>58.29</v>
      </c>
    </row>
    <row r="159" spans="1:3">
      <c r="A159" s="4258"/>
      <c r="B159" s="4258" t="s">
        <v>4281</v>
      </c>
      <c r="C159" s="4258">
        <v>48.57</v>
      </c>
    </row>
    <row r="160" spans="1:3">
      <c r="A160" s="4258"/>
      <c r="B160" s="4258" t="s">
        <v>4282</v>
      </c>
      <c r="C160" s="4258">
        <v>48.57</v>
      </c>
    </row>
    <row r="161" spans="1:3">
      <c r="A161" s="4258"/>
      <c r="B161" s="4258" t="s">
        <v>4283</v>
      </c>
      <c r="C161" s="4258">
        <v>47.43</v>
      </c>
    </row>
    <row r="162" spans="1:3">
      <c r="A162" s="4258"/>
      <c r="B162" s="4258" t="s">
        <v>4284</v>
      </c>
      <c r="C162" s="4258">
        <v>47.43</v>
      </c>
    </row>
    <row r="163" spans="1:3">
      <c r="A163" s="4258"/>
      <c r="B163" s="4258" t="s">
        <v>4285</v>
      </c>
      <c r="C163" s="4258">
        <v>47.43</v>
      </c>
    </row>
    <row r="164" spans="1:3">
      <c r="A164" s="4258"/>
      <c r="B164" s="4258" t="s">
        <v>4286</v>
      </c>
      <c r="C164" s="4258">
        <v>47.43</v>
      </c>
    </row>
    <row r="165" spans="1:3">
      <c r="A165" s="4258"/>
      <c r="B165" s="4258" t="s">
        <v>4287</v>
      </c>
      <c r="C165" s="4258">
        <v>47.43</v>
      </c>
    </row>
    <row r="166" spans="1:3">
      <c r="A166" s="4258"/>
      <c r="B166" s="4258" t="s">
        <v>4288</v>
      </c>
      <c r="C166" s="4258">
        <v>53.68</v>
      </c>
    </row>
    <row r="167" spans="1:3">
      <c r="A167" s="4258"/>
      <c r="B167" s="4258" t="s">
        <v>4289</v>
      </c>
      <c r="C167" s="4258">
        <v>53.68</v>
      </c>
    </row>
    <row r="168" spans="1:3">
      <c r="A168" s="4258"/>
      <c r="B168" s="4258" t="s">
        <v>4290</v>
      </c>
      <c r="C168" s="4258">
        <v>53.68</v>
      </c>
    </row>
    <row r="169" spans="1:3">
      <c r="A169" s="4258"/>
      <c r="B169" s="4258" t="s">
        <v>4291</v>
      </c>
      <c r="C169" s="4258">
        <v>47.43</v>
      </c>
    </row>
    <row r="170" spans="1:3">
      <c r="A170" s="4258"/>
      <c r="B170" s="4258" t="s">
        <v>4292</v>
      </c>
      <c r="C170" s="4258">
        <v>47.43</v>
      </c>
    </row>
    <row r="171" spans="1:3">
      <c r="A171" s="4258"/>
      <c r="B171" s="4258" t="s">
        <v>4293</v>
      </c>
      <c r="C171" s="4258">
        <v>47.43</v>
      </c>
    </row>
    <row r="172" spans="1:3">
      <c r="A172" s="4258"/>
      <c r="B172" s="4258" t="s">
        <v>4294</v>
      </c>
      <c r="C172" s="4258">
        <v>48.57</v>
      </c>
    </row>
    <row r="173" spans="1:3">
      <c r="A173" s="4258"/>
      <c r="B173" s="4258" t="s">
        <v>4295</v>
      </c>
      <c r="C173" s="4258">
        <v>48.57</v>
      </c>
    </row>
    <row r="174" spans="1:3">
      <c r="A174" s="4258"/>
      <c r="B174" s="4258" t="s">
        <v>4296</v>
      </c>
      <c r="C174" s="4258">
        <v>48.57</v>
      </c>
    </row>
    <row r="175" spans="1:3">
      <c r="A175" s="4258"/>
      <c r="B175" s="4258" t="s">
        <v>4297</v>
      </c>
      <c r="C175" s="4258">
        <v>48.57</v>
      </c>
    </row>
    <row r="176" spans="1:3">
      <c r="A176" s="4258"/>
      <c r="B176" s="4258" t="s">
        <v>4298</v>
      </c>
      <c r="C176" s="4258">
        <v>48.57</v>
      </c>
    </row>
    <row r="177" spans="1:3">
      <c r="A177" s="4258"/>
      <c r="B177" s="4258" t="s">
        <v>4299</v>
      </c>
      <c r="C177" s="4258">
        <v>48.57</v>
      </c>
    </row>
    <row r="178" spans="1:3">
      <c r="A178" s="4258"/>
      <c r="B178" s="4258" t="s">
        <v>4300</v>
      </c>
      <c r="C178" s="4258">
        <v>48.3</v>
      </c>
    </row>
    <row r="179" spans="1:3">
      <c r="A179" s="4258"/>
      <c r="B179" s="4258" t="s">
        <v>4301</v>
      </c>
      <c r="C179" s="4258">
        <v>48.3</v>
      </c>
    </row>
    <row r="180" spans="1:3">
      <c r="A180" s="4258"/>
      <c r="B180" s="4258" t="s">
        <v>4302</v>
      </c>
      <c r="C180" s="4258">
        <v>48.3</v>
      </c>
    </row>
    <row r="181" spans="1:3">
      <c r="A181" s="4258"/>
      <c r="B181" s="4258" t="s">
        <v>4303</v>
      </c>
      <c r="C181" s="4258">
        <v>48.3</v>
      </c>
    </row>
    <row r="182" spans="1:3">
      <c r="A182" s="4258"/>
      <c r="B182" s="4258" t="s">
        <v>4304</v>
      </c>
      <c r="C182" s="4258">
        <v>48.3</v>
      </c>
    </row>
    <row r="183" spans="1:3">
      <c r="A183" s="4258"/>
      <c r="B183" s="4258" t="s">
        <v>4305</v>
      </c>
      <c r="C183" s="4258">
        <v>48.3</v>
      </c>
    </row>
    <row r="184" spans="1:3">
      <c r="A184" s="4258"/>
      <c r="B184" s="4258" t="s">
        <v>4306</v>
      </c>
      <c r="C184" s="4258">
        <v>48.3</v>
      </c>
    </row>
    <row r="185" spans="1:3">
      <c r="A185" s="4258"/>
      <c r="B185" s="4258" t="s">
        <v>4307</v>
      </c>
      <c r="C185" s="4258">
        <v>48.3</v>
      </c>
    </row>
    <row r="186" spans="1:3">
      <c r="A186" s="4258"/>
      <c r="B186" s="4258" t="s">
        <v>4308</v>
      </c>
      <c r="C186" s="4258">
        <v>48.3</v>
      </c>
    </row>
    <row r="187" spans="1:3">
      <c r="A187" s="4258"/>
      <c r="B187" s="4258" t="s">
        <v>4309</v>
      </c>
      <c r="C187" s="4258">
        <v>48.3</v>
      </c>
    </row>
    <row r="188" spans="1:3">
      <c r="A188" s="4258"/>
      <c r="B188" s="4258" t="s">
        <v>4310</v>
      </c>
      <c r="C188" s="4258">
        <v>48.3</v>
      </c>
    </row>
    <row r="189" spans="1:3">
      <c r="A189" s="4258"/>
      <c r="B189" s="4258" t="s">
        <v>4311</v>
      </c>
      <c r="C189" s="4258">
        <v>48.3</v>
      </c>
    </row>
    <row r="190" spans="1:3">
      <c r="A190" s="4258"/>
      <c r="B190" s="4258" t="s">
        <v>4312</v>
      </c>
      <c r="C190" s="4258">
        <v>48.3</v>
      </c>
    </row>
    <row r="191" spans="1:3">
      <c r="A191" s="4258"/>
      <c r="B191" s="4258" t="s">
        <v>4313</v>
      </c>
      <c r="C191" s="4258">
        <v>48.3</v>
      </c>
    </row>
    <row r="192" spans="1:3">
      <c r="A192" s="4258"/>
      <c r="B192" s="4258" t="s">
        <v>4314</v>
      </c>
      <c r="C192" s="4258">
        <v>48.3</v>
      </c>
    </row>
    <row r="193" spans="1:3">
      <c r="A193" s="4258"/>
      <c r="B193" s="4258" t="s">
        <v>4315</v>
      </c>
      <c r="C193" s="4258">
        <v>48.3</v>
      </c>
    </row>
    <row r="194" spans="1:3">
      <c r="A194" s="4258"/>
      <c r="B194" s="4258" t="s">
        <v>4316</v>
      </c>
      <c r="C194" s="4258">
        <v>48.3</v>
      </c>
    </row>
    <row r="195" spans="1:3">
      <c r="A195" s="4258"/>
      <c r="B195" s="4258" t="s">
        <v>4317</v>
      </c>
      <c r="C195" s="4258">
        <v>48.3</v>
      </c>
    </row>
    <row r="196" spans="1:3">
      <c r="A196" s="4258"/>
      <c r="B196" s="4258" t="s">
        <v>4318</v>
      </c>
      <c r="C196" s="4258">
        <v>48.3</v>
      </c>
    </row>
    <row r="197" spans="1:3">
      <c r="A197" s="4258"/>
      <c r="B197" s="4258" t="s">
        <v>4319</v>
      </c>
      <c r="C197" s="4258">
        <v>48.3</v>
      </c>
    </row>
    <row r="198" spans="1:3">
      <c r="A198" s="4258"/>
      <c r="B198" s="4258" t="s">
        <v>4320</v>
      </c>
      <c r="C198" s="4258">
        <v>48.3</v>
      </c>
    </row>
    <row r="199" spans="1:3">
      <c r="A199" s="4258"/>
      <c r="B199" s="4258" t="s">
        <v>4321</v>
      </c>
      <c r="C199" s="4258">
        <v>48.3</v>
      </c>
    </row>
    <row r="200" spans="1:3">
      <c r="A200" s="4258"/>
      <c r="B200" s="4258" t="s">
        <v>4322</v>
      </c>
      <c r="C200" s="4258">
        <v>48.3</v>
      </c>
    </row>
    <row r="201" spans="1:3">
      <c r="A201" s="4258"/>
      <c r="B201" s="4258" t="s">
        <v>4323</v>
      </c>
      <c r="C201" s="4258">
        <v>48.3</v>
      </c>
    </row>
    <row r="202" spans="1:3">
      <c r="A202" s="4258"/>
      <c r="B202" s="4258" t="s">
        <v>4324</v>
      </c>
      <c r="C202" s="4258">
        <v>48.11</v>
      </c>
    </row>
    <row r="203" spans="1:3">
      <c r="A203" s="4258"/>
      <c r="B203" s="4258" t="s">
        <v>4325</v>
      </c>
      <c r="C203" s="4258">
        <v>48.11</v>
      </c>
    </row>
    <row r="204" spans="1:3">
      <c r="A204" s="4258"/>
      <c r="B204" s="4258" t="s">
        <v>4326</v>
      </c>
      <c r="C204" s="4258">
        <v>48.11</v>
      </c>
    </row>
    <row r="205" spans="1:3">
      <c r="A205" s="4258"/>
      <c r="B205" s="4258" t="s">
        <v>4327</v>
      </c>
      <c r="C205" s="4258">
        <v>48.11</v>
      </c>
    </row>
    <row r="206" spans="1:3">
      <c r="A206" s="4258"/>
      <c r="B206" s="4258" t="s">
        <v>4328</v>
      </c>
      <c r="C206" s="4258">
        <v>48.11</v>
      </c>
    </row>
    <row r="207" spans="1:3">
      <c r="A207" s="4258"/>
      <c r="B207" s="4258" t="s">
        <v>4329</v>
      </c>
      <c r="C207" s="4258">
        <v>48.11</v>
      </c>
    </row>
    <row r="208" spans="1:3">
      <c r="A208" s="4258"/>
      <c r="B208" s="4258" t="s">
        <v>4330</v>
      </c>
      <c r="C208" s="4258">
        <v>47.43</v>
      </c>
    </row>
    <row r="209" spans="1:3">
      <c r="A209" s="4258"/>
      <c r="B209" s="4258" t="s">
        <v>4331</v>
      </c>
      <c r="C209" s="4258">
        <v>47.43</v>
      </c>
    </row>
    <row r="210" spans="1:3">
      <c r="A210" s="4258"/>
      <c r="B210" s="4258" t="s">
        <v>4332</v>
      </c>
      <c r="C210" s="4258">
        <v>47.43</v>
      </c>
    </row>
    <row r="211" spans="1:3">
      <c r="A211" s="4258"/>
      <c r="B211" s="4258" t="s">
        <v>4333</v>
      </c>
      <c r="C211" s="4258">
        <v>53.68</v>
      </c>
    </row>
    <row r="212" spans="1:3">
      <c r="A212" s="4258"/>
      <c r="B212" s="4258" t="s">
        <v>4334</v>
      </c>
      <c r="C212" s="4258">
        <v>53.68</v>
      </c>
    </row>
    <row r="213" spans="1:3">
      <c r="A213" s="4258"/>
      <c r="B213" s="4258" t="s">
        <v>4335</v>
      </c>
      <c r="C213" s="4258">
        <v>53.68</v>
      </c>
    </row>
    <row r="214" spans="1:3">
      <c r="A214" s="4258"/>
      <c r="B214" s="4258" t="s">
        <v>4336</v>
      </c>
      <c r="C214" s="4258">
        <v>47.43</v>
      </c>
    </row>
    <row r="215" spans="1:3">
      <c r="A215" s="4258"/>
      <c r="B215" s="4258" t="s">
        <v>4337</v>
      </c>
      <c r="C215" s="4258">
        <v>47.43</v>
      </c>
    </row>
    <row r="216" spans="1:3">
      <c r="A216" s="4258"/>
      <c r="B216" s="4258" t="s">
        <v>4338</v>
      </c>
      <c r="C216" s="4258">
        <v>47.43</v>
      </c>
    </row>
    <row r="217" spans="1:3">
      <c r="A217" s="4258"/>
      <c r="B217" s="4258" t="s">
        <v>4339</v>
      </c>
      <c r="C217" s="4258">
        <v>47.43</v>
      </c>
    </row>
    <row r="218" spans="1:3">
      <c r="A218" s="4258"/>
      <c r="B218" s="4258" t="s">
        <v>4340</v>
      </c>
      <c r="C218" s="4258">
        <v>47.43</v>
      </c>
    </row>
    <row r="219" spans="1:3">
      <c r="A219" s="4258"/>
      <c r="B219" s="4258" t="s">
        <v>4341</v>
      </c>
      <c r="C219" s="4258">
        <v>48.11</v>
      </c>
    </row>
    <row r="220" spans="1:3">
      <c r="A220" s="4258"/>
      <c r="B220" s="4258" t="s">
        <v>4342</v>
      </c>
      <c r="C220" s="4258">
        <v>48.11</v>
      </c>
    </row>
    <row r="221" spans="1:3">
      <c r="A221" s="4258"/>
      <c r="B221" s="4258" t="s">
        <v>4343</v>
      </c>
      <c r="C221" s="4258">
        <v>47.12</v>
      </c>
    </row>
    <row r="222" spans="1:3">
      <c r="A222" s="4258"/>
      <c r="B222" s="4258" t="s">
        <v>4344</v>
      </c>
      <c r="C222" s="4258">
        <v>47.12</v>
      </c>
    </row>
    <row r="223" spans="1:3">
      <c r="A223" s="4258"/>
      <c r="B223" s="4258" t="s">
        <v>4345</v>
      </c>
      <c r="C223" s="4258">
        <v>47.12</v>
      </c>
    </row>
    <row r="224" spans="1:3">
      <c r="A224" s="4258"/>
      <c r="B224" s="4258" t="s">
        <v>4346</v>
      </c>
      <c r="C224" s="4258">
        <v>47.43</v>
      </c>
    </row>
    <row r="225" spans="1:3">
      <c r="A225" s="4258"/>
      <c r="B225" s="4258" t="s">
        <v>4347</v>
      </c>
      <c r="C225" s="4258">
        <v>47.43</v>
      </c>
    </row>
    <row r="226" spans="1:3">
      <c r="A226" s="4258"/>
      <c r="B226" s="4258" t="s">
        <v>4348</v>
      </c>
      <c r="C226" s="4258">
        <v>47.43</v>
      </c>
    </row>
    <row r="227" spans="1:3">
      <c r="A227" s="4258"/>
      <c r="B227" s="4258" t="s">
        <v>4349</v>
      </c>
      <c r="C227" s="4258">
        <v>47.43</v>
      </c>
    </row>
    <row r="228" spans="1:3">
      <c r="A228" s="4258"/>
      <c r="B228" s="4258" t="s">
        <v>4350</v>
      </c>
      <c r="C228" s="4258">
        <v>47.43</v>
      </c>
    </row>
    <row r="229" spans="1:3">
      <c r="A229" s="4258"/>
      <c r="B229" s="4258" t="s">
        <v>4351</v>
      </c>
      <c r="C229" s="4258">
        <v>47.43</v>
      </c>
    </row>
    <row r="230" spans="1:3">
      <c r="A230" s="4258"/>
      <c r="B230" s="4258" t="s">
        <v>4352</v>
      </c>
      <c r="C230" s="4258">
        <v>47.43</v>
      </c>
    </row>
    <row r="231" spans="1:3">
      <c r="A231" s="4258"/>
      <c r="B231" s="4258" t="s">
        <v>4353</v>
      </c>
      <c r="C231" s="4258">
        <v>47.43</v>
      </c>
    </row>
    <row r="232" spans="1:3">
      <c r="A232" s="4258"/>
      <c r="B232" s="4258" t="s">
        <v>4354</v>
      </c>
      <c r="C232" s="4258">
        <v>46.48</v>
      </c>
    </row>
    <row r="233" spans="1:3">
      <c r="A233" s="4258"/>
      <c r="B233" s="4258" t="s">
        <v>4355</v>
      </c>
      <c r="C233" s="4258">
        <v>46.48</v>
      </c>
    </row>
    <row r="234" spans="1:3">
      <c r="A234" s="4258"/>
      <c r="B234" s="4258" t="s">
        <v>4356</v>
      </c>
      <c r="C234" s="4258">
        <v>46.48</v>
      </c>
    </row>
    <row r="235" spans="1:3">
      <c r="A235" s="4258"/>
      <c r="B235" s="4258" t="s">
        <v>4357</v>
      </c>
      <c r="C235" s="4258">
        <v>46.48</v>
      </c>
    </row>
    <row r="236" spans="1:3">
      <c r="A236" s="4258"/>
      <c r="B236" s="4258" t="s">
        <v>4358</v>
      </c>
      <c r="C236" s="4258">
        <v>46.86</v>
      </c>
    </row>
    <row r="237" spans="1:3">
      <c r="A237" s="4258"/>
      <c r="B237" s="4258" t="s">
        <v>4359</v>
      </c>
      <c r="C237" s="4258">
        <v>46.86</v>
      </c>
    </row>
    <row r="238" spans="1:3">
      <c r="A238" s="4258"/>
      <c r="B238" s="4258" t="s">
        <v>4360</v>
      </c>
      <c r="C238" s="4258">
        <v>46.86</v>
      </c>
    </row>
    <row r="239" spans="1:3">
      <c r="A239" s="4258"/>
      <c r="B239" s="4258" t="s">
        <v>4361</v>
      </c>
      <c r="C239" s="4258">
        <v>46.86</v>
      </c>
    </row>
    <row r="240" spans="1:3">
      <c r="A240" s="4258"/>
      <c r="B240" s="4258" t="s">
        <v>4362</v>
      </c>
      <c r="C240" s="4258">
        <v>46.86</v>
      </c>
    </row>
    <row r="241" spans="1:3">
      <c r="A241" s="4258"/>
      <c r="B241" s="4258" t="s">
        <v>4363</v>
      </c>
      <c r="C241" s="4258">
        <v>46.86</v>
      </c>
    </row>
    <row r="242" spans="1:3">
      <c r="A242" s="4258"/>
      <c r="B242" s="4258" t="s">
        <v>4364</v>
      </c>
      <c r="C242" s="4258">
        <v>46.63</v>
      </c>
    </row>
    <row r="243" spans="1:3">
      <c r="A243" s="4258"/>
      <c r="B243" s="4258" t="s">
        <v>4365</v>
      </c>
      <c r="C243" s="4258">
        <v>46.63</v>
      </c>
    </row>
    <row r="244" spans="1:3">
      <c r="A244" s="4258"/>
      <c r="B244" s="4258" t="s">
        <v>4366</v>
      </c>
      <c r="C244" s="4258">
        <v>46.63</v>
      </c>
    </row>
    <row r="245" spans="1:3">
      <c r="A245" s="4258"/>
      <c r="B245" s="4258" t="s">
        <v>4367</v>
      </c>
      <c r="C245" s="4258">
        <v>48.57</v>
      </c>
    </row>
    <row r="246" spans="1:3">
      <c r="A246" s="4258"/>
      <c r="B246" s="4258" t="s">
        <v>4368</v>
      </c>
      <c r="C246" s="4258">
        <v>48.57</v>
      </c>
    </row>
    <row r="247" spans="1:3">
      <c r="A247" s="4258"/>
      <c r="B247" s="4258" t="s">
        <v>4369</v>
      </c>
      <c r="C247" s="4258">
        <v>46.63</v>
      </c>
    </row>
    <row r="248" spans="1:3">
      <c r="A248" s="4258"/>
      <c r="B248" s="4258" t="s">
        <v>4370</v>
      </c>
      <c r="C248" s="4258">
        <v>48.11</v>
      </c>
    </row>
    <row r="249" spans="1:3">
      <c r="A249" s="4258"/>
      <c r="B249" s="4258" t="s">
        <v>4371</v>
      </c>
      <c r="C249" s="4258">
        <v>48.11</v>
      </c>
    </row>
    <row r="250" spans="1:3">
      <c r="A250" s="4258"/>
      <c r="B250" s="4258" t="s">
        <v>4372</v>
      </c>
      <c r="C250" s="4258">
        <v>48.11</v>
      </c>
    </row>
    <row r="251" spans="1:3">
      <c r="A251" s="4258"/>
      <c r="B251" s="4258" t="s">
        <v>4373</v>
      </c>
      <c r="C251" s="4258">
        <v>48.11</v>
      </c>
    </row>
    <row r="252" spans="1:3">
      <c r="A252" s="4258"/>
      <c r="B252" s="4258" t="s">
        <v>4374</v>
      </c>
      <c r="C252" s="4258">
        <v>48.11</v>
      </c>
    </row>
    <row r="253" spans="1:3">
      <c r="A253" s="4258"/>
      <c r="B253" s="4258" t="s">
        <v>4375</v>
      </c>
      <c r="C253" s="4258">
        <v>48.11</v>
      </c>
    </row>
    <row r="254" spans="1:3">
      <c r="A254" s="4258"/>
      <c r="B254" s="4258" t="s">
        <v>4376</v>
      </c>
      <c r="C254" s="4258">
        <v>46.17</v>
      </c>
    </row>
    <row r="255" spans="1:3">
      <c r="A255" s="4258"/>
      <c r="B255" s="4258" t="s">
        <v>4377</v>
      </c>
      <c r="C255" s="4258">
        <v>46.17</v>
      </c>
    </row>
    <row r="256" spans="1:3">
      <c r="A256" s="4258"/>
      <c r="B256" s="4258" t="s">
        <v>4378</v>
      </c>
      <c r="C256" s="4258">
        <v>46.17</v>
      </c>
    </row>
    <row r="257" spans="1:3">
      <c r="A257" s="4258"/>
      <c r="B257" s="4258" t="s">
        <v>4379</v>
      </c>
      <c r="C257" s="4258">
        <v>46.21</v>
      </c>
    </row>
    <row r="258" spans="1:3">
      <c r="A258" s="4258"/>
      <c r="B258" s="4258" t="s">
        <v>4380</v>
      </c>
      <c r="C258" s="4258">
        <v>48.57</v>
      </c>
    </row>
    <row r="259" spans="1:3">
      <c r="A259" s="4258"/>
      <c r="B259" s="4258" t="s">
        <v>4381</v>
      </c>
      <c r="C259" s="4258">
        <v>48.57</v>
      </c>
    </row>
    <row r="260" spans="1:3">
      <c r="A260" s="4258"/>
      <c r="B260" s="4258" t="s">
        <v>4382</v>
      </c>
      <c r="C260" s="4258">
        <v>48.57</v>
      </c>
    </row>
    <row r="261" spans="1:3">
      <c r="A261" s="4258"/>
      <c r="B261" s="4258" t="s">
        <v>4383</v>
      </c>
      <c r="C261" s="4258">
        <v>46.63</v>
      </c>
    </row>
    <row r="262" spans="1:3">
      <c r="A262" s="4258"/>
      <c r="B262" s="4258" t="s">
        <v>4384</v>
      </c>
      <c r="C262" s="4258">
        <v>46.63</v>
      </c>
    </row>
    <row r="263" spans="1:3">
      <c r="A263" s="4258"/>
      <c r="B263" s="4258" t="s">
        <v>4385</v>
      </c>
      <c r="C263" s="4258">
        <v>46.63</v>
      </c>
    </row>
    <row r="264" spans="1:3">
      <c r="A264" s="4258"/>
      <c r="B264" s="4258" t="s">
        <v>4386</v>
      </c>
      <c r="C264" s="4258">
        <v>47.62</v>
      </c>
    </row>
    <row r="265" spans="1:3">
      <c r="A265" s="4258"/>
      <c r="B265" s="4258" t="s">
        <v>4387</v>
      </c>
      <c r="C265" s="4258">
        <v>47.62</v>
      </c>
    </row>
    <row r="266" spans="1:3">
      <c r="A266" s="4258"/>
      <c r="B266" s="4258" t="s">
        <v>4388</v>
      </c>
      <c r="C266" s="4258">
        <v>47.62</v>
      </c>
    </row>
    <row r="267" spans="1:3">
      <c r="A267" s="4258"/>
      <c r="B267" s="4258" t="s">
        <v>4389</v>
      </c>
      <c r="C267" s="4258">
        <v>47.62</v>
      </c>
    </row>
    <row r="268" spans="1:3">
      <c r="A268" s="4258"/>
      <c r="B268" s="4258" t="s">
        <v>4390</v>
      </c>
      <c r="C268" s="4258">
        <v>46.63</v>
      </c>
    </row>
    <row r="269" spans="1:3">
      <c r="A269" s="4258"/>
      <c r="B269" s="4258" t="s">
        <v>4391</v>
      </c>
      <c r="C269" s="4258">
        <v>46.63</v>
      </c>
    </row>
    <row r="270" spans="1:3">
      <c r="A270" s="4258"/>
      <c r="B270" s="4258" t="s">
        <v>4392</v>
      </c>
      <c r="C270" s="4258">
        <v>46.63</v>
      </c>
    </row>
    <row r="271" spans="1:3">
      <c r="A271" s="4258"/>
      <c r="B271" s="4258" t="s">
        <v>4393</v>
      </c>
      <c r="C271" s="4258">
        <v>48.57</v>
      </c>
    </row>
    <row r="272" spans="1:3">
      <c r="A272" s="4258"/>
      <c r="B272" s="4258" t="s">
        <v>4394</v>
      </c>
      <c r="C272" s="4258">
        <v>48.57</v>
      </c>
    </row>
    <row r="273" spans="1:3">
      <c r="A273" s="4258"/>
      <c r="B273" s="4258" t="s">
        <v>4395</v>
      </c>
      <c r="C273" s="4258">
        <v>48.57</v>
      </c>
    </row>
    <row r="274" spans="1:3">
      <c r="A274" s="4258"/>
      <c r="B274" s="4258" t="s">
        <v>4396</v>
      </c>
      <c r="C274" s="4258">
        <v>46.17</v>
      </c>
    </row>
    <row r="275" spans="1:3">
      <c r="A275" s="4258"/>
      <c r="B275" s="4258" t="s">
        <v>4397</v>
      </c>
      <c r="C275" s="4258">
        <v>46.17</v>
      </c>
    </row>
    <row r="276" spans="1:3">
      <c r="A276" s="4258"/>
      <c r="B276" s="4258" t="s">
        <v>4398</v>
      </c>
      <c r="C276" s="4258">
        <v>46.17</v>
      </c>
    </row>
    <row r="277" spans="1:3">
      <c r="A277" s="4258"/>
      <c r="B277" s="4258" t="s">
        <v>4399</v>
      </c>
      <c r="C277" s="4258">
        <v>48.11</v>
      </c>
    </row>
    <row r="278" spans="1:3">
      <c r="A278" s="4258"/>
      <c r="B278" s="4258" t="s">
        <v>4400</v>
      </c>
      <c r="C278" s="4258">
        <v>48.11</v>
      </c>
    </row>
    <row r="279" spans="1:3">
      <c r="A279" s="4258"/>
      <c r="B279" s="4258" t="s">
        <v>4401</v>
      </c>
      <c r="C279" s="4258">
        <v>48.11</v>
      </c>
    </row>
    <row r="280" spans="1:3">
      <c r="A280" s="4258"/>
      <c r="B280" s="4258" t="s">
        <v>4402</v>
      </c>
      <c r="C280" s="4258">
        <v>48.11</v>
      </c>
    </row>
    <row r="281" spans="1:3">
      <c r="A281" s="4258"/>
      <c r="B281" s="4258" t="s">
        <v>4403</v>
      </c>
      <c r="C281" s="4258">
        <v>48.11</v>
      </c>
    </row>
    <row r="282" spans="1:3">
      <c r="A282" s="4258"/>
      <c r="B282" s="4258" t="s">
        <v>4404</v>
      </c>
      <c r="C282" s="4258">
        <v>48.11</v>
      </c>
    </row>
    <row r="283" spans="1:3">
      <c r="A283" s="4258"/>
      <c r="B283" s="4258" t="s">
        <v>4405</v>
      </c>
      <c r="C283" s="4258">
        <v>50.97</v>
      </c>
    </row>
    <row r="284" spans="1:3">
      <c r="A284" s="4258"/>
      <c r="B284" s="4258" t="s">
        <v>4406</v>
      </c>
      <c r="C284" s="4258">
        <v>50.97</v>
      </c>
    </row>
    <row r="285" spans="1:3">
      <c r="A285" s="4258"/>
      <c r="B285" s="4258" t="s">
        <v>4407</v>
      </c>
      <c r="C285" s="4258">
        <v>50.97</v>
      </c>
    </row>
    <row r="286" spans="1:3">
      <c r="A286" s="4258"/>
      <c r="B286" s="4258" t="s">
        <v>4408</v>
      </c>
      <c r="C286" s="4258">
        <v>52.46</v>
      </c>
    </row>
    <row r="287" spans="1:3">
      <c r="A287" s="4258"/>
      <c r="B287" s="4258" t="s">
        <v>4409</v>
      </c>
      <c r="C287" s="4258">
        <v>45.71</v>
      </c>
    </row>
    <row r="288" spans="1:3">
      <c r="A288" s="4258"/>
      <c r="B288" s="4258" t="s">
        <v>4410</v>
      </c>
      <c r="C288" s="4258">
        <v>48.57</v>
      </c>
    </row>
    <row r="289" spans="1:3">
      <c r="A289" s="4258"/>
      <c r="B289" s="4258" t="s">
        <v>4411</v>
      </c>
      <c r="C289" s="4258">
        <v>48.57</v>
      </c>
    </row>
    <row r="290" spans="1:3">
      <c r="A290" s="4258"/>
      <c r="B290" s="4258" t="s">
        <v>4412</v>
      </c>
      <c r="C290" s="4258">
        <v>48.57</v>
      </c>
    </row>
    <row r="291" spans="1:3">
      <c r="A291" s="4258"/>
      <c r="B291" s="4258" t="s">
        <v>4413</v>
      </c>
      <c r="C291" s="4258">
        <v>48.57</v>
      </c>
    </row>
    <row r="292" spans="1:3">
      <c r="A292" s="4258"/>
      <c r="B292" s="4258" t="s">
        <v>4414</v>
      </c>
      <c r="C292" s="4258">
        <v>48.57</v>
      </c>
    </row>
    <row r="293" spans="1:3">
      <c r="A293" s="4258"/>
      <c r="B293" s="4258" t="s">
        <v>4415</v>
      </c>
      <c r="C293" s="4258">
        <v>49.56</v>
      </c>
    </row>
    <row r="294" spans="1:3">
      <c r="A294" s="4258"/>
      <c r="B294" s="4258" t="s">
        <v>4416</v>
      </c>
      <c r="C294" s="4258">
        <v>49.56</v>
      </c>
    </row>
    <row r="295" spans="1:3">
      <c r="A295" s="4258"/>
      <c r="B295" s="4258" t="s">
        <v>4417</v>
      </c>
      <c r="C295" s="4258">
        <v>46.63</v>
      </c>
    </row>
    <row r="296" spans="1:3">
      <c r="A296" s="4258"/>
      <c r="B296" s="4258" t="s">
        <v>4418</v>
      </c>
      <c r="C296" s="4258">
        <v>48</v>
      </c>
    </row>
    <row r="297" spans="1:3">
      <c r="A297" s="4258"/>
      <c r="B297" s="4258" t="s">
        <v>4419</v>
      </c>
      <c r="C297" s="4258">
        <v>48</v>
      </c>
    </row>
    <row r="298" spans="1:3">
      <c r="A298" s="4258"/>
      <c r="B298" s="4258" t="s">
        <v>4420</v>
      </c>
      <c r="C298" s="4258">
        <v>48</v>
      </c>
    </row>
    <row r="299" spans="1:3">
      <c r="A299" s="4258"/>
      <c r="B299" s="4258" t="s">
        <v>4421</v>
      </c>
      <c r="C299" s="4258">
        <v>46.63</v>
      </c>
    </row>
    <row r="300" spans="1:3">
      <c r="A300" s="4258"/>
      <c r="B300" s="4258" t="s">
        <v>4422</v>
      </c>
      <c r="C300" s="4258">
        <v>46.63</v>
      </c>
    </row>
    <row r="301" spans="1:3">
      <c r="A301" s="4258"/>
      <c r="B301" s="4258" t="s">
        <v>4423</v>
      </c>
      <c r="C301" s="4258">
        <v>46.63</v>
      </c>
    </row>
    <row r="302" spans="1:3">
      <c r="A302" s="4258"/>
      <c r="B302" s="4258" t="s">
        <v>4424</v>
      </c>
      <c r="C302" s="4258">
        <v>48.57</v>
      </c>
    </row>
    <row r="303" spans="1:3">
      <c r="A303" s="4258"/>
      <c r="B303" s="4258" t="s">
        <v>4425</v>
      </c>
      <c r="C303" s="4258">
        <v>48.57</v>
      </c>
    </row>
    <row r="304" spans="1:3">
      <c r="A304" s="4258"/>
      <c r="B304" s="4258" t="s">
        <v>4426</v>
      </c>
      <c r="C304" s="4258">
        <v>48.57</v>
      </c>
    </row>
    <row r="305" spans="1:3">
      <c r="A305" s="4258"/>
      <c r="B305" s="4258" t="s">
        <v>4427</v>
      </c>
      <c r="C305" s="4258">
        <v>48.57</v>
      </c>
    </row>
    <row r="306" spans="1:3">
      <c r="A306" s="4258"/>
      <c r="B306" s="4258" t="s">
        <v>4428</v>
      </c>
      <c r="C306" s="4258">
        <v>48.57</v>
      </c>
    </row>
    <row r="307" spans="1:3">
      <c r="A307" s="4258"/>
      <c r="B307" s="4258" t="s">
        <v>4429</v>
      </c>
      <c r="C307" s="4258">
        <v>48.57</v>
      </c>
    </row>
    <row r="308" spans="1:3">
      <c r="A308" s="4258"/>
      <c r="B308" s="4258" t="s">
        <v>4430</v>
      </c>
      <c r="C308" s="4258">
        <v>48.57</v>
      </c>
    </row>
    <row r="309" spans="1:3">
      <c r="A309" s="4258"/>
      <c r="B309" s="4258" t="s">
        <v>4431</v>
      </c>
      <c r="C309" s="4258">
        <v>48.57</v>
      </c>
    </row>
    <row r="310" spans="1:3">
      <c r="A310" s="4258"/>
      <c r="B310" s="4258" t="s">
        <v>4432</v>
      </c>
      <c r="C310" s="4258">
        <v>48.57</v>
      </c>
    </row>
    <row r="311" spans="1:3">
      <c r="A311" s="4258"/>
      <c r="B311" s="4258" t="s">
        <v>4433</v>
      </c>
      <c r="C311" s="4258">
        <v>48.57</v>
      </c>
    </row>
    <row r="312" spans="1:3">
      <c r="A312" s="4258"/>
      <c r="B312" s="4258" t="s">
        <v>4434</v>
      </c>
      <c r="C312" s="4258">
        <v>48.57</v>
      </c>
    </row>
    <row r="313" spans="1:3">
      <c r="A313" s="4258"/>
      <c r="B313" s="4258" t="s">
        <v>4435</v>
      </c>
      <c r="C313" s="4258">
        <v>48.57</v>
      </c>
    </row>
    <row r="314" spans="1:3">
      <c r="A314" s="4258"/>
      <c r="B314" s="4258" t="s">
        <v>4436</v>
      </c>
      <c r="C314" s="4258">
        <v>48.57</v>
      </c>
    </row>
    <row r="315" spans="1:3">
      <c r="A315" s="4258"/>
      <c r="B315" s="4258" t="s">
        <v>4437</v>
      </c>
      <c r="C315" s="4258">
        <v>48.57</v>
      </c>
    </row>
    <row r="316" spans="1:3">
      <c r="A316" s="4258"/>
      <c r="B316" s="4258" t="s">
        <v>4438</v>
      </c>
      <c r="C316" s="4258">
        <v>48.57</v>
      </c>
    </row>
    <row r="317" spans="1:3">
      <c r="A317" s="4258"/>
      <c r="B317" s="4258" t="s">
        <v>4439</v>
      </c>
      <c r="C317" s="4258">
        <v>96.19</v>
      </c>
    </row>
    <row r="318" spans="1:3">
      <c r="A318" s="4258"/>
      <c r="B318" s="4258" t="s">
        <v>4440</v>
      </c>
      <c r="C318" s="4258">
        <v>96.19</v>
      </c>
    </row>
    <row r="319" spans="1:3">
      <c r="A319" s="4258"/>
      <c r="B319" s="4258" t="s">
        <v>4441</v>
      </c>
      <c r="C319" s="4258">
        <v>96.19</v>
      </c>
    </row>
    <row r="320" spans="1:3">
      <c r="A320" s="4258"/>
      <c r="B320" s="4258" t="s">
        <v>4442</v>
      </c>
      <c r="C320" s="4258">
        <v>54.97</v>
      </c>
    </row>
    <row r="321" spans="1:3">
      <c r="A321" s="4258"/>
      <c r="B321" s="4258" t="s">
        <v>4443</v>
      </c>
      <c r="C321" s="4258">
        <v>54.97</v>
      </c>
    </row>
    <row r="322" spans="1:3">
      <c r="A322" s="4258"/>
      <c r="B322" s="4258" t="s">
        <v>4444</v>
      </c>
      <c r="C322" s="4258">
        <v>54.97</v>
      </c>
    </row>
    <row r="323" spans="1:3">
      <c r="A323" s="4258"/>
      <c r="B323" s="4258" t="s">
        <v>4445</v>
      </c>
      <c r="C323" s="4258">
        <v>48.57</v>
      </c>
    </row>
    <row r="324" spans="1:3">
      <c r="A324" s="4258"/>
      <c r="B324" s="4258" t="s">
        <v>4446</v>
      </c>
      <c r="C324" s="4258">
        <v>48.57</v>
      </c>
    </row>
    <row r="325" spans="1:3">
      <c r="A325" s="4258"/>
      <c r="B325" s="4258" t="s">
        <v>4447</v>
      </c>
      <c r="C325" s="4258">
        <v>48.57</v>
      </c>
    </row>
    <row r="326" spans="1:3">
      <c r="A326" s="4258"/>
      <c r="B326" s="4258" t="s">
        <v>4448</v>
      </c>
      <c r="C326" s="4258">
        <v>48.57</v>
      </c>
    </row>
    <row r="327" spans="1:3">
      <c r="A327" s="4258"/>
      <c r="B327" s="4258" t="s">
        <v>4449</v>
      </c>
      <c r="C327" s="4258">
        <v>48.57</v>
      </c>
    </row>
    <row r="328" spans="1:3">
      <c r="A328" s="4258"/>
      <c r="B328" s="4258" t="s">
        <v>4450</v>
      </c>
      <c r="C328" s="4258">
        <v>48.57</v>
      </c>
    </row>
    <row r="329" spans="1:3">
      <c r="A329" s="4258"/>
      <c r="B329" s="4258" t="s">
        <v>4451</v>
      </c>
      <c r="C329" s="4258">
        <v>48.57</v>
      </c>
    </row>
    <row r="330" spans="1:3">
      <c r="A330" s="4258"/>
      <c r="B330" s="4258" t="s">
        <v>4452</v>
      </c>
      <c r="C330" s="4258">
        <v>48.57</v>
      </c>
    </row>
    <row r="331" spans="1:3">
      <c r="A331" s="4258"/>
      <c r="B331" s="4258" t="s">
        <v>4453</v>
      </c>
      <c r="C331" s="4258">
        <v>48.57</v>
      </c>
    </row>
    <row r="332" spans="1:3">
      <c r="A332" s="4258"/>
      <c r="B332" s="4258" t="s">
        <v>4454</v>
      </c>
      <c r="C332" s="4258">
        <v>48.57</v>
      </c>
    </row>
    <row r="333" spans="1:3">
      <c r="A333" s="4258"/>
      <c r="B333" s="4258" t="s">
        <v>4455</v>
      </c>
      <c r="C333" s="4258">
        <v>48.57</v>
      </c>
    </row>
    <row r="334" spans="1:3">
      <c r="A334" s="4258"/>
      <c r="B334" s="4258" t="s">
        <v>4456</v>
      </c>
      <c r="C334" s="4258">
        <v>48.57</v>
      </c>
    </row>
    <row r="335" spans="1:3">
      <c r="A335" s="4258"/>
      <c r="B335" s="4258" t="s">
        <v>4457</v>
      </c>
      <c r="C335" s="4258">
        <v>48.57</v>
      </c>
    </row>
    <row r="336" spans="1:3">
      <c r="A336" s="4258"/>
      <c r="B336" s="4258" t="s">
        <v>4458</v>
      </c>
      <c r="C336" s="4258">
        <v>44.3</v>
      </c>
    </row>
    <row r="337" spans="1:3">
      <c r="A337" s="4258"/>
      <c r="B337" s="4258" t="s">
        <v>4459</v>
      </c>
      <c r="C337" s="4258">
        <v>44.3</v>
      </c>
    </row>
    <row r="338" spans="1:3">
      <c r="A338" s="4260" t="s">
        <v>4460</v>
      </c>
      <c r="B338" s="4260"/>
      <c r="C338" s="4260">
        <f>SUM(C38:C337)</f>
        <v>14687.639999999994</v>
      </c>
    </row>
    <row r="339" spans="1:3">
      <c r="A339" s="4258" t="s">
        <v>4098</v>
      </c>
      <c r="B339" s="4258" t="s">
        <v>4461</v>
      </c>
      <c r="C339" s="4258">
        <v>103688.47</v>
      </c>
    </row>
  </sheetData>
  <phoneticPr fontId="1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42" sqref="E4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2070</v>
      </c>
      <c r="B1" s="4383" t="str">
        <f>IF(B10="北京市","北京市",C10)&amp;F10&amp;IF(结果表!G1="在建","出让国有建设用地使用权及在建建筑物",IF(结果表!G1="土地","出让国有建设用地使用权",))&amp;B9&amp;"预评估"</f>
        <v>北京市房地产抵押价值预评估</v>
      </c>
      <c r="C1" s="4384"/>
      <c r="D1" s="4384"/>
      <c r="E1" s="4384"/>
      <c r="F1" s="4384"/>
      <c r="G1" s="4384"/>
      <c r="H1" s="4384"/>
      <c r="I1" s="4385"/>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2071</v>
      </c>
      <c r="B2" s="48"/>
      <c r="D2" s="1936"/>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2072</v>
      </c>
      <c r="B3" s="1730">
        <v>46126</v>
      </c>
      <c r="C3" s="1731" t="s">
        <v>2073</v>
      </c>
      <c r="D3" s="1730">
        <f>B3</f>
        <v>46126</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2074</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2075</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2076</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2077</v>
      </c>
      <c r="B7" s="1743"/>
      <c r="C7" s="1741"/>
      <c r="D7" s="1742"/>
      <c r="E7" s="1929"/>
      <c r="F7" s="1930"/>
      <c r="G7" s="1930"/>
      <c r="H7" s="1930"/>
      <c r="I7" s="1930"/>
      <c r="J7" s="1785"/>
      <c r="K7" s="1891"/>
      <c r="L7" s="1888"/>
      <c r="M7" s="1888"/>
      <c r="N7" s="1785"/>
      <c r="O7" s="1296"/>
      <c r="P7" s="1785"/>
      <c r="Q7" s="1785"/>
      <c r="R7" s="1785"/>
    </row>
    <row r="8" spans="1:30">
      <c r="A8" s="1744" t="s">
        <v>2078</v>
      </c>
      <c r="B8" s="1745" t="s">
        <v>4075</v>
      </c>
      <c r="C8" s="1746"/>
      <c r="D8" s="4386" t="s">
        <v>2079</v>
      </c>
      <c r="E8" s="1747" t="s">
        <v>4076</v>
      </c>
      <c r="F8" s="1748"/>
      <c r="G8" s="1930"/>
      <c r="H8" s="1930"/>
      <c r="I8" s="1930"/>
      <c r="J8" s="1785"/>
      <c r="K8" s="1889"/>
      <c r="L8" s="1888"/>
      <c r="M8" s="1888"/>
      <c r="N8" s="1785"/>
      <c r="O8" s="1296"/>
      <c r="P8" s="1785"/>
      <c r="Q8" s="1785"/>
      <c r="R8" s="1785"/>
    </row>
    <row r="9" spans="1:30" ht="13.5" thickBot="1">
      <c r="A9" s="1749" t="s">
        <v>2080</v>
      </c>
      <c r="B9" s="1750" t="s">
        <v>4076</v>
      </c>
      <c r="C9" s="1751"/>
      <c r="D9" s="4387"/>
      <c r="E9" s="1750" t="s">
        <v>41</v>
      </c>
      <c r="F9" s="1752"/>
      <c r="G9" s="1931"/>
      <c r="H9" s="1931"/>
      <c r="I9" s="1931"/>
      <c r="J9" s="1785"/>
      <c r="K9" s="1891"/>
      <c r="L9" s="1888"/>
      <c r="M9" s="1888"/>
      <c r="N9" s="1785"/>
      <c r="O9" s="1296"/>
      <c r="P9" s="1785"/>
      <c r="Q9" s="1785"/>
      <c r="R9" s="1785"/>
    </row>
    <row r="10" spans="1:30" ht="13.5" thickTop="1">
      <c r="A10" s="1753" t="s">
        <v>2081</v>
      </c>
      <c r="B10" s="3392" t="s">
        <v>4077</v>
      </c>
      <c r="C10" s="1754"/>
      <c r="D10" s="1738"/>
      <c r="E10" s="1755" t="s">
        <v>2082</v>
      </c>
      <c r="F10" s="1932"/>
      <c r="G10" s="1933"/>
      <c r="H10" s="1934"/>
      <c r="I10" s="1935"/>
      <c r="J10" s="1785"/>
      <c r="K10" s="1891"/>
      <c r="L10" s="1888"/>
      <c r="M10" s="1888"/>
      <c r="N10" s="1785"/>
      <c r="O10" s="1296"/>
      <c r="P10" s="1785"/>
      <c r="Q10" s="1785"/>
      <c r="R10" s="1785"/>
    </row>
    <row r="11" spans="1:30">
      <c r="A11" s="1756" t="s">
        <v>2083</v>
      </c>
      <c r="B11" s="2452" t="s">
        <v>4078</v>
      </c>
      <c r="C11" s="1757"/>
      <c r="D11" s="1758"/>
      <c r="E11" s="1727"/>
      <c r="F11" s="1727"/>
      <c r="G11" s="1727"/>
      <c r="H11" s="1727"/>
      <c r="I11" s="1727"/>
      <c r="J11" s="2211"/>
      <c r="K11" s="1888"/>
      <c r="L11" s="1888"/>
      <c r="M11" s="1888"/>
      <c r="N11" s="1785"/>
      <c r="O11" s="1296"/>
      <c r="P11" s="1785"/>
      <c r="Q11" s="1785"/>
      <c r="R11" s="1785"/>
    </row>
    <row r="12" spans="1:30">
      <c r="A12" s="1759" t="s">
        <v>2084</v>
      </c>
      <c r="B12" s="206" t="s">
        <v>2085</v>
      </c>
      <c r="C12" s="1760" t="s">
        <v>2086</v>
      </c>
      <c r="D12" s="1760" t="s">
        <v>2087</v>
      </c>
      <c r="E12" s="1760" t="s">
        <v>2088</v>
      </c>
      <c r="F12" s="1760" t="s">
        <v>2089</v>
      </c>
      <c r="G12" s="1760" t="s">
        <v>2090</v>
      </c>
      <c r="H12" s="1760" t="s">
        <v>2091</v>
      </c>
      <c r="I12" s="2210" t="s">
        <v>2458</v>
      </c>
      <c r="J12" s="2212"/>
      <c r="K12" s="1888"/>
      <c r="L12" s="1888"/>
      <c r="M12" s="1785"/>
      <c r="N12" s="1296"/>
      <c r="O12" s="1785"/>
      <c r="P12" s="1785"/>
      <c r="Q12" s="1785"/>
      <c r="AD12" s="1249"/>
    </row>
    <row r="13" spans="1:30">
      <c r="A13" s="2452" t="s">
        <v>3212</v>
      </c>
      <c r="B13" s="1761" t="s">
        <v>2092</v>
      </c>
      <c r="C13" s="546"/>
      <c r="D13" s="546">
        <v>55485</v>
      </c>
      <c r="E13" s="546"/>
      <c r="F13" s="546">
        <v>59138</v>
      </c>
      <c r="G13" s="546"/>
      <c r="H13" s="546"/>
      <c r="I13" s="546"/>
      <c r="J13" s="2212"/>
      <c r="K13" s="1888"/>
      <c r="L13" s="1888"/>
      <c r="M13" s="1785"/>
      <c r="N13" s="1296"/>
      <c r="O13" s="1785"/>
      <c r="P13" s="1785"/>
      <c r="Q13" s="1785"/>
      <c r="AD13" s="1249"/>
    </row>
    <row r="14" spans="1:30">
      <c r="A14" s="718"/>
      <c r="B14" s="1761" t="s">
        <v>2093</v>
      </c>
      <c r="C14" s="1762"/>
      <c r="D14" s="1762">
        <v>40</v>
      </c>
      <c r="E14" s="1762"/>
      <c r="F14" s="1762">
        <v>50</v>
      </c>
      <c r="G14" s="1762"/>
      <c r="H14" s="1762"/>
      <c r="I14" s="1762"/>
      <c r="J14" s="2213"/>
      <c r="K14" s="1888"/>
      <c r="L14" s="1888"/>
      <c r="M14" s="1785"/>
      <c r="N14" s="1296"/>
      <c r="O14" s="1785"/>
      <c r="P14" s="1785"/>
      <c r="Q14" s="1785"/>
      <c r="AD14" s="1249"/>
    </row>
    <row r="15" spans="1:30">
      <c r="A15" s="203"/>
      <c r="B15" s="1763" t="s">
        <v>2094</v>
      </c>
      <c r="C15" s="6" t="str">
        <f>IF(A13="出让",IF(C13="","",ROUNDDOWN(MIN((C13-$D$3)/365,C14),2)),C14)</f>
        <v/>
      </c>
      <c r="D15" s="6">
        <f>IF(A13="出让",IF(D13="","",ROUNDDOWN(MIN((D13-$D$3)/365,D14),2)),D14)</f>
        <v>25.64</v>
      </c>
      <c r="E15" s="6" t="str">
        <f>IF(A13="出让",IF(E13="","",ROUNDDOWN(MIN((E13-$D$3)/365,E14),2)),E14)</f>
        <v/>
      </c>
      <c r="F15" s="6">
        <f>IF(A13="出让",IF(F13="","",ROUNDDOWN(MIN((F13-$D$3)/365,F14),2)),F14)</f>
        <v>35.64</v>
      </c>
      <c r="G15" s="6" t="str">
        <f>IF(A13="出让",IF(G13="","",ROUNDDOWN(MIN((G13-$D$3)/365,G14),2)),G14)</f>
        <v/>
      </c>
      <c r="H15" s="6" t="str">
        <f>IF(A13="出让",IF(H13="","",ROUNDDOWN(MIN((H13-$D$3)/365,H14),2)),H14)</f>
        <v/>
      </c>
      <c r="I15" s="6" t="str">
        <f>IF(A13="出让",IF(I13="","",ROUNDDOWN(MIN((I13-$D$3)/365,I14),2)),I14)</f>
        <v/>
      </c>
      <c r="J15" s="2214"/>
      <c r="K15" s="1296"/>
      <c r="L15" s="1296"/>
      <c r="M15" s="1785"/>
      <c r="N15" s="1296"/>
      <c r="O15" s="1785"/>
      <c r="P15" s="1785"/>
      <c r="Q15" s="1785"/>
      <c r="AD15" s="1249"/>
    </row>
    <row r="16" spans="1:30">
      <c r="A16" s="1755" t="s">
        <v>2095</v>
      </c>
      <c r="B16" s="4393"/>
      <c r="C16" s="4394"/>
      <c r="D16" s="4395"/>
      <c r="E16" s="1764" t="s">
        <v>2096</v>
      </c>
      <c r="F16" s="4396"/>
      <c r="G16" s="4397"/>
      <c r="H16" s="4397"/>
      <c r="I16" s="4398"/>
      <c r="J16" s="1785"/>
      <c r="K16" s="1892"/>
      <c r="L16" s="1296"/>
      <c r="M16" s="1296"/>
      <c r="N16" s="1785"/>
      <c r="O16" s="1296"/>
      <c r="P16" s="1785"/>
      <c r="Q16" s="1785"/>
      <c r="R16" s="1785"/>
    </row>
    <row r="17" spans="1:28">
      <c r="A17" s="197" t="s">
        <v>2097</v>
      </c>
      <c r="B17" s="186" t="s">
        <v>2098</v>
      </c>
      <c r="C17" s="9">
        <f>'数据-汇总表'!E3</f>
        <v>119963.53</v>
      </c>
      <c r="D17" s="899" t="s">
        <v>2099</v>
      </c>
      <c r="E17" s="4399" t="s">
        <v>2100</v>
      </c>
      <c r="F17" s="4400"/>
      <c r="G17" s="4400"/>
      <c r="H17" s="4400"/>
      <c r="I17" s="4401"/>
      <c r="J17" s="1785"/>
      <c r="K17" s="1893"/>
      <c r="L17" s="1296"/>
      <c r="M17" s="1296"/>
      <c r="N17" s="1785"/>
      <c r="O17" s="1296"/>
      <c r="P17" s="1785"/>
      <c r="Q17" s="1785"/>
      <c r="R17" s="1785"/>
      <c r="S17" s="1785"/>
      <c r="T17" s="1785"/>
      <c r="U17" s="1785"/>
      <c r="V17" s="1785"/>
    </row>
    <row r="18" spans="1:28" ht="24.75" thickBot="1">
      <c r="A18" s="1765" t="s">
        <v>2101</v>
      </c>
      <c r="B18" s="727" t="s">
        <v>2102</v>
      </c>
      <c r="C18" s="2580">
        <f>'数据-汇总表'!D3</f>
        <v>24498.84</v>
      </c>
      <c r="D18" s="729" t="s">
        <v>2103</v>
      </c>
      <c r="E18" s="4402" t="s">
        <v>2104</v>
      </c>
      <c r="F18" s="4403"/>
      <c r="G18" s="4403"/>
      <c r="H18" s="4403"/>
      <c r="I18" s="4404"/>
      <c r="J18" s="1785"/>
      <c r="K18" s="1893"/>
      <c r="L18" s="1296"/>
      <c r="M18" s="1296"/>
      <c r="N18" s="1785"/>
      <c r="O18" s="1296"/>
      <c r="P18" s="1785"/>
      <c r="Q18" s="1785"/>
      <c r="R18" s="1785"/>
      <c r="S18" s="1785"/>
      <c r="T18" s="1785"/>
      <c r="U18" s="1785"/>
      <c r="V18" s="1785"/>
    </row>
    <row r="19" spans="1:28" ht="37.5" thickTop="1" thickBot="1">
      <c r="A19" s="210" t="s">
        <v>1039</v>
      </c>
      <c r="B19" s="191" t="s">
        <v>2105</v>
      </c>
      <c r="C19" s="1098"/>
      <c r="D19" s="1099" t="s">
        <v>2106</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2107</v>
      </c>
      <c r="B20" s="4389" t="s">
        <v>2108</v>
      </c>
      <c r="C20" s="4390"/>
      <c r="D20" s="4391" t="s">
        <v>2109</v>
      </c>
      <c r="E20" s="4392"/>
      <c r="F20" s="1919" t="s">
        <v>1040</v>
      </c>
      <c r="G20" s="1930"/>
      <c r="H20" s="1930"/>
      <c r="I20" s="1930"/>
      <c r="J20" s="1785"/>
      <c r="K20" s="4388"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6"/>
      <c r="B21" s="1907" t="s">
        <v>2111</v>
      </c>
      <c r="C21" s="1835" t="s">
        <v>1041</v>
      </c>
      <c r="D21" s="1103" t="s">
        <v>2112</v>
      </c>
      <c r="E21" s="1908" t="s">
        <v>1041</v>
      </c>
      <c r="F21" s="1920"/>
      <c r="G21" s="1930"/>
      <c r="H21" s="1930"/>
      <c r="I21" s="1930"/>
      <c r="J21" s="1785"/>
      <c r="K21" s="438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6"/>
      <c r="B22" s="1909" t="s">
        <v>2113</v>
      </c>
      <c r="C22" s="1835" t="s">
        <v>1042</v>
      </c>
      <c r="D22" s="1930"/>
      <c r="E22" s="1930"/>
      <c r="F22" s="1930"/>
      <c r="G22" s="1930"/>
      <c r="H22" s="1930"/>
      <c r="I22" s="1930"/>
      <c r="J22" s="1785"/>
      <c r="K22" s="438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2114</v>
      </c>
      <c r="B23" s="1832" t="s">
        <v>2115</v>
      </c>
      <c r="C23" s="1911"/>
      <c r="D23" s="1912" t="s">
        <v>2115</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0"/>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0"/>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5"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5" thickTop="1">
      <c r="A27" s="4377" t="s">
        <v>2116</v>
      </c>
      <c r="B27" s="203" t="s">
        <v>2117</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77"/>
      <c r="B28" s="186" t="s">
        <v>2118</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77"/>
      <c r="B29" s="186" t="s">
        <v>2119</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78"/>
      <c r="B30" s="186" t="s">
        <v>2120</v>
      </c>
      <c r="C30" s="4379"/>
      <c r="D30" s="4380"/>
      <c r="E30" s="1930"/>
      <c r="F30" s="1930"/>
      <c r="G30" s="1930"/>
      <c r="H30" s="1930"/>
      <c r="I30" s="1930"/>
      <c r="J30" s="1785"/>
      <c r="K30" s="1891"/>
      <c r="L30" s="1888"/>
      <c r="M30" s="1888"/>
      <c r="N30" s="1785"/>
      <c r="O30" s="1296"/>
      <c r="P30" s="1785"/>
      <c r="Q30" s="1785"/>
      <c r="R30" s="1785"/>
      <c r="S30" s="1785"/>
      <c r="T30" s="1785"/>
      <c r="U30" s="1785"/>
      <c r="V30" s="1785"/>
    </row>
    <row r="31" spans="1:28">
      <c r="A31" s="4381" t="s">
        <v>2121</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82"/>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82"/>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2122</v>
      </c>
      <c r="B34" s="1465"/>
      <c r="C34" s="1465"/>
      <c r="D34" s="1465"/>
      <c r="E34" s="1465"/>
      <c r="F34" s="1465"/>
      <c r="G34" s="1465"/>
      <c r="H34" s="1465"/>
      <c r="I34" s="1930"/>
      <c r="J34" s="1785"/>
      <c r="K34" s="6">
        <f>COUNTIF(B34:H34,"——")</f>
        <v>0</v>
      </c>
      <c r="L34" s="206" t="s">
        <v>2123</v>
      </c>
      <c r="M34" s="206" t="s">
        <v>2124</v>
      </c>
      <c r="N34" s="206" t="s">
        <v>2125</v>
      </c>
      <c r="O34" s="206" t="s">
        <v>2126</v>
      </c>
      <c r="P34" s="206" t="s">
        <v>2127</v>
      </c>
      <c r="Q34" s="206" t="s">
        <v>2128</v>
      </c>
      <c r="R34" s="206" t="s">
        <v>2129</v>
      </c>
      <c r="S34" s="4376" t="s">
        <v>2130</v>
      </c>
      <c r="T34" s="206" t="str">
        <f>NUMBERSTRING(7-K34,1)&amp;"通"</f>
        <v>七通</v>
      </c>
      <c r="U34" s="1785"/>
      <c r="V34" s="1785"/>
    </row>
    <row r="35" spans="1:30">
      <c r="A35" s="1776"/>
      <c r="B35" s="4376" t="s">
        <v>2131</v>
      </c>
      <c r="C35" s="4376"/>
      <c r="D35" s="4376"/>
      <c r="E35" s="4376"/>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76"/>
      <c r="T35" s="55" t="str">
        <f>IF(T34="一通",L35,IF(T34="二通",M35,IF(T34="三通",N35,IF(T34="四通",O35,IF(T34="五通",P35,IF(T34="六通",Q35,R35))))))</f>
        <v>、、、、、、</v>
      </c>
      <c r="U35" s="1785"/>
      <c r="V35" s="1785"/>
    </row>
    <row r="36" spans="1:30">
      <c r="A36" s="1728"/>
      <c r="B36" s="6" t="s">
        <v>2087</v>
      </c>
      <c r="C36" s="6" t="s">
        <v>2088</v>
      </c>
      <c r="D36" s="6" t="s">
        <v>2086</v>
      </c>
      <c r="E36" s="6" t="s">
        <v>2091</v>
      </c>
      <c r="F36" s="2210" t="s">
        <v>2461</v>
      </c>
      <c r="G36" s="1930"/>
      <c r="H36" s="1930"/>
      <c r="I36" s="1930"/>
      <c r="J36" s="1785"/>
      <c r="K36" s="1891"/>
      <c r="L36" s="1888"/>
      <c r="M36" s="1888"/>
      <c r="N36" s="1785"/>
      <c r="O36" s="1296"/>
      <c r="P36" s="1785"/>
      <c r="Q36" s="1785"/>
      <c r="R36" s="1785"/>
      <c r="S36" s="1785"/>
      <c r="T36" s="1785"/>
      <c r="U36" s="1785"/>
      <c r="V36" s="1785"/>
    </row>
    <row r="37" spans="1:30">
      <c r="A37" s="1904" t="s">
        <v>2132</v>
      </c>
      <c r="B37" s="1777" t="s">
        <v>302</v>
      </c>
      <c r="C37" s="1777"/>
      <c r="D37" s="1777"/>
      <c r="E37" s="1777"/>
      <c r="F37" s="1777"/>
      <c r="G37" s="1930"/>
      <c r="H37" s="1930"/>
      <c r="I37" s="1930"/>
      <c r="J37" s="1785"/>
      <c r="K37" s="1891"/>
      <c r="L37" s="1888"/>
      <c r="M37" s="1888"/>
      <c r="N37" s="1785"/>
      <c r="O37" s="1296"/>
      <c r="P37" s="1785"/>
      <c r="Q37" s="1785"/>
      <c r="R37" s="1785"/>
      <c r="S37" s="1785"/>
      <c r="T37" s="1785"/>
      <c r="U37" s="1785"/>
      <c r="V37" s="1785"/>
    </row>
    <row r="38" spans="1:30" ht="13.5" thickBot="1">
      <c r="A38" s="1905" t="s">
        <v>2133</v>
      </c>
      <c r="B38" s="1778" t="s">
        <v>4467</v>
      </c>
      <c r="C38" s="1778"/>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25" thickTop="1" thickBot="1">
      <c r="A39" s="1779" t="s">
        <v>2134</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2135</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hidden="1" customWidth="1"/>
    <col min="16" max="16" width="9.75" style="1107" hidden="1" customWidth="1"/>
    <col min="17" max="17" width="9.375" style="1107" hidden="1" customWidth="1"/>
    <col min="18" max="18" width="9.25" style="1107" hidden="1" customWidth="1"/>
    <col min="19" max="19" width="10.875" style="1107" hidden="1" customWidth="1"/>
    <col min="20" max="21" width="10.75" style="1107" hidden="1" customWidth="1"/>
    <col min="22" max="22" width="10.875" style="1107" hidden="1" customWidth="1"/>
    <col min="23" max="27" width="10.75" style="1107" hidden="1" customWidth="1"/>
    <col min="28" max="28" width="10.875" style="1107" hidden="1"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24498.84</v>
      </c>
      <c r="B3" s="905">
        <f>IF(C3="否",G5-AT5,G5)</f>
        <v>119963.53</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119963.53</v>
      </c>
      <c r="H5" s="6">
        <f t="shared" ref="H5:AT5" si="0">SUM(H13:H656)</f>
        <v>119963.53</v>
      </c>
      <c r="I5" s="6">
        <f t="shared" si="0"/>
        <v>85551.93</v>
      </c>
      <c r="J5" s="6">
        <f t="shared" si="0"/>
        <v>0</v>
      </c>
      <c r="K5" s="6">
        <f t="shared" si="0"/>
        <v>18136.540000000008</v>
      </c>
      <c r="L5" s="6">
        <f t="shared" si="0"/>
        <v>0</v>
      </c>
      <c r="M5" s="6">
        <f t="shared" si="0"/>
        <v>16275.06</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119963.53</v>
      </c>
      <c r="BA5" s="455">
        <f t="shared" si="1"/>
        <v>119963.53</v>
      </c>
      <c r="BB5" s="455">
        <f t="shared" si="1"/>
        <v>85551.93</v>
      </c>
      <c r="BC5" s="455">
        <f t="shared" si="1"/>
        <v>18136.540000000008</v>
      </c>
      <c r="BD5" s="455">
        <f t="shared" si="1"/>
        <v>16275.06</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1055</v>
      </c>
      <c r="B6" s="902"/>
      <c r="C6" s="902"/>
      <c r="D6" s="903"/>
      <c r="E6" s="6">
        <f>H6+AC6+AT6</f>
        <v>24498.85</v>
      </c>
      <c r="F6" s="6" t="s">
        <v>0</v>
      </c>
      <c r="G6" s="6" t="s">
        <v>1</v>
      </c>
      <c r="H6" s="11">
        <f>SUMIF(I$12:AB$12,"总值",I6:AB6)</f>
        <v>24498.85</v>
      </c>
      <c r="I6" s="6">
        <f t="shared" ref="I6:AB6" si="2">ROUND($A$3*I5/$B$3,2)</f>
        <v>17471.34</v>
      </c>
      <c r="J6" s="6">
        <f t="shared" si="2"/>
        <v>0</v>
      </c>
      <c r="K6" s="6">
        <f t="shared" si="2"/>
        <v>3703.83</v>
      </c>
      <c r="L6" s="6">
        <f t="shared" si="2"/>
        <v>0</v>
      </c>
      <c r="M6" s="6">
        <f t="shared" si="2"/>
        <v>3323.68</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5">
        <f>IF(AY3&gt;0,AY3,ROUND($A$3*AZ5/$B$3,2))</f>
        <v>24498.84</v>
      </c>
      <c r="AZ6" s="6" t="s">
        <v>2</v>
      </c>
      <c r="BA6" s="6">
        <f>ROUND($AY$6*BA5/$AZ$5,2)</f>
        <v>24498.84</v>
      </c>
      <c r="BB6" s="6">
        <f>ROUND($AY$6*BB5/$AZ$5,2)</f>
        <v>17471.34</v>
      </c>
      <c r="BC6" s="6">
        <f t="shared" ref="BC6:BH6" si="4">ROUND($AY$6*BC5/$AZ$5,2)</f>
        <v>3703.83</v>
      </c>
      <c r="BD6" s="6">
        <f t="shared" si="4"/>
        <v>3323.68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4462</v>
      </c>
      <c r="J9" s="528"/>
      <c r="K9" s="1131" t="s">
        <v>4463</v>
      </c>
      <c r="L9" s="528"/>
      <c r="M9" s="1131" t="s">
        <v>4463</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4464</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25.5">
      <c r="A13" s="694"/>
      <c r="B13" s="694"/>
      <c r="C13" s="4256" t="s">
        <v>4079</v>
      </c>
      <c r="D13" s="1153" t="s">
        <v>4080</v>
      </c>
      <c r="E13" s="6">
        <f>IF($C$3="是",ROUND($A$3*G13/$B$3,2),ROUND($A$3*(G13-AT13)/$B$3,2))</f>
        <v>24498.84</v>
      </c>
      <c r="F13" s="579"/>
      <c r="G13" s="18">
        <f>H13+AC13+AT13</f>
        <v>119963.53</v>
      </c>
      <c r="H13" s="11">
        <f>SUMIF(I$12:AB$12,"总值",I13:AB13)</f>
        <v>119963.53</v>
      </c>
      <c r="I13" s="1105">
        <f>SUM(面积指标!H7:H12)</f>
        <v>85551.93</v>
      </c>
      <c r="J13" s="1105"/>
      <c r="K13" s="1105">
        <f>面积指标!F26-I13</f>
        <v>18136.540000000008</v>
      </c>
      <c r="L13" s="1105"/>
      <c r="M13" s="1105">
        <f>面积指标!F25</f>
        <v>16275.06</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房山龙湖天街</v>
      </c>
      <c r="AY13" s="903">
        <f>ROUND($AY$6*AZ13/$AZ$5,2)</f>
        <v>24498.84</v>
      </c>
      <c r="AZ13" s="9">
        <f>BA13+BL13</f>
        <v>119963.53</v>
      </c>
      <c r="BA13" s="9">
        <f>SUM(BB13:BK13)</f>
        <v>119963.53</v>
      </c>
      <c r="BB13" s="9">
        <f>IF($D13="是",I13-J13,0)</f>
        <v>85551.93</v>
      </c>
      <c r="BC13" s="9">
        <f>IF($D13="是",K13-L13,0)</f>
        <v>18136.540000000008</v>
      </c>
      <c r="BD13" s="9">
        <f>IF($D13="是",M13-N13,0)</f>
        <v>16275.06</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E14" sqref="E14"/>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414" t="s">
        <v>1114</v>
      </c>
      <c r="B2" s="4414"/>
      <c r="C2" s="4414"/>
      <c r="D2" s="520" t="s">
        <v>1090</v>
      </c>
      <c r="E2" s="1162" t="s">
        <v>1091</v>
      </c>
      <c r="F2" s="1927"/>
      <c r="G2" s="1921"/>
      <c r="H2" s="1922"/>
      <c r="I2" s="1694" t="s">
        <v>1115</v>
      </c>
      <c r="J2" s="1927"/>
      <c r="K2" s="1927"/>
      <c r="L2" s="1927"/>
      <c r="M2" s="1927"/>
      <c r="N2" s="1928"/>
      <c r="O2" s="1927"/>
      <c r="P2" s="1927"/>
    </row>
    <row r="3" spans="1:16" ht="15.75" thickBot="1">
      <c r="A3" s="4415" t="s">
        <v>1088</v>
      </c>
      <c r="B3" s="4415"/>
      <c r="C3" s="4415"/>
      <c r="D3" s="3775">
        <f>'数据-基础表'!AY6</f>
        <v>24498.84</v>
      </c>
      <c r="E3" s="3775">
        <f>'数据-基础表'!AZ5</f>
        <v>119963.53</v>
      </c>
      <c r="F3" s="1927"/>
      <c r="G3" s="24"/>
      <c r="H3" s="25" t="s">
        <v>1089</v>
      </c>
      <c r="I3" s="2575">
        <f>ROUND('数据-基础表'!B3/'数据-基础表'!A3,2)</f>
        <v>4.9000000000000004</v>
      </c>
      <c r="J3" s="1927"/>
      <c r="K3" s="1927"/>
      <c r="L3" s="1927"/>
      <c r="M3" s="1927"/>
      <c r="N3" s="1928"/>
      <c r="O3" s="1927"/>
      <c r="P3" s="1927"/>
    </row>
    <row r="4" spans="1:16" ht="15">
      <c r="A4" s="4416"/>
      <c r="B4" s="4417"/>
      <c r="C4" s="4418"/>
      <c r="D4" s="1164" t="s">
        <v>1090</v>
      </c>
      <c r="E4" s="1165" t="s">
        <v>1091</v>
      </c>
      <c r="F4" s="1927"/>
      <c r="G4" s="1923" t="s">
        <v>1116</v>
      </c>
      <c r="H4" s="25" t="s">
        <v>1096</v>
      </c>
      <c r="I4" s="2575">
        <f>ROUND(SUMIF('数据-基础表'!I9:AS9,"地上",'数据-基础表'!I5:AS5)/'数据-基础表'!A3,2)</f>
        <v>3.49</v>
      </c>
      <c r="J4" s="1927"/>
      <c r="K4" s="1927"/>
      <c r="L4" s="1927"/>
      <c r="M4" s="1927"/>
      <c r="N4" s="1928"/>
      <c r="O4" s="1927"/>
      <c r="P4" s="1927"/>
    </row>
    <row r="5" spans="1:16">
      <c r="A5" s="24" t="s">
        <v>1092</v>
      </c>
      <c r="B5" s="4419" t="s">
        <v>1093</v>
      </c>
      <c r="C5" s="4419"/>
      <c r="D5" s="3757">
        <f>ROUND($D$3*E5/$E$3,2)</f>
        <v>0</v>
      </c>
      <c r="E5" s="3647">
        <f>SUMIF('数据-基础表'!$11:$11,"住宅",'数据-基础表'!$5:$5)</f>
        <v>0</v>
      </c>
      <c r="F5" s="1927"/>
      <c r="G5" s="24"/>
      <c r="H5" s="25" t="s">
        <v>1089</v>
      </c>
      <c r="I5" s="2575">
        <f>ROUND(E31/D31,2)</f>
        <v>4.9000000000000004</v>
      </c>
      <c r="J5" s="1927"/>
      <c r="K5" s="1927"/>
      <c r="L5" s="1927"/>
      <c r="M5" s="1927"/>
      <c r="N5" s="1927"/>
      <c r="O5" s="1927"/>
      <c r="P5" s="1927"/>
    </row>
    <row r="6" spans="1:16" ht="15" thickBot="1">
      <c r="A6" s="1167"/>
      <c r="B6" s="4419" t="s">
        <v>1094</v>
      </c>
      <c r="C6" s="4419"/>
      <c r="D6" s="3757">
        <f>ROUND($D$3*E6/$E$3,2)</f>
        <v>24498.84</v>
      </c>
      <c r="E6" s="3647">
        <f>E3-E5</f>
        <v>119963.53</v>
      </c>
      <c r="F6" s="1927"/>
      <c r="G6" s="1169" t="s">
        <v>1095</v>
      </c>
      <c r="H6" s="26" t="s">
        <v>1096</v>
      </c>
      <c r="I6" s="2576">
        <f>ROUND(F31/D31,2)</f>
        <v>3.49</v>
      </c>
      <c r="J6" s="1927"/>
      <c r="K6" s="1927"/>
      <c r="L6" s="1927"/>
      <c r="M6" s="1927"/>
      <c r="N6" s="1927"/>
      <c r="O6" s="1927"/>
      <c r="P6" s="1927"/>
    </row>
    <row r="7" spans="1:16" ht="15.75" thickBot="1">
      <c r="A7" s="4411"/>
      <c r="B7" s="4412"/>
      <c r="C7" s="4413"/>
      <c r="D7" s="1164" t="s">
        <v>1090</v>
      </c>
      <c r="E7" s="1168" t="s">
        <v>1097</v>
      </c>
      <c r="F7" s="1927"/>
      <c r="G7" s="1924" t="s">
        <v>1098</v>
      </c>
      <c r="H7" s="1925"/>
      <c r="I7" s="2577">
        <f>I6</f>
        <v>3.49</v>
      </c>
      <c r="J7" s="1927"/>
      <c r="K7" s="1927"/>
      <c r="L7" s="1927"/>
      <c r="M7" s="1927"/>
      <c r="N7" s="1927"/>
      <c r="O7" s="1927"/>
      <c r="P7" s="1927"/>
    </row>
    <row r="8" spans="1:16">
      <c r="A8" s="24" t="s">
        <v>1099</v>
      </c>
      <c r="B8" s="26" t="s">
        <v>1100</v>
      </c>
      <c r="C8" s="25" t="s">
        <v>1101</v>
      </c>
      <c r="D8" s="3757">
        <f t="shared" ref="D8:D15" si="0">ROUND($D$3*E8/$E$3,2)</f>
        <v>17471.34</v>
      </c>
      <c r="E8" s="3647">
        <f>SUMIF('数据-基础表'!BB10:BK10,"地上",'数据-基础表'!BB5:BK5)</f>
        <v>85551.93</v>
      </c>
      <c r="F8" s="1927"/>
      <c r="G8" s="1927"/>
      <c r="H8" s="1927"/>
      <c r="I8" s="1927"/>
      <c r="J8" s="1927"/>
      <c r="K8" s="1927"/>
      <c r="L8" s="1927"/>
      <c r="M8" s="1927"/>
      <c r="N8" s="1927"/>
      <c r="O8" s="1927"/>
      <c r="P8" s="1927"/>
    </row>
    <row r="9" spans="1:16">
      <c r="A9" s="1169"/>
      <c r="B9" s="1170"/>
      <c r="C9" s="25" t="s">
        <v>1102</v>
      </c>
      <c r="D9" s="3757">
        <f t="shared" si="0"/>
        <v>0</v>
      </c>
      <c r="E9" s="3776"/>
      <c r="F9" s="1927"/>
      <c r="G9" s="1927"/>
      <c r="H9" s="1927"/>
      <c r="I9" s="1927"/>
      <c r="J9" s="1927"/>
      <c r="K9" s="1927"/>
      <c r="L9" s="1927"/>
      <c r="M9" s="1927"/>
      <c r="N9" s="1927"/>
      <c r="O9" s="1927"/>
      <c r="P9" s="1927"/>
    </row>
    <row r="10" spans="1:16">
      <c r="A10" s="1169"/>
      <c r="B10" s="1170"/>
      <c r="C10" s="25" t="s">
        <v>1111</v>
      </c>
      <c r="D10" s="3757">
        <f t="shared" si="0"/>
        <v>3703.83</v>
      </c>
      <c r="E10" s="3647">
        <f>SUMPRODUCT(('数据-基础表'!BB10:BK10="地下")*('数据-基础表'!BB11:BK11="商业")*('数据-基础表'!BB5:BK5))</f>
        <v>18136.540000000008</v>
      </c>
      <c r="F10" s="1927"/>
      <c r="G10" s="1927"/>
      <c r="H10" s="1927"/>
      <c r="I10" s="1927"/>
      <c r="J10" s="1927"/>
      <c r="K10" s="1927"/>
      <c r="L10" s="1927"/>
      <c r="M10" s="1927"/>
      <c r="N10" s="1927"/>
      <c r="O10" s="1927"/>
      <c r="P10" s="1927"/>
    </row>
    <row r="11" spans="1:16">
      <c r="A11" s="1169"/>
      <c r="B11" s="1170"/>
      <c r="C11" s="25" t="s">
        <v>1103</v>
      </c>
      <c r="D11" s="3757">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7">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7">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7">
        <f t="shared" si="0"/>
        <v>3323.68</v>
      </c>
      <c r="E14" s="3647">
        <f>SUMPRODUCT(('数据-基础表'!BB10:BK10="地下")*('数据-基础表'!BB11:BK11="车库—商业")*('数据-基础表'!BB5:BK5))</f>
        <v>16275.06</v>
      </c>
      <c r="F14" s="1927"/>
      <c r="G14" s="1927"/>
      <c r="H14" s="1927"/>
      <c r="I14" s="1927"/>
      <c r="J14" s="1927"/>
      <c r="K14" s="1927"/>
      <c r="L14" s="1927"/>
      <c r="M14" s="1927"/>
      <c r="N14" s="1927"/>
      <c r="O14" s="1927"/>
      <c r="P14" s="1927"/>
    </row>
    <row r="15" spans="1:16" ht="15" thickBot="1">
      <c r="A15" s="1169"/>
      <c r="B15" s="1170"/>
      <c r="C15" s="25" t="s">
        <v>1112</v>
      </c>
      <c r="D15" s="3757">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24498.85</v>
      </c>
      <c r="E16" s="3767">
        <f>SUM(E8:E15)</f>
        <v>119963.53</v>
      </c>
      <c r="F16" s="1927"/>
      <c r="G16" s="1927"/>
      <c r="H16" s="1171" t="s">
        <v>1118</v>
      </c>
      <c r="I16" s="1172"/>
      <c r="J16" s="763"/>
      <c r="K16" s="4408" t="s">
        <v>1118</v>
      </c>
      <c r="L16" s="4409"/>
      <c r="M16" s="4409"/>
      <c r="N16" s="4409"/>
      <c r="O16" s="4409"/>
      <c r="P16" s="4410"/>
    </row>
    <row r="17" spans="1:19" ht="15">
      <c r="A17" s="1173" t="s">
        <v>1119</v>
      </c>
      <c r="B17" s="1174" t="s">
        <v>1120</v>
      </c>
      <c r="C17" s="1175" t="s">
        <v>1121</v>
      </c>
      <c r="D17" s="1176" t="s">
        <v>1109</v>
      </c>
      <c r="E17" s="1177" t="s">
        <v>1110</v>
      </c>
      <c r="F17" s="1178"/>
      <c r="G17" s="1179"/>
      <c r="H17" s="1180" t="s">
        <v>1122</v>
      </c>
      <c r="I17" s="1181" t="s">
        <v>1107</v>
      </c>
      <c r="J17" s="763"/>
      <c r="K17" s="4405" t="s">
        <v>1123</v>
      </c>
      <c r="L17" s="4406"/>
      <c r="M17" s="4407"/>
      <c r="N17" s="4405" t="s">
        <v>1124</v>
      </c>
      <c r="O17" s="4406"/>
      <c r="P17" s="4407"/>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4465</v>
      </c>
      <c r="D19" s="3757">
        <f>ROUND($D$3*E19/$E$3,2)</f>
        <v>24498.84</v>
      </c>
      <c r="E19" s="3757">
        <f t="shared" ref="E19:E26" si="1">SUM(F19:G19)</f>
        <v>119963.53</v>
      </c>
      <c r="F19" s="3758">
        <f>'数据-基础表'!I13</f>
        <v>85551.93</v>
      </c>
      <c r="G19" s="3619">
        <f>'数据-基础表'!K13+'数据-基础表'!M13</f>
        <v>34411.600000000006</v>
      </c>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24498.84</v>
      </c>
      <c r="S19" s="3757">
        <f t="shared" si="5"/>
        <v>119963.53</v>
      </c>
    </row>
    <row r="20" spans="1:19">
      <c r="A20" s="1189"/>
      <c r="B20" s="26" t="s">
        <v>1136</v>
      </c>
      <c r="C20" s="2448"/>
      <c r="D20" s="3757">
        <f t="shared" ref="D20:D26" si="6">ROUND($D$3*E20/$E$3,2)</f>
        <v>0</v>
      </c>
      <c r="E20" s="3757">
        <f t="shared" si="1"/>
        <v>0</v>
      </c>
      <c r="F20" s="3758"/>
      <c r="G20" s="3619"/>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0</v>
      </c>
    </row>
    <row r="21" spans="1:19">
      <c r="A21" s="1189"/>
      <c r="B21" s="26" t="s">
        <v>1136</v>
      </c>
      <c r="C21" s="2448"/>
      <c r="D21" s="3757">
        <f t="shared" si="6"/>
        <v>0</v>
      </c>
      <c r="E21" s="3757">
        <f t="shared" si="1"/>
        <v>0</v>
      </c>
      <c r="F21" s="3758"/>
      <c r="G21" s="3619"/>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0</v>
      </c>
    </row>
    <row r="22" spans="1:19">
      <c r="A22" s="1189"/>
      <c r="B22" s="26" t="s">
        <v>1136</v>
      </c>
      <c r="C22" s="2449"/>
      <c r="D22" s="3757">
        <f t="shared" si="6"/>
        <v>0</v>
      </c>
      <c r="E22" s="3757">
        <f t="shared" si="1"/>
        <v>0</v>
      </c>
      <c r="F22" s="3760"/>
      <c r="G22" s="3761"/>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0</v>
      </c>
    </row>
    <row r="23" spans="1:19">
      <c r="A23" s="1189"/>
      <c r="B23" s="26" t="s">
        <v>1136</v>
      </c>
      <c r="C23" s="2449"/>
      <c r="D23" s="3757">
        <f>ROUND($D$3*E23/$E$3,2)</f>
        <v>0</v>
      </c>
      <c r="E23" s="3757">
        <f>SUM(F23:G23)</f>
        <v>0</v>
      </c>
      <c r="F23" s="3760"/>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0</v>
      </c>
    </row>
    <row r="24" spans="1:19">
      <c r="A24" s="1189"/>
      <c r="B24" s="26" t="s">
        <v>1136</v>
      </c>
      <c r="C24" s="2449"/>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1136</v>
      </c>
      <c r="C25" s="2449"/>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1136</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1137</v>
      </c>
      <c r="D27" s="172">
        <f>SUM(D19:D26)</f>
        <v>24498.84</v>
      </c>
      <c r="E27" s="172">
        <f>IF(SUM(E19:E26)='数据-基础表'!BA5,SUM(E19:E26),IF(F27="地上面积有误","面积有误","地下面积有误"))</f>
        <v>119963.53</v>
      </c>
      <c r="F27" s="172">
        <f>IF(SUM(F19:F26)=E8,SUM(F19:F26),"地上面积有误")</f>
        <v>85551.93</v>
      </c>
      <c r="G27" s="3645">
        <f>SUM(G19:G26)</f>
        <v>34411.600000000006</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24498.84</v>
      </c>
      <c r="S27" s="3757">
        <f>IF(SUM(S19:S26)=$E$3,SUM(S19:S26),SUM(S19:S26)&amp;"误差"&amp;ROUND(SUM(S19:S26)-E3,2))</f>
        <v>119963.53</v>
      </c>
    </row>
    <row r="28" spans="1:19">
      <c r="A28" s="1189"/>
      <c r="B28" s="26" t="s">
        <v>1138</v>
      </c>
      <c r="C28" s="30" t="s">
        <v>1139</v>
      </c>
      <c r="D28" s="3757">
        <f>ROUND($D$3*E28/$E$3,2)</f>
        <v>0</v>
      </c>
      <c r="E28" s="3757">
        <f>SUM(F28:G28)</f>
        <v>0</v>
      </c>
      <c r="F28" s="3518">
        <f>'数据-基础表'!BQ5+'数据-基础表'!BS5</f>
        <v>0</v>
      </c>
      <c r="G28" s="3765">
        <f>'数据-基础表'!BR5+'数据-基础表'!BT5</f>
        <v>0</v>
      </c>
      <c r="H28" s="1927"/>
      <c r="I28" s="1927"/>
      <c r="J28" s="1927"/>
      <c r="K28" s="1927"/>
      <c r="L28" s="1927"/>
      <c r="M28" s="1927"/>
      <c r="N28" s="1927"/>
      <c r="O28" s="1927"/>
      <c r="P28" s="1927"/>
    </row>
    <row r="29" spans="1:19">
      <c r="A29" s="1189"/>
      <c r="B29" s="26" t="s">
        <v>1138</v>
      </c>
      <c r="C29" s="1191" t="s">
        <v>1140</v>
      </c>
      <c r="D29" s="3757">
        <f>ROUND($D$3*E29/$E$3,2)</f>
        <v>0</v>
      </c>
      <c r="E29" s="3757">
        <f>SUM(F29:G29)</f>
        <v>0</v>
      </c>
      <c r="F29" s="3766">
        <f>'数据-基础表'!BM5+'数据-基础表'!BO5</f>
        <v>0</v>
      </c>
      <c r="G29" s="3767">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8">
        <f>D27+D30</f>
        <v>24498.84</v>
      </c>
      <c r="E31" s="3768">
        <f>E27+E30</f>
        <v>119963.53</v>
      </c>
      <c r="F31" s="3769">
        <f>F27+F30</f>
        <v>85551.93</v>
      </c>
      <c r="G31" s="3770">
        <f>G27+G30</f>
        <v>34411.600000000006</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6" sqref="I2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46126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4466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75">
        <f>SUMIF(项目基本情况!C$12:I$12,C6,项目基本情况!C$14:I$14)</f>
        <v>40</v>
      </c>
      <c r="E6" s="547">
        <f>IF(B6="","",SUMIF(项目基本情况!C$12:I$12,C6,项目基本情况!C$13:I$13))</f>
        <v>55485</v>
      </c>
      <c r="F6" s="3277">
        <f>SUMIF(项目基本情况!C$12:I$12,C6,项目基本情况!C$15:I$15)</f>
        <v>25.64</v>
      </c>
      <c r="G6" s="3278">
        <f t="shared" ref="G6:G13" si="0">IF(ISERROR(ROUND(POWER(1+H6,D6-F6)*(POWER(1+H6,F6)-1)/(POWER(1+H6,D6)-1),4)),0,ROUND(POWER(1+H6,D6-F6)*(POWER(1+H6,F6)-1)/(POWER(1+H6,D6)-1),4))</f>
        <v>0.83199999999999996</v>
      </c>
      <c r="H6" s="3279">
        <v>0.05</v>
      </c>
      <c r="I6" s="3279">
        <v>5.5E-2</v>
      </c>
      <c r="J6" s="3280">
        <v>7.0000000000000007E-2</v>
      </c>
      <c r="K6" s="3777">
        <f>SUMIF('数据-汇总表'!C$19:C$33,A6,'数据-汇总表'!E$19:E$33)</f>
        <v>119963.53</v>
      </c>
      <c r="L6" s="3778">
        <f>ROUND(6500/1.09,-2)</f>
        <v>6000</v>
      </c>
      <c r="M6" s="3779">
        <f t="shared" ref="M6:M14" si="1">ROUND(K6*L6/10000,0)</f>
        <v>71978</v>
      </c>
      <c r="N6" s="3267">
        <f>ROUND(1-(2026-2017)/60,2)</f>
        <v>0.85</v>
      </c>
      <c r="O6" s="3779" t="str">
        <f>IF($N$5="成新度","——",ROUND(M6*N6,0))</f>
        <v>——</v>
      </c>
      <c r="P6" s="3609" t="str">
        <f>IF($N$5="成新度","——",M6-O6)</f>
        <v>——</v>
      </c>
      <c r="Q6" s="3268">
        <v>0.2</v>
      </c>
      <c r="R6" s="3793">
        <f ca="1">SUMIF('数据-汇总表'!C$19:C$33,A6,'数据-汇总表'!R$19:R$27)</f>
        <v>24498.84</v>
      </c>
      <c r="S6" s="3757">
        <f>IF('数据-汇总表'!$I$17="按面积比例",SUMIF('数据-汇总表'!C$19:C$33,A6,'数据-汇总表'!K$19:K$33),SUMIF('数据-汇总表'!C$19:C$33,A6,'数据-汇总表'!N$19:N$33))</f>
        <v>0</v>
      </c>
      <c r="T6" s="3794">
        <f>ROUND($L$14*S6/10000,0)</f>
        <v>0</v>
      </c>
      <c r="U6" s="3798">
        <f>ROUND(租赁台账!K20/1.09,2)</f>
        <v>4.93</v>
      </c>
      <c r="V6" s="36">
        <v>0.02</v>
      </c>
      <c r="W6" s="36">
        <v>0.1</v>
      </c>
      <c r="X6" s="684"/>
      <c r="Y6" s="37">
        <f>N6</f>
        <v>0.85</v>
      </c>
      <c r="Z6" s="3803"/>
      <c r="AA6" s="35"/>
      <c r="AB6" s="35"/>
      <c r="AC6" s="684"/>
      <c r="AD6" s="38"/>
      <c r="AE6" s="685">
        <f ca="1">IF(AN6="",0,SUMIF(INDIRECT("'"&amp;AN6&amp;"'"&amp;"!E:E"),$AE$5,INDIRECT("'"&amp;AN6&amp;"'"&amp;"!F:F")))</f>
        <v>25.64</v>
      </c>
      <c r="AF6" s="3805"/>
      <c r="AG6" s="52">
        <f>IF(AF6="",0,AE6-AF6)</f>
        <v>0</v>
      </c>
      <c r="AH6" s="3798">
        <f>'数据-基础表'!B3-'数据-基础表'!M13</f>
        <v>103688.47</v>
      </c>
      <c r="AI6" s="3806">
        <v>365</v>
      </c>
      <c r="AJ6" s="3805"/>
      <c r="AK6" s="39">
        <v>2E-3</v>
      </c>
      <c r="AL6" s="40">
        <v>1E-3</v>
      </c>
      <c r="AM6" s="41">
        <v>0.02</v>
      </c>
      <c r="AN6" s="1224" t="s">
        <v>4159</v>
      </c>
      <c r="AO6" s="3757">
        <f ca="1">SUMIF(INDIRECT("'"&amp;AN6&amp;"'"&amp;"!A:A"),"总价",INDIRECT("'"&amp;AN6&amp;"'"&amp;"!B:B"))</f>
        <v>260302</v>
      </c>
      <c r="AP6" s="3757">
        <f>IF(C6="住宅",K6*L6,0)</f>
        <v>0</v>
      </c>
      <c r="AQ6" s="3757">
        <f>ROUND($L$14*$N$14*S6/10000,0)</f>
        <v>0</v>
      </c>
      <c r="AR6" s="3757">
        <f>ROUND($L$14*(1-$N$14)*S6/10000,0)</f>
        <v>0</v>
      </c>
      <c r="AS6" s="3757">
        <f>ROUND(1-1/(1+H6)^F6,3)</f>
        <v>0.71399999999999997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7">
        <f>SUMIF('数据-汇总表'!C$19:C$33,A7,'数据-汇总表'!E$19:E$33)</f>
        <v>0</v>
      </c>
      <c r="L7" s="3778"/>
      <c r="M7" s="3779">
        <f t="shared" si="1"/>
        <v>0</v>
      </c>
      <c r="N7" s="3267"/>
      <c r="O7" s="3779" t="str">
        <f t="shared" ref="O7:O14" si="3">IF($N$5="成新度","——",ROUND(M7*N7,0))</f>
        <v>——</v>
      </c>
      <c r="P7" s="3609" t="str">
        <f t="shared" ref="P7:P14" si="4">IF($N$5="成新度","——",M7-O7)</f>
        <v>——</v>
      </c>
      <c r="Q7" s="3268"/>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c r="V7" s="36"/>
      <c r="W7" s="36"/>
      <c r="X7" s="684"/>
      <c r="Y7" s="37"/>
      <c r="Z7" s="3803"/>
      <c r="AA7" s="35"/>
      <c r="AB7" s="35"/>
      <c r="AC7" s="684"/>
      <c r="AD7" s="38"/>
      <c r="AE7" s="685">
        <f t="shared" ref="AE7:AE13" ca="1" si="6">IF(AN7="",0,SUMIF(INDIRECT("'"&amp;AN7&amp;"'"&amp;"!E:E"),$AE$5,INDIRECT("'"&amp;AN7&amp;"'"&amp;"!F:F")))</f>
        <v>0</v>
      </c>
      <c r="AF7" s="3805"/>
      <c r="AG7" s="52">
        <f t="shared" ref="AG7:AG13" si="7">IF(AF7="",0,AE7-AF7)</f>
        <v>0</v>
      </c>
      <c r="AH7" s="3798"/>
      <c r="AI7" s="3806"/>
      <c r="AJ7" s="3805"/>
      <c r="AK7" s="39"/>
      <c r="AL7" s="40"/>
      <c r="AM7" s="41"/>
      <c r="AN7" s="1224"/>
      <c r="AO7" s="3757" t="e">
        <f t="shared" ref="AO7:AO13" ca="1" si="8">SUMIF(INDIRECT("'"&amp;AN7&amp;"'"&amp;"!A:A"),"总价",INDIRECT("'"&amp;AN7&amp;"'"&amp;"!B:B"))</f>
        <v>#REF!</v>
      </c>
      <c r="AP7" s="3757">
        <f t="shared" ref="AP7:AP13" si="9">IF(C7="住宅",K7*L7,0)</f>
        <v>0</v>
      </c>
      <c r="AQ7" s="3757">
        <f t="shared" ref="AQ7:AQ13" si="10">ROUND($L$14*$N$14*S7/10000,0)</f>
        <v>0</v>
      </c>
      <c r="AR7" s="3757">
        <f t="shared" ref="AR7:AR13" si="11">ROUND($L$14*(1-$N$14)*S7/10000,0)</f>
        <v>0</v>
      </c>
      <c r="AS7" s="3757">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7">
        <f>SUMIF('数据-汇总表'!C$19:C$33,A8,'数据-汇总表'!E$19:E$33)</f>
        <v>0</v>
      </c>
      <c r="L8" s="3778"/>
      <c r="M8" s="3779">
        <f>ROUND(K8*L8/10000,0)</f>
        <v>0</v>
      </c>
      <c r="N8" s="3267"/>
      <c r="O8" s="3779" t="str">
        <f t="shared" si="3"/>
        <v>——</v>
      </c>
      <c r="P8" s="3609" t="str">
        <f t="shared" si="4"/>
        <v>——</v>
      </c>
      <c r="Q8" s="3268"/>
      <c r="R8" s="3793">
        <f ca="1">SUMIF('数据-汇总表'!C$19:C$33,A8,'数据-汇总表'!R$19:R$27)</f>
        <v>0</v>
      </c>
      <c r="S8" s="3757">
        <f>IF('数据-汇总表'!$I$17="按面积比例",SUMIF('数据-汇总表'!C$19:C$33,A8,'数据-汇总表'!K$19:K$33),SUMIF('数据-汇总表'!C$19:C$33,A8,'数据-汇总表'!N$19:N$33))</f>
        <v>0</v>
      </c>
      <c r="T8" s="3794">
        <f t="shared" si="5"/>
        <v>0</v>
      </c>
      <c r="U8" s="3799"/>
      <c r="V8" s="499"/>
      <c r="W8" s="499"/>
      <c r="X8" s="684"/>
      <c r="Y8" s="37"/>
      <c r="Z8" s="3803"/>
      <c r="AA8" s="35"/>
      <c r="AB8" s="35"/>
      <c r="AC8" s="684"/>
      <c r="AD8" s="38"/>
      <c r="AE8" s="685">
        <f t="shared" ca="1" si="6"/>
        <v>0</v>
      </c>
      <c r="AF8" s="3805"/>
      <c r="AG8" s="52">
        <f t="shared" si="7"/>
        <v>0</v>
      </c>
      <c r="AH8" s="3799"/>
      <c r="AI8" s="3806"/>
      <c r="AJ8" s="3805"/>
      <c r="AK8" s="500"/>
      <c r="AL8" s="501"/>
      <c r="AM8" s="502"/>
      <c r="AN8" s="1224"/>
      <c r="AO8" s="3757" t="e">
        <f t="shared" ca="1" si="8"/>
        <v>#REF!</v>
      </c>
      <c r="AP8" s="3757">
        <f t="shared" si="9"/>
        <v>0</v>
      </c>
      <c r="AQ8" s="3757">
        <f t="shared" si="10"/>
        <v>0</v>
      </c>
      <c r="AR8" s="3757">
        <f t="shared" si="11"/>
        <v>0</v>
      </c>
      <c r="AS8" s="3757">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7">
        <f>SUMIF('数据-汇总表'!C$19:C$33,A9,'数据-汇总表'!E$19:E$33)</f>
        <v>0</v>
      </c>
      <c r="L9" s="3778"/>
      <c r="M9" s="3779">
        <f t="shared" si="1"/>
        <v>0</v>
      </c>
      <c r="N9" s="3267"/>
      <c r="O9" s="3779" t="str">
        <f t="shared" si="3"/>
        <v>——</v>
      </c>
      <c r="P9" s="3609" t="str">
        <f t="shared" si="4"/>
        <v>——</v>
      </c>
      <c r="Q9" s="3269"/>
      <c r="R9" s="3793">
        <f ca="1">SUMIF('数据-汇总表'!C$19:C$33,A9,'数据-汇总表'!R$19:R$27)</f>
        <v>0</v>
      </c>
      <c r="S9" s="3757">
        <f>IF('数据-汇总表'!$I$17="按面积比例",SUMIF('数据-汇总表'!C$19:C$33,A9,'数据-汇总表'!K$19:K$33),SUMIF('数据-汇总表'!C$19:C$33,A9,'数据-汇总表'!N$19:N$33))</f>
        <v>0</v>
      </c>
      <c r="T9" s="3794">
        <f t="shared" si="5"/>
        <v>0</v>
      </c>
      <c r="U9" s="3798"/>
      <c r="V9" s="36"/>
      <c r="W9" s="36"/>
      <c r="X9" s="684"/>
      <c r="Y9" s="37"/>
      <c r="Z9" s="3803"/>
      <c r="AA9" s="35"/>
      <c r="AB9" s="35"/>
      <c r="AC9" s="684"/>
      <c r="AD9" s="38"/>
      <c r="AE9" s="685">
        <f t="shared" ca="1" si="6"/>
        <v>0</v>
      </c>
      <c r="AF9" s="3805"/>
      <c r="AG9" s="52">
        <f t="shared" si="7"/>
        <v>0</v>
      </c>
      <c r="AH9" s="3798"/>
      <c r="AI9" s="3806"/>
      <c r="AJ9" s="3805"/>
      <c r="AK9" s="39"/>
      <c r="AL9" s="40"/>
      <c r="AM9" s="41"/>
      <c r="AN9" s="1224"/>
      <c r="AO9" s="3757" t="e">
        <f t="shared" ca="1" si="8"/>
        <v>#REF!</v>
      </c>
      <c r="AP9" s="3757">
        <f t="shared" si="9"/>
        <v>0</v>
      </c>
      <c r="AQ9" s="3757">
        <f t="shared" si="10"/>
        <v>0</v>
      </c>
      <c r="AR9" s="3757">
        <f t="shared" si="11"/>
        <v>0</v>
      </c>
      <c r="AS9" s="3757">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7">
        <f>SUMIF('数据-汇总表'!C$19:C$33,A10,'数据-汇总表'!E$19:E$33)</f>
        <v>0</v>
      </c>
      <c r="L10" s="3778"/>
      <c r="M10" s="3779">
        <f t="shared" si="1"/>
        <v>0</v>
      </c>
      <c r="N10" s="3267"/>
      <c r="O10" s="3779" t="str">
        <f t="shared" si="3"/>
        <v>——</v>
      </c>
      <c r="P10" s="3609" t="str">
        <f t="shared" si="4"/>
        <v>——</v>
      </c>
      <c r="Q10" s="3269"/>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c r="Z10" s="3803"/>
      <c r="AA10" s="35"/>
      <c r="AB10" s="35"/>
      <c r="AC10" s="684"/>
      <c r="AD10" s="38"/>
      <c r="AE10" s="685">
        <f t="shared" ca="1" si="6"/>
        <v>0</v>
      </c>
      <c r="AF10" s="3805"/>
      <c r="AG10" s="52">
        <f t="shared" si="7"/>
        <v>0</v>
      </c>
      <c r="AH10" s="3798"/>
      <c r="AI10" s="3806"/>
      <c r="AJ10" s="3805"/>
      <c r="AK10" s="39"/>
      <c r="AL10" s="40"/>
      <c r="AM10" s="41"/>
      <c r="AN10" s="1224"/>
      <c r="AO10" s="3757" t="e">
        <f t="shared" ca="1" si="8"/>
        <v>#REF!</v>
      </c>
      <c r="AP10" s="3757">
        <f t="shared" si="9"/>
        <v>0</v>
      </c>
      <c r="AQ10" s="3757">
        <f t="shared" si="10"/>
        <v>0</v>
      </c>
      <c r="AR10" s="3757">
        <f t="shared" si="11"/>
        <v>0</v>
      </c>
      <c r="AS10" s="3757">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6"/>
        <v>0</v>
      </c>
      <c r="AF11" s="3805"/>
      <c r="AG11" s="52">
        <f t="shared" si="7"/>
        <v>0</v>
      </c>
      <c r="AH11" s="3798"/>
      <c r="AI11" s="3806"/>
      <c r="AJ11" s="3805"/>
      <c r="AK11" s="39"/>
      <c r="AL11" s="40"/>
      <c r="AM11" s="41"/>
      <c r="AN11" s="1224"/>
      <c r="AO11" s="3757" t="e">
        <f t="shared" ca="1" si="8"/>
        <v>#REF!</v>
      </c>
      <c r="AP11" s="3757">
        <f t="shared" si="9"/>
        <v>0</v>
      </c>
      <c r="AQ11" s="3757">
        <f t="shared" si="10"/>
        <v>0</v>
      </c>
      <c r="AR11" s="3757">
        <f t="shared" si="11"/>
        <v>0</v>
      </c>
      <c r="AS11" s="3757">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6"/>
        <v>0</v>
      </c>
      <c r="AF12" s="3805"/>
      <c r="AG12" s="52">
        <f t="shared" si="7"/>
        <v>0</v>
      </c>
      <c r="AH12" s="3798"/>
      <c r="AI12" s="3806"/>
      <c r="AJ12" s="3805"/>
      <c r="AK12" s="39"/>
      <c r="AL12" s="40"/>
      <c r="AM12" s="41"/>
      <c r="AN12" s="1224"/>
      <c r="AO12" s="3757" t="e">
        <f t="shared" ca="1" si="8"/>
        <v>#REF!</v>
      </c>
      <c r="AP12" s="3757">
        <f t="shared" si="9"/>
        <v>0</v>
      </c>
      <c r="AQ12" s="3757">
        <f t="shared" si="10"/>
        <v>0</v>
      </c>
      <c r="AR12" s="3757">
        <f t="shared" si="11"/>
        <v>0</v>
      </c>
      <c r="AS12" s="3757">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6"/>
        <v>0</v>
      </c>
      <c r="AF13" s="3805"/>
      <c r="AG13" s="52">
        <f t="shared" si="7"/>
        <v>0</v>
      </c>
      <c r="AH13" s="3798"/>
      <c r="AI13" s="3806"/>
      <c r="AJ13" s="3805"/>
      <c r="AK13" s="39"/>
      <c r="AL13" s="40"/>
      <c r="AM13" s="41"/>
      <c r="AN13" s="1224"/>
      <c r="AO13" s="3757" t="e">
        <f t="shared" ca="1" si="8"/>
        <v>#REF!</v>
      </c>
      <c r="AP13" s="3757">
        <f t="shared" si="9"/>
        <v>0</v>
      </c>
      <c r="AQ13" s="3757">
        <f t="shared" si="10"/>
        <v>0</v>
      </c>
      <c r="AR13" s="3757">
        <f t="shared" si="11"/>
        <v>0</v>
      </c>
      <c r="AS13" s="3757">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0.83199999999999996</v>
      </c>
      <c r="H16" s="3284">
        <f>ROUND(SUMPRODUCT(H6:H13,K6:K13)/SUMPRODUCT((H6:H13&gt;0)*(K6:K13)),3)</f>
        <v>0.05</v>
      </c>
      <c r="I16" s="3285"/>
      <c r="J16" s="3285"/>
      <c r="K16" s="3781">
        <f>SUM(K6:K15)</f>
        <v>119963.53</v>
      </c>
      <c r="L16" s="3782">
        <f>ROUND(M16*10000/SUM(K6:K14),0)</f>
        <v>6000</v>
      </c>
      <c r="M16" s="3782">
        <f>SUM(M6:M14)</f>
        <v>71978</v>
      </c>
      <c r="N16" s="3273">
        <f>ROUND(SUMPRODUCT(M6:M14,N6:N14)/M16,3)</f>
        <v>0.85</v>
      </c>
      <c r="O16" s="3782">
        <f>SUM(O6:O14)</f>
        <v>0</v>
      </c>
      <c r="P16" s="3782">
        <f>SUM(P6:P14)</f>
        <v>0</v>
      </c>
      <c r="Q16" s="3274">
        <f>ROUND(SUMPRODUCT(Q6:Q13,K6:K13)/SUMPRODUCT((Q6:Q13&gt;0)*(K6:K13)),2)</f>
        <v>0.2</v>
      </c>
      <c r="R16" s="3795">
        <f ca="1">SUM(R6:R13)</f>
        <v>24498.84</v>
      </c>
      <c r="S16" s="3796">
        <f>SUM(S6:S13)</f>
        <v>0</v>
      </c>
      <c r="T16" s="3797">
        <f>IF(SUMIF(T6:T13,"&lt;9E307")=M14,SUMIF(T6:T13,"&lt;9E307"),"有误，请检查")</f>
        <v>0</v>
      </c>
      <c r="U16" s="3802"/>
      <c r="V16" s="43"/>
      <c r="W16" s="43"/>
      <c r="X16" s="45"/>
      <c r="Y16" s="44"/>
      <c r="Z16" s="1925"/>
      <c r="AA16" s="43"/>
      <c r="AB16" s="43"/>
      <c r="AC16" s="45"/>
      <c r="AD16" s="45"/>
      <c r="AE16" s="3802"/>
      <c r="AF16" s="43"/>
      <c r="AG16" s="44"/>
      <c r="AH16" s="3802"/>
      <c r="AI16" s="1925"/>
      <c r="AJ16" s="1925"/>
      <c r="AK16" s="43"/>
      <c r="AL16" s="43"/>
      <c r="AM16" s="44"/>
      <c r="AN16" s="1937"/>
      <c r="AO16" s="3300"/>
      <c r="AP16" s="3300"/>
      <c r="AQ16" s="3300"/>
      <c r="AR16" s="3300"/>
      <c r="AS16" s="3757">
        <f>ROUND(SUMPRODUCT(AS6:AS13,K6:K13)/SUMPRODUCT((AS6:AS13&gt;0)*(K6:K13)),3)</f>
        <v>0.71399999999999997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7" t="s">
        <v>1194</v>
      </c>
      <c r="B19" s="3783">
        <v>0</v>
      </c>
      <c r="C19" s="3894" t="s">
        <v>2193</v>
      </c>
      <c r="D19" s="3890"/>
      <c r="E19" s="3891"/>
      <c r="F19" s="3891"/>
      <c r="G19" s="3891"/>
      <c r="H19" s="1927"/>
      <c r="I19" s="1927"/>
      <c r="J19" s="1927"/>
      <c r="K19" s="1938"/>
      <c r="L19" s="1938"/>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4">
        <v>3</v>
      </c>
      <c r="C20" s="3892" t="s">
        <v>3840</v>
      </c>
      <c r="D20" s="3890"/>
      <c r="E20" s="3891"/>
      <c r="F20" s="3891"/>
      <c r="G20" s="3891"/>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4">
        <v>3</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5">
        <f>B19+B20</f>
        <v>3</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5">
        <f>B19+B21</f>
        <v>3</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6">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7">
        <v>160</v>
      </c>
      <c r="C27" s="3937" t="s">
        <v>2194</v>
      </c>
      <c r="D27" s="3895"/>
      <c r="E27" s="3896"/>
      <c r="F27" s="3896"/>
      <c r="G27" s="3891"/>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8">
        <v>200</v>
      </c>
      <c r="C28" s="4083"/>
      <c r="D28" s="3895"/>
      <c r="E28" s="3896"/>
      <c r="F28" s="3896"/>
      <c r="G28" s="3891"/>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9">
        <f ca="1">成本法!C16</f>
        <v>2399</v>
      </c>
      <c r="C29" s="3938" t="s">
        <v>3839</v>
      </c>
      <c r="D29" s="3895"/>
      <c r="E29" s="3896"/>
      <c r="F29" s="3896"/>
      <c r="G29" s="3891"/>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90">
        <v>126</v>
      </c>
      <c r="C30" s="3943" t="s">
        <v>3967</v>
      </c>
      <c r="D30" s="3895"/>
      <c r="E30" s="3896"/>
      <c r="F30" s="3896"/>
      <c r="G30" s="3891"/>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5">
        <f>B30-B32</f>
        <v>126</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1">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20" t="s">
        <v>3804</v>
      </c>
      <c r="B33" s="3884">
        <f>I33</f>
        <v>0.05</v>
      </c>
      <c r="C33" s="3928" t="s">
        <v>3832</v>
      </c>
      <c r="D33" s="3890"/>
      <c r="E33" s="3891"/>
      <c r="F33" s="3891"/>
      <c r="G33" s="3891"/>
      <c r="H33" s="1927">
        <v>300</v>
      </c>
      <c r="I33" s="1927">
        <f>ROUND(H33*K16/10000/M16,2)</f>
        <v>0.05</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5">
        <v>0</v>
      </c>
      <c r="C34" s="3892" t="s">
        <v>3834</v>
      </c>
      <c r="D34" s="3897"/>
      <c r="E34" s="3893"/>
      <c r="F34" s="3891"/>
      <c r="G34" s="3891"/>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6">
        <v>280</v>
      </c>
      <c r="C35" s="3894" t="s">
        <v>3836</v>
      </c>
      <c r="D35" s="3895"/>
      <c r="E35" s="3896"/>
      <c r="F35" s="3896"/>
      <c r="G35" s="3891"/>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8" t="s">
        <v>3285</v>
      </c>
      <c r="B36" s="3286">
        <f>I36</f>
        <v>0.01</v>
      </c>
      <c r="C36" s="3929" t="s">
        <v>3835</v>
      </c>
      <c r="D36" s="3895"/>
      <c r="E36" s="3896"/>
      <c r="F36" s="3896"/>
      <c r="G36" s="3891"/>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9" t="s">
        <v>3286</v>
      </c>
      <c r="B37" s="3287"/>
      <c r="C37" s="3894" t="s">
        <v>3833</v>
      </c>
      <c r="D37" s="3890"/>
      <c r="E37" s="3891"/>
      <c r="F37" s="3891"/>
      <c r="G37" s="3891"/>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0.05</v>
      </c>
      <c r="C38" s="3892" t="s">
        <v>3261</v>
      </c>
      <c r="D38" s="3890"/>
      <c r="E38" s="3891"/>
      <c r="F38" s="3891"/>
      <c r="G38" s="3891"/>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0.03</v>
      </c>
      <c r="C39" s="3892" t="s">
        <v>3837</v>
      </c>
      <c r="D39" s="3890"/>
      <c r="E39" s="3891"/>
      <c r="F39" s="3891"/>
      <c r="G39" s="3891"/>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2200</v>
      </c>
      <c r="B41" s="3290">
        <f ca="1">IF(A41="利息：取LPR",存贷款利率!G1,存贷款利率!G1+C41)</f>
        <v>3.2500000000000001E-2</v>
      </c>
      <c r="C41" s="4084"/>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20" t="s">
        <v>3278</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2">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3">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2" t="s">
        <v>3262</v>
      </c>
      <c r="D45" s="3890"/>
      <c r="E45" s="3891"/>
      <c r="F45" s="3891"/>
      <c r="G45" s="3891"/>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8" t="s">
        <v>3841</v>
      </c>
      <c r="D46" s="3939"/>
      <c r="E46" s="3940"/>
      <c r="F46" s="3891"/>
      <c r="G46" s="3891"/>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8" t="s">
        <v>3842</v>
      </c>
      <c r="D47" s="3939"/>
      <c r="E47" s="3940"/>
      <c r="F47" s="3891"/>
      <c r="G47" s="3891"/>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c r="C48" s="3941" t="s">
        <v>2195</v>
      </c>
      <c r="D48" s="3939"/>
      <c r="E48" s="3940"/>
      <c r="F48" s="3891"/>
      <c r="G48" s="3891"/>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8" t="s">
        <v>3843</v>
      </c>
      <c r="D49" s="3939"/>
      <c r="E49" s="3940"/>
      <c r="F49" s="3891"/>
      <c r="G49" s="3891"/>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8" t="s">
        <v>3844</v>
      </c>
      <c r="D50" s="3939"/>
      <c r="E50" s="3940"/>
      <c r="F50" s="3891"/>
      <c r="G50" s="3891"/>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1">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80">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1.5</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t="s">
        <v>27</v>
      </c>
      <c r="C54" s="1938" t="s">
        <v>3845</v>
      </c>
      <c r="D54" s="3942" t="s">
        <v>3846</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6"/>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6"/>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6"/>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6"/>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6"/>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6">
        <v>1.5</v>
      </c>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6"/>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6"/>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6"/>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2"/>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4" type="noConversion"/>
  <dataValidations disablePrompts="1"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9" customFormat="1" ht="18.75" thickBot="1">
      <c r="A1" s="4420" t="s">
        <v>2185</v>
      </c>
      <c r="B1" s="4421"/>
      <c r="C1" s="4421"/>
      <c r="D1" s="4421"/>
      <c r="E1" s="4421"/>
      <c r="F1" s="4421"/>
      <c r="G1" s="442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2181</v>
      </c>
      <c r="D2" s="1228"/>
      <c r="E2" s="1800"/>
      <c r="F2" s="1803"/>
      <c r="G2" s="1802" t="s">
        <v>2182</v>
      </c>
      <c r="H2" s="521"/>
      <c r="I2" s="521"/>
      <c r="J2" s="521"/>
      <c r="K2" s="521"/>
      <c r="L2" s="521"/>
      <c r="M2" s="521"/>
      <c r="N2" s="521"/>
      <c r="O2" s="521"/>
      <c r="P2" s="521"/>
      <c r="Q2" s="521"/>
    </row>
    <row r="3" spans="1:29" ht="48">
      <c r="A3" s="1787" t="s">
        <v>2183</v>
      </c>
      <c r="B3" s="1804" t="s">
        <v>2154</v>
      </c>
      <c r="C3" s="4272" t="s">
        <v>4640</v>
      </c>
      <c r="D3" s="1805"/>
      <c r="E3" s="1788" t="s">
        <v>2183</v>
      </c>
      <c r="F3" s="1806" t="s">
        <v>2155</v>
      </c>
      <c r="G3" s="1807" t="s">
        <v>2184</v>
      </c>
      <c r="H3" s="521"/>
      <c r="I3" s="521"/>
      <c r="J3" s="521"/>
      <c r="K3" s="521"/>
      <c r="L3" s="521"/>
      <c r="M3" s="521"/>
      <c r="N3" s="521"/>
      <c r="O3" s="521"/>
      <c r="P3" s="521"/>
      <c r="Q3" s="521"/>
    </row>
    <row r="4" spans="1:29" ht="60">
      <c r="A4" s="1788"/>
      <c r="B4" s="206" t="s">
        <v>2156</v>
      </c>
      <c r="C4" s="4273" t="s">
        <v>4641</v>
      </c>
      <c r="D4" s="1805"/>
      <c r="E4" s="1809"/>
      <c r="F4" s="924" t="s">
        <v>2157</v>
      </c>
      <c r="G4" s="1810" t="s">
        <v>2158</v>
      </c>
      <c r="H4" s="521"/>
      <c r="I4" s="521"/>
      <c r="J4" s="521"/>
      <c r="K4" s="521"/>
      <c r="L4" s="521"/>
      <c r="M4" s="521"/>
      <c r="N4" s="521"/>
      <c r="O4" s="521"/>
      <c r="P4" s="521"/>
      <c r="Q4" s="521"/>
    </row>
    <row r="5" spans="1:29" ht="36.75">
      <c r="A5" s="1788"/>
      <c r="B5" s="206" t="s">
        <v>2159</v>
      </c>
      <c r="C5" s="1808" t="s">
        <v>2160</v>
      </c>
      <c r="D5" s="1805"/>
      <c r="E5" s="1809"/>
      <c r="F5" s="206" t="s">
        <v>2161</v>
      </c>
      <c r="G5" s="1810" t="s">
        <v>2162</v>
      </c>
      <c r="H5" s="521"/>
      <c r="I5" s="521"/>
      <c r="J5" s="521"/>
      <c r="K5" s="521"/>
      <c r="L5" s="521"/>
      <c r="M5" s="521"/>
      <c r="N5" s="521"/>
      <c r="O5" s="521"/>
      <c r="P5" s="521"/>
      <c r="Q5" s="521"/>
    </row>
    <row r="6" spans="1:29" ht="72">
      <c r="A6" s="1788"/>
      <c r="B6" s="206" t="s">
        <v>2163</v>
      </c>
      <c r="C6" s="4274" t="s">
        <v>4642</v>
      </c>
      <c r="D6" s="1805"/>
      <c r="E6" s="1809"/>
      <c r="F6" s="206" t="s">
        <v>2164</v>
      </c>
      <c r="G6" s="1810" t="s">
        <v>2165</v>
      </c>
      <c r="H6" s="521"/>
      <c r="I6" s="521"/>
      <c r="J6" s="521"/>
      <c r="K6" s="521"/>
      <c r="L6" s="521"/>
      <c r="M6" s="521"/>
      <c r="N6" s="521"/>
      <c r="O6" s="521"/>
      <c r="P6" s="521"/>
      <c r="Q6" s="521"/>
    </row>
    <row r="7" spans="1:29" ht="108.75" thickBot="1">
      <c r="A7" s="1788"/>
      <c r="B7" s="206" t="s">
        <v>2161</v>
      </c>
      <c r="C7" s="4274" t="s">
        <v>4643</v>
      </c>
      <c r="D7" s="1785"/>
      <c r="E7" s="1811"/>
      <c r="F7" s="1812" t="s">
        <v>2166</v>
      </c>
      <c r="G7" s="1813" t="s">
        <v>2167</v>
      </c>
      <c r="H7" s="521"/>
      <c r="I7" s="521"/>
      <c r="J7" s="521"/>
      <c r="K7" s="521"/>
      <c r="L7" s="521"/>
      <c r="M7" s="521"/>
      <c r="N7" s="521"/>
      <c r="O7" s="521"/>
      <c r="P7" s="521"/>
      <c r="Q7" s="521"/>
    </row>
    <row r="8" spans="1:29">
      <c r="A8" s="1788"/>
      <c r="B8" s="206" t="s">
        <v>2164</v>
      </c>
      <c r="C8" s="4274" t="s">
        <v>4645</v>
      </c>
      <c r="D8" s="1785"/>
      <c r="E8" s="1785"/>
      <c r="F8" s="47"/>
      <c r="G8" s="47"/>
      <c r="H8" s="521"/>
      <c r="I8" s="521"/>
      <c r="J8" s="521"/>
      <c r="K8" s="521"/>
      <c r="L8" s="521"/>
      <c r="M8" s="521"/>
      <c r="N8" s="521"/>
      <c r="O8" s="521"/>
      <c r="P8" s="521"/>
      <c r="Q8" s="521"/>
    </row>
    <row r="9" spans="1:29" ht="60">
      <c r="A9" s="1788"/>
      <c r="B9" s="206" t="s">
        <v>2168</v>
      </c>
      <c r="C9" s="4273" t="s">
        <v>4644</v>
      </c>
      <c r="D9" s="1805"/>
      <c r="E9" s="1785"/>
      <c r="F9" s="47"/>
      <c r="G9" s="47"/>
      <c r="H9" s="521"/>
      <c r="I9" s="521"/>
      <c r="J9" s="521"/>
      <c r="K9" s="521"/>
      <c r="L9" s="521"/>
      <c r="M9" s="521"/>
      <c r="N9" s="521"/>
      <c r="O9" s="521"/>
      <c r="P9" s="521"/>
      <c r="Q9" s="521"/>
    </row>
    <row r="10" spans="1:29" ht="15" thickBot="1">
      <c r="A10" s="1789"/>
      <c r="B10" s="1814" t="s">
        <v>2169</v>
      </c>
      <c r="C10" s="1815"/>
      <c r="D10" s="1805"/>
      <c r="E10" s="1805"/>
      <c r="F10" s="47"/>
      <c r="G10" s="47"/>
      <c r="J10" s="1817"/>
      <c r="M10" s="1817"/>
      <c r="P10" s="1817"/>
      <c r="R10" s="1816"/>
    </row>
    <row r="11" spans="1:29">
      <c r="A11" s="1818"/>
      <c r="B11" s="1785"/>
      <c r="C11" s="1805"/>
      <c r="D11" s="1805"/>
      <c r="E11" s="1805"/>
      <c r="F11" s="1785"/>
      <c r="G11" s="1785"/>
      <c r="J11" s="1817"/>
      <c r="M11" s="1817"/>
      <c r="P11" s="1817"/>
      <c r="R11" s="1816"/>
    </row>
    <row r="12" spans="1:29" s="1799" customFormat="1" ht="18">
      <c r="A12" s="1818"/>
      <c r="B12" s="1785"/>
      <c r="C12" s="1805"/>
      <c r="D12" s="1819"/>
      <c r="E12" s="1805"/>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75" thickBot="1">
      <c r="A13" s="1823" t="s">
        <v>2186</v>
      </c>
      <c r="B13" s="1819"/>
      <c r="C13" s="1819"/>
      <c r="D13" s="1818"/>
      <c r="E13" s="1819"/>
      <c r="F13" s="1819"/>
      <c r="G13" s="1819"/>
    </row>
    <row r="14" spans="1:29" ht="15" thickBot="1">
      <c r="A14" s="1824"/>
      <c r="B14" s="1824"/>
      <c r="C14" s="1825" t="s">
        <v>2170</v>
      </c>
      <c r="D14" s="1805"/>
      <c r="E14" s="1826"/>
      <c r="F14" s="1826"/>
      <c r="G14" s="1802" t="s">
        <v>2171</v>
      </c>
    </row>
    <row r="15" spans="1:29" ht="51">
      <c r="A15" s="1790" t="s">
        <v>2172</v>
      </c>
      <c r="B15" s="1827" t="s">
        <v>2154</v>
      </c>
      <c r="C15" s="1828" t="str">
        <f>C3</f>
        <v>估价对象周边居住用地比例、居住小区规模和社区发展完善程度，综合评价居住社区成熟度一般</v>
      </c>
      <c r="D15" s="1805"/>
      <c r="E15" s="1791" t="s">
        <v>2173</v>
      </c>
      <c r="F15" s="1827" t="s">
        <v>2174</v>
      </c>
      <c r="G15" s="1829" t="str">
        <f>G3</f>
        <v>估价对象位于XX开发区，园区建设成熟度XX，产业集聚程度XX</v>
      </c>
    </row>
    <row r="16" spans="1:29" ht="63.75">
      <c r="A16" s="1792"/>
      <c r="B16" s="1830" t="s">
        <v>2156</v>
      </c>
      <c r="C16" s="1831" t="str">
        <f>C4</f>
        <v>估价对象周边3公里范围有华冠购物中心、国泰良辰百货等购物中心及社区配套商业用房，人流量较大，集中程度较好，商业繁华度较好。</v>
      </c>
      <c r="D16" s="1805"/>
      <c r="E16" s="1793"/>
      <c r="F16" s="1832" t="s">
        <v>2157</v>
      </c>
      <c r="G16" s="1833" t="str">
        <f>G4</f>
        <v>估价对象周边道路状况、公共交通通达情况、停车便捷程度，综合评价交通便捷度较好</v>
      </c>
    </row>
    <row r="17" spans="1:17" ht="38.25">
      <c r="A17" s="1792"/>
      <c r="B17" s="1830" t="s">
        <v>2159</v>
      </c>
      <c r="C17" s="1831" t="str">
        <f>C5</f>
        <v>估价对象位于XX商圈，周边办公楼项目较多，入驻率高，办公集聚程度较好</v>
      </c>
      <c r="D17" s="1785"/>
      <c r="E17" s="1793"/>
      <c r="F17" s="1832" t="s">
        <v>2175</v>
      </c>
      <c r="G17" s="1834"/>
    </row>
    <row r="18" spans="1:17" ht="76.5">
      <c r="A18" s="1792"/>
      <c r="B18" s="1832" t="s">
        <v>2163</v>
      </c>
      <c r="C18" s="1833" t="str">
        <f>C6</f>
        <v>估价对象周边有多条城市主次干道通过，路网密集程度较好，道路通达程度较好。周边有952路、953路、F33路、F37路、F85路等多条公交线路，综合评价交通便捷度较好。</v>
      </c>
      <c r="D18" s="1785"/>
      <c r="E18" s="1793"/>
      <c r="F18" s="1832" t="s">
        <v>2166</v>
      </c>
      <c r="G18" s="1833" t="str">
        <f>G7</f>
        <v>该园区内是否有污染型企业，绿化情况，卫生条件，整体环境状况判断</v>
      </c>
    </row>
    <row r="19" spans="1:17" ht="25.5">
      <c r="A19" s="1792"/>
      <c r="B19" s="1832" t="s">
        <v>2176</v>
      </c>
      <c r="C19" s="1834"/>
      <c r="D19" s="1805"/>
      <c r="E19" s="1793"/>
      <c r="F19" s="206" t="s">
        <v>2161</v>
      </c>
      <c r="G19" s="1833" t="str">
        <f>G5</f>
        <v>估价对象所在区域公共配套设施齐备情况</v>
      </c>
    </row>
    <row r="20" spans="1:17" ht="63.75">
      <c r="A20" s="1792"/>
      <c r="B20" s="1832" t="s">
        <v>2177</v>
      </c>
      <c r="C20" s="1831" t="str">
        <f>C9</f>
        <v>估价对象周边有房山人民公园、北潞园健身公园等绿化景观，自然环境较好；有房山区良乡体育中心等人文场所，人文环境较好；综合评价环境状况较好。</v>
      </c>
      <c r="D20" s="1785"/>
      <c r="E20" s="1793"/>
      <c r="F20" s="206" t="s">
        <v>2164</v>
      </c>
      <c r="G20" s="1833" t="str">
        <f>G6</f>
        <v>估价对象所在区域基础设施水平</v>
      </c>
    </row>
    <row r="21" spans="1:17" ht="114.75">
      <c r="A21" s="1792"/>
      <c r="B21" s="206" t="s">
        <v>2161</v>
      </c>
      <c r="C21" s="1833" t="str">
        <f>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1" s="1805"/>
      <c r="E21" s="1793"/>
      <c r="F21" s="1832" t="s">
        <v>2178</v>
      </c>
      <c r="G21" s="1835"/>
    </row>
    <row r="22" spans="1:17" ht="13.5" customHeight="1">
      <c r="A22" s="1792"/>
      <c r="B22" s="206" t="s">
        <v>2164</v>
      </c>
      <c r="C22" s="1833" t="str">
        <f>C8</f>
        <v>七通</v>
      </c>
      <c r="D22" s="1805"/>
      <c r="E22" s="1793"/>
      <c r="F22" s="1832" t="s">
        <v>2169</v>
      </c>
      <c r="G22" s="1834"/>
    </row>
    <row r="23" spans="1:17" s="521" customFormat="1" ht="15" thickBot="1">
      <c r="A23" s="1792"/>
      <c r="B23" s="1832" t="s">
        <v>2178</v>
      </c>
      <c r="C23" s="1835"/>
      <c r="D23" s="1245"/>
      <c r="E23" s="1794"/>
      <c r="F23" s="1836" t="s">
        <v>2179</v>
      </c>
      <c r="G23" s="1837"/>
      <c r="H23" s="1816"/>
      <c r="I23" s="1816"/>
      <c r="J23" s="1816"/>
      <c r="K23" s="1816"/>
      <c r="L23" s="1816"/>
      <c r="M23" s="1816"/>
      <c r="N23" s="1816"/>
      <c r="O23" s="1816"/>
      <c r="P23" s="1816"/>
      <c r="Q23" s="1816"/>
    </row>
    <row r="24" spans="1:17" s="521" customFormat="1" ht="15" thickBot="1">
      <c r="A24" s="1795"/>
      <c r="B24" s="1836" t="s">
        <v>2180</v>
      </c>
      <c r="C24" s="1838">
        <f>C10</f>
        <v>0</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119963.53</v>
      </c>
      <c r="C1" s="1948"/>
      <c r="D1" s="1948"/>
      <c r="E1" s="1948"/>
      <c r="F1" s="1948"/>
      <c r="G1" s="1949"/>
      <c r="H1" s="1949"/>
      <c r="I1" s="1949"/>
      <c r="J1" s="1949"/>
      <c r="K1" s="1949"/>
    </row>
    <row r="2" spans="1:11" ht="16.5">
      <c r="A2" s="1839" t="s">
        <v>641</v>
      </c>
      <c r="B2" s="1839">
        <f>SUM(C14:C23)</f>
        <v>24498.84</v>
      </c>
      <c r="C2" s="1948"/>
      <c r="D2" s="1948"/>
      <c r="E2" s="1948"/>
      <c r="F2" s="1948"/>
      <c r="G2" s="1949"/>
      <c r="H2" s="1949"/>
      <c r="I2" s="1949"/>
      <c r="J2" s="1949"/>
      <c r="K2" s="1949"/>
    </row>
    <row r="3" spans="1:11" ht="16.5">
      <c r="A3" s="1839" t="s">
        <v>650</v>
      </c>
      <c r="B3" s="1841">
        <f>项目基本情况!D3</f>
        <v>46126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260382</v>
      </c>
      <c r="C5" s="1839">
        <f ca="1">ROUND(B5*10000/$B$1,0)</f>
        <v>21705</v>
      </c>
      <c r="D5" s="1839">
        <f ca="1">ROUND(B5*10000/$B$2,0)</f>
        <v>106283</v>
      </c>
      <c r="E5" s="1948"/>
      <c r="F5" s="1949"/>
      <c r="G5" s="1949"/>
      <c r="H5" s="1949"/>
      <c r="I5" s="1949"/>
      <c r="J5" s="1949"/>
      <c r="K5" s="1949"/>
    </row>
    <row r="6" spans="1:11" ht="16.5">
      <c r="A6" s="1839" t="s">
        <v>644</v>
      </c>
      <c r="B6" s="1839">
        <f ca="1">SUM(G14:G23)</f>
        <v>260382</v>
      </c>
      <c r="C6" s="1839">
        <f ca="1">ROUND(B6*10000/$B$1,0)</f>
        <v>21705</v>
      </c>
      <c r="D6" s="1839">
        <f ca="1">ROUND(B6*10000/$B$2,0)</f>
        <v>106283</v>
      </c>
      <c r="E6" s="1948"/>
      <c r="F6" s="1949"/>
      <c r="G6" s="1949"/>
      <c r="H6" s="1949"/>
      <c r="I6" s="1949"/>
      <c r="J6" s="1949"/>
      <c r="K6" s="1949"/>
    </row>
    <row r="7" spans="1:11" ht="16.5">
      <c r="A7" s="1839" t="s">
        <v>652</v>
      </c>
      <c r="B7" s="1839">
        <f>SUM(H14:H23)</f>
        <v>0</v>
      </c>
      <c r="C7" s="1839" t="str">
        <f>IF(B7=H14,结果表!H110,ROUND(B7*10000/$B$1,0))</f>
        <v>——</v>
      </c>
      <c r="D7" s="1839">
        <f>ROUND(B7*10000/$B$2,0)</f>
        <v>0</v>
      </c>
      <c r="E7" s="1948"/>
      <c r="F7" s="1949"/>
      <c r="G7" s="1949"/>
      <c r="H7" s="1949"/>
      <c r="I7" s="1949"/>
      <c r="J7" s="1949"/>
      <c r="K7" s="1949"/>
    </row>
    <row r="8" spans="1:11" ht="16.5">
      <c r="A8" s="1839" t="s">
        <v>581</v>
      </c>
      <c r="B8" s="1839">
        <f>SUM(I14:I23)</f>
        <v>0</v>
      </c>
      <c r="C8" s="1839" t="str">
        <f>IF(B8=I14,结果表!H112,ROUND(B8*10000/$B$1,0))</f>
        <v>——</v>
      </c>
      <c r="D8" s="1839">
        <f>ROUND(B8*10000/$B$2,0)</f>
        <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3235</v>
      </c>
      <c r="D10" s="1839" t="s">
        <v>3236</v>
      </c>
      <c r="E10" s="3598"/>
      <c r="F10" s="2464" t="s">
        <v>3237</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119963.53</v>
      </c>
      <c r="C14" s="3595">
        <f>'数据-汇总表'!D3</f>
        <v>24498.84</v>
      </c>
      <c r="D14" s="3595">
        <f ca="1">结果表!G19</f>
        <v>260382</v>
      </c>
      <c r="E14" s="3595">
        <f ca="1">ROUND(D14*10000/B14,0)</f>
        <v>21705</v>
      </c>
      <c r="F14" s="3595">
        <f ca="1">ROUND(D14*10000/C14,0)</f>
        <v>106283</v>
      </c>
      <c r="G14" s="3595">
        <f ca="1">D14</f>
        <v>260382</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21" sqref="I21"/>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76" t="str">
        <f>项目基本情况!S2</f>
        <v>北京市房地产</v>
      </c>
      <c r="B2" s="4477"/>
      <c r="C2" s="4477"/>
      <c r="D2" s="4477"/>
      <c r="E2" s="4477"/>
      <c r="F2" s="4477"/>
      <c r="G2" s="4477"/>
      <c r="H2" s="4477"/>
      <c r="I2" s="4478"/>
    </row>
    <row r="3" spans="1:12" ht="12.75">
      <c r="A3" s="4480" t="s">
        <v>1242</v>
      </c>
      <c r="B3" s="4481"/>
      <c r="C3" s="4481"/>
      <c r="D3" s="4481"/>
      <c r="E3" s="4481"/>
      <c r="F3" s="4481"/>
      <c r="G3" s="4481"/>
      <c r="H3" s="4481"/>
      <c r="I3" s="4481"/>
    </row>
    <row r="4" spans="1:12" ht="14.25">
      <c r="A4" s="1255" t="s">
        <v>1243</v>
      </c>
      <c r="B4" s="1256" t="s">
        <v>1244</v>
      </c>
      <c r="C4" s="3519" t="s">
        <v>4158</v>
      </c>
      <c r="D4" s="3519" t="s">
        <v>4159</v>
      </c>
      <c r="E4" s="4485" t="s">
        <v>1245</v>
      </c>
      <c r="F4" s="4486"/>
      <c r="G4" s="4486"/>
      <c r="H4" s="4486"/>
      <c r="I4" s="4487"/>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68" t="s">
        <v>1246</v>
      </c>
      <c r="B5" s="4446">
        <v>25</v>
      </c>
      <c r="C5" s="4482"/>
      <c r="D5" s="4479"/>
      <c r="E5" s="49" t="s">
        <v>1247</v>
      </c>
      <c r="F5" s="1257"/>
      <c r="G5" s="1257"/>
      <c r="H5" s="1257"/>
      <c r="I5" s="924"/>
    </row>
    <row r="6" spans="1:12" ht="12.75">
      <c r="A6" s="4468"/>
      <c r="B6" s="4446"/>
      <c r="C6" s="4484"/>
      <c r="D6" s="4479"/>
      <c r="E6" s="49" t="s">
        <v>1248</v>
      </c>
      <c r="F6" s="1257"/>
      <c r="G6" s="1257"/>
      <c r="H6" s="1257"/>
      <c r="I6" s="924"/>
    </row>
    <row r="7" spans="1:12" ht="12.75">
      <c r="A7" s="4468"/>
      <c r="B7" s="4446"/>
      <c r="C7" s="4483"/>
      <c r="D7" s="4479"/>
      <c r="E7" s="49" t="s">
        <v>1249</v>
      </c>
      <c r="F7" s="1257"/>
      <c r="G7" s="1257"/>
      <c r="H7" s="1257"/>
      <c r="I7" s="924"/>
    </row>
    <row r="8" spans="1:12" ht="12.75">
      <c r="A8" s="4468" t="s">
        <v>1250</v>
      </c>
      <c r="B8" s="4446">
        <v>15</v>
      </c>
      <c r="C8" s="4482"/>
      <c r="D8" s="4479"/>
      <c r="E8" s="49" t="s">
        <v>1251</v>
      </c>
      <c r="F8" s="1257"/>
      <c r="G8" s="1257"/>
      <c r="H8" s="1257"/>
      <c r="I8" s="924"/>
    </row>
    <row r="9" spans="1:12" ht="12.75">
      <c r="A9" s="4468"/>
      <c r="B9" s="4446"/>
      <c r="C9" s="4483"/>
      <c r="D9" s="4479"/>
      <c r="E9" s="49" t="s">
        <v>1252</v>
      </c>
      <c r="F9" s="1257"/>
      <c r="G9" s="1257"/>
      <c r="H9" s="1257"/>
      <c r="I9" s="924"/>
    </row>
    <row r="10" spans="1:12" ht="12.75">
      <c r="A10" s="4468" t="s">
        <v>1253</v>
      </c>
      <c r="B10" s="4446">
        <v>15</v>
      </c>
      <c r="C10" s="4482"/>
      <c r="D10" s="4479"/>
      <c r="E10" s="49" t="s">
        <v>1254</v>
      </c>
      <c r="F10" s="1257"/>
      <c r="G10" s="1257"/>
      <c r="H10" s="1257"/>
      <c r="I10" s="924"/>
    </row>
    <row r="11" spans="1:12" ht="12.75">
      <c r="A11" s="4468"/>
      <c r="B11" s="4446"/>
      <c r="C11" s="4483"/>
      <c r="D11" s="4479"/>
      <c r="E11" s="49" t="s">
        <v>1255</v>
      </c>
      <c r="F11" s="1257"/>
      <c r="G11" s="1257"/>
      <c r="H11" s="1257"/>
      <c r="I11" s="924"/>
    </row>
    <row r="12" spans="1:12" ht="12.75">
      <c r="A12" s="4468" t="s">
        <v>1256</v>
      </c>
      <c r="B12" s="4446">
        <v>15</v>
      </c>
      <c r="C12" s="4482"/>
      <c r="D12" s="4479"/>
      <c r="E12" s="49" t="s">
        <v>1257</v>
      </c>
      <c r="F12" s="1257"/>
      <c r="G12" s="1257"/>
      <c r="H12" s="1257"/>
      <c r="I12" s="924"/>
    </row>
    <row r="13" spans="1:12" ht="12.75">
      <c r="A13" s="4468"/>
      <c r="B13" s="4446"/>
      <c r="C13" s="4483"/>
      <c r="D13" s="4479"/>
      <c r="E13" s="49" t="s">
        <v>1258</v>
      </c>
      <c r="F13" s="1257"/>
      <c r="G13" s="1257"/>
      <c r="H13" s="1257"/>
      <c r="I13" s="924"/>
    </row>
    <row r="14" spans="1:12" ht="12.75">
      <c r="A14" s="4468" t="s">
        <v>1259</v>
      </c>
      <c r="B14" s="4446">
        <v>30</v>
      </c>
      <c r="C14" s="4482">
        <v>5</v>
      </c>
      <c r="D14" s="4479">
        <v>5</v>
      </c>
      <c r="E14" s="49" t="s">
        <v>1260</v>
      </c>
      <c r="F14" s="1257"/>
      <c r="G14" s="1257"/>
      <c r="H14" s="1257"/>
      <c r="I14" s="924"/>
    </row>
    <row r="15" spans="1:12" ht="12.75">
      <c r="A15" s="4468"/>
      <c r="B15" s="4446"/>
      <c r="C15" s="4484"/>
      <c r="D15" s="4479"/>
      <c r="E15" s="49" t="s">
        <v>1261</v>
      </c>
      <c r="F15" s="1257"/>
      <c r="G15" s="1257"/>
      <c r="H15" s="1257"/>
      <c r="I15" s="924"/>
    </row>
    <row r="16" spans="1:12" ht="12.75">
      <c r="A16" s="4468"/>
      <c r="B16" s="4446"/>
      <c r="C16" s="4483"/>
      <c r="D16" s="4479"/>
      <c r="E16" s="49" t="s">
        <v>1262</v>
      </c>
      <c r="F16" s="1257"/>
      <c r="G16" s="1257"/>
      <c r="H16" s="1257"/>
      <c r="I16" s="924"/>
    </row>
    <row r="17" spans="1:36" ht="15">
      <c r="A17" s="1258" t="s">
        <v>1263</v>
      </c>
      <c r="B17" s="3518"/>
      <c r="C17" s="3600">
        <f>SUM(C5:C16)</f>
        <v>5</v>
      </c>
      <c r="D17" s="3600">
        <f>SUM(D5:D16)</f>
        <v>5</v>
      </c>
      <c r="E17" s="47"/>
      <c r="F17" s="47"/>
      <c r="G17" s="47"/>
      <c r="H17" s="47"/>
      <c r="I17" s="47"/>
      <c r="K17" s="186"/>
      <c r="L17" s="186" t="s">
        <v>1264</v>
      </c>
      <c r="M17" s="186" t="s">
        <v>1265</v>
      </c>
    </row>
    <row r="18" spans="1:36" ht="31.9" customHeight="1" thickBot="1">
      <c r="A18" s="1259" t="s">
        <v>1266</v>
      </c>
      <c r="B18" s="1182"/>
      <c r="C18" s="3601">
        <f>ROUND(C17/SUM(C17:D17),2)</f>
        <v>0.5</v>
      </c>
      <c r="D18" s="3601">
        <f>1-C18</f>
        <v>0.5</v>
      </c>
      <c r="E18" s="4507" t="s">
        <v>2033</v>
      </c>
      <c r="F18" s="4508"/>
      <c r="G18" s="4508"/>
      <c r="H18" s="4508"/>
      <c r="I18" s="4508"/>
      <c r="J18" s="4320">
        <v>45317</v>
      </c>
      <c r="K18" s="186" t="s">
        <v>1267</v>
      </c>
      <c r="L18" s="2647">
        <f>IF(C1="",'数据-汇总表'!E3,SUMIF(项目类型,C1,'数据-汇总表'!E17:E26)+SUMIF(项目类型,C1,'数据-汇总表'!I17:I26))</f>
        <v>119963.53</v>
      </c>
      <c r="M18" s="2647">
        <f>IF(C1="",'数据-汇总表'!E3,SUMIF(项目类型,C1,'数据-汇总表'!E17:E26))</f>
        <v>119963.53</v>
      </c>
    </row>
    <row r="19" spans="1:36" ht="15">
      <c r="A19" s="1260" t="s">
        <v>1268</v>
      </c>
      <c r="B19" s="1261" t="s">
        <v>1269</v>
      </c>
      <c r="C19" s="3602">
        <f ca="1">SUMIF(INDIRECT("'"&amp;C4&amp;"'"&amp;"!A:A"),结果表!B19,INDIRECT("'"&amp;C4&amp;"'"&amp;"!B:B"))</f>
        <v>260462</v>
      </c>
      <c r="D19" s="3603">
        <f ca="1">SUMIF(INDIRECT("'"&amp;D4&amp;"'"&amp;"!A:A"),结果表!B19,INDIRECT("'"&amp;D4&amp;"'"&amp;"!B:B"))</f>
        <v>260302</v>
      </c>
      <c r="E19" s="1260" t="s">
        <v>1270</v>
      </c>
      <c r="F19" s="1261" t="s">
        <v>1269</v>
      </c>
      <c r="G19" s="3608">
        <f ca="1">ROUND(C19*$C$18+D19*$D$18,0)</f>
        <v>260382</v>
      </c>
      <c r="H19" s="1262" t="s">
        <v>1271</v>
      </c>
      <c r="I19" s="47"/>
      <c r="J19" s="493">
        <v>265835</v>
      </c>
      <c r="K19" s="186" t="s">
        <v>1272</v>
      </c>
      <c r="L19" s="2647">
        <f>IF(C1="",'数据-汇总表'!D3,SUMIF(项目类型,C1,'数据-汇总表'!D17:D26)+SUMIF(项目类型,C1,'数据-汇总表'!H17:H27))</f>
        <v>24498.84</v>
      </c>
      <c r="M19" s="2647">
        <f>IF(C1="",'数据-汇总表'!D3,SUMIF(项目类型,C1,'数据-汇总表'!D17:D26))</f>
        <v>24498.84</v>
      </c>
    </row>
    <row r="20" spans="1:36" ht="15">
      <c r="A20" s="1263"/>
      <c r="B20" s="25" t="s">
        <v>1273</v>
      </c>
      <c r="C20" s="3604">
        <f ca="1">SUMIF(INDIRECT("'"&amp;C4&amp;"'"&amp;"!A:A"),结果表!B20,INDIRECT("'"&amp;C4&amp;"'"&amp;"!B:B"))</f>
        <v>21712</v>
      </c>
      <c r="D20" s="3605">
        <f ca="1">SUMIF(INDIRECT("'"&amp;D4&amp;"'"&amp;"!A:A"),结果表!B20,INDIRECT("'"&amp;D4&amp;"'"&amp;"!B:B"))</f>
        <v>21698</v>
      </c>
      <c r="E20" s="1263"/>
      <c r="F20" s="25" t="s">
        <v>1273</v>
      </c>
      <c r="G20" s="3609">
        <f ca="1">ROUND(C20*$C$18+D20*$D$18,0)</f>
        <v>21705</v>
      </c>
      <c r="H20" s="527" t="s">
        <v>1274</v>
      </c>
      <c r="I20" s="47"/>
      <c r="J20" s="493">
        <f ca="1">ROUND(J19/G19-1,2)</f>
        <v>0.02</v>
      </c>
    </row>
    <row r="21" spans="1:36" ht="15" customHeight="1" thickBot="1">
      <c r="A21" s="312"/>
      <c r="B21" s="3366" t="s">
        <v>3620</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7">
        <f ca="1">IF(C19&lt;D19,D19/C19-1,C19/D19-1)</f>
        <v>6.1467065178133495E-4</v>
      </c>
      <c r="E22" s="3357"/>
      <c r="F22" s="3359"/>
      <c r="G22" s="3610">
        <f ca="1">ROUND(G19/('数据-汇总表'!D3/666.67),0)</f>
        <v>7086</v>
      </c>
      <c r="H22" s="3358" t="s">
        <v>3618</v>
      </c>
      <c r="I22" s="47"/>
    </row>
    <row r="23" spans="1:36" ht="13.5" thickBot="1">
      <c r="A23" s="464"/>
      <c r="B23" s="464"/>
      <c r="C23" s="464"/>
      <c r="D23" s="464"/>
      <c r="E23" s="47"/>
      <c r="F23" s="47"/>
      <c r="G23" s="47"/>
      <c r="H23" s="47"/>
      <c r="I23" s="47"/>
    </row>
    <row r="24" spans="1:36" ht="14.25">
      <c r="A24" s="4453" t="s">
        <v>1277</v>
      </c>
      <c r="B24" s="1261" t="s">
        <v>1269</v>
      </c>
      <c r="C24" s="3608">
        <f>IF(B30=0,0,D30)</f>
        <v>0</v>
      </c>
      <c r="D24" s="3611"/>
      <c r="E24" s="47"/>
      <c r="F24" s="47"/>
      <c r="G24" s="47"/>
      <c r="H24" s="47"/>
      <c r="I24" s="47"/>
    </row>
    <row r="25" spans="1:36" ht="14.25">
      <c r="A25" s="4454"/>
      <c r="B25" s="3367" t="s">
        <v>3621</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5" t="s">
        <v>2034</v>
      </c>
      <c r="F30" s="47"/>
      <c r="G30" s="47"/>
      <c r="H30" s="47"/>
      <c r="I30" s="47"/>
    </row>
    <row r="31" spans="1:36" s="1691" customFormat="1" ht="26.45" customHeight="1" thickTop="1" thickBot="1">
      <c r="A31" s="1686"/>
      <c r="B31" s="1687"/>
      <c r="C31" s="1687"/>
      <c r="D31" s="1687"/>
      <c r="E31" s="1687"/>
      <c r="F31" s="1687"/>
      <c r="G31" s="1687"/>
      <c r="H31" s="1687"/>
      <c r="I31" s="1688" t="s">
        <v>2035</v>
      </c>
      <c r="J31" s="1950"/>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16">
        <f ca="1">IF(D32="总价",G19-C24,G20-C25)</f>
        <v>260382</v>
      </c>
      <c r="D32" s="1267" t="s">
        <v>4160</v>
      </c>
      <c r="E32" s="47"/>
      <c r="F32" s="47"/>
      <c r="G32" s="47"/>
      <c r="H32" s="47"/>
      <c r="I32" s="47"/>
    </row>
    <row r="33" spans="1:19" ht="15">
      <c r="A33" s="516" t="s">
        <v>1284</v>
      </c>
      <c r="B33" s="49"/>
      <c r="C33" s="1268" t="s">
        <v>9872</v>
      </c>
      <c r="D33" s="1269" t="s">
        <v>4158</v>
      </c>
      <c r="E33" s="1270" t="s">
        <v>1285</v>
      </c>
      <c r="F33" s="1271" t="str">
        <f>IF(D32="楼面单价","取值（单价）","取值（总价）")</f>
        <v>取值（总价）</v>
      </c>
      <c r="G33" s="47"/>
      <c r="H33" s="47"/>
      <c r="I33" s="47"/>
    </row>
    <row r="34" spans="1:19" ht="15">
      <c r="A34" s="1272"/>
      <c r="B34" s="1273" t="s">
        <v>1286</v>
      </c>
      <c r="C34" s="3617">
        <f ca="1">IF(C33="自定义",F34,C32-C35)</f>
        <v>159875</v>
      </c>
      <c r="D34" s="3858">
        <f ca="1">IF(C33="自定义",ROUND(C34/C32,3),IF(C33="收益比率",SUMIF(INDIRECT("'"&amp;D33&amp;"'"&amp;"!b:b"),"土地收益比率",INDIRECT("'"&amp;D33&amp;"'"&amp;"!c:c")),SUMIF(INDIRECT("'"&amp;D33&amp;"'"&amp;"!b:b"),"土地成本比率",INDIRECT("'"&amp;D33&amp;"'"&amp;"!c:c"))))</f>
        <v>0.61399999999999999</v>
      </c>
      <c r="E34" s="1274" t="s">
        <v>1287</v>
      </c>
      <c r="F34" s="3619"/>
      <c r="G34" s="47"/>
      <c r="H34" s="47"/>
      <c r="I34" s="47"/>
    </row>
    <row r="35" spans="1:19" ht="15.75" thickBot="1">
      <c r="A35" s="1275"/>
      <c r="B35" s="1276" t="s">
        <v>1288</v>
      </c>
      <c r="C35" s="3618">
        <f ca="1">IF(C33="自定义",F35,ROUND(C32*D35,0))</f>
        <v>100507</v>
      </c>
      <c r="D35" s="3859">
        <f ca="1">IF(C33="自定义",ROUND(C35/C32,3),IF(C33="收益比率",SUMIF(INDIRECT("'"&amp;D33&amp;"'"&amp;"!b:b"),"建筑物收益比率",INDIRECT("'"&amp;D33&amp;"'"&amp;"!c:c")),SUMIF(INDIRECT("'"&amp;D33&amp;"'"&amp;"!b:b"),"建筑物成本比率",INDIRECT("'"&amp;D33&amp;"'"&amp;"!c:c"))))</f>
        <v>0.38600000000000001</v>
      </c>
      <c r="E35" s="1277" t="s">
        <v>1289</v>
      </c>
      <c r="F35" s="3620"/>
      <c r="G35" s="47"/>
      <c r="H35" s="47"/>
      <c r="I35" s="47"/>
    </row>
    <row r="36" spans="1:19" ht="15.75" thickBot="1">
      <c r="A36" s="4471" t="s">
        <v>1290</v>
      </c>
      <c r="B36" s="1278" t="s">
        <v>1291</v>
      </c>
      <c r="C36" s="3621"/>
      <c r="D36" s="1279"/>
      <c r="E36" s="1203"/>
      <c r="F36" s="1280"/>
      <c r="G36" s="47"/>
      <c r="H36" s="47"/>
      <c r="I36" s="47"/>
    </row>
    <row r="37" spans="1:19" ht="15.75" thickBot="1">
      <c r="A37" s="4472"/>
      <c r="B37" s="1191" t="s">
        <v>1292</v>
      </c>
      <c r="C37" s="3622"/>
      <c r="D37" s="763"/>
      <c r="E37" s="763"/>
      <c r="F37" s="1280"/>
      <c r="G37" s="47"/>
      <c r="H37" s="47"/>
      <c r="I37" s="47"/>
    </row>
    <row r="38" spans="1:19" ht="15.75" thickBot="1">
      <c r="A38" s="4473"/>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50" t="s">
        <v>1304</v>
      </c>
      <c r="B45" s="4451"/>
      <c r="C45" s="4452"/>
      <c r="D45" s="56">
        <f ca="1">ROUND(H101*F45,0)</f>
        <v>260382</v>
      </c>
      <c r="E45" s="57" t="s">
        <v>1305</v>
      </c>
      <c r="F45" s="58">
        <v>1</v>
      </c>
      <c r="G45" s="59" t="s">
        <v>1306</v>
      </c>
      <c r="H45" s="47"/>
      <c r="I45" s="47"/>
      <c r="J45" s="4462" t="s">
        <v>1307</v>
      </c>
      <c r="K45" s="4462"/>
      <c r="L45" s="4462"/>
      <c r="M45" s="4462"/>
      <c r="N45" s="4462"/>
      <c r="O45" s="4462"/>
    </row>
    <row r="46" spans="1:19" ht="14.25" customHeight="1">
      <c r="A46" s="4447" t="s">
        <v>1308</v>
      </c>
      <c r="B46" s="4448"/>
      <c r="C46" s="4448"/>
      <c r="D46" s="4448"/>
      <c r="E46" s="4448"/>
      <c r="F46" s="4448"/>
      <c r="G46" s="4449"/>
      <c r="H46" s="1294"/>
      <c r="I46" s="60"/>
      <c r="J46" s="1847">
        <v>1</v>
      </c>
      <c r="K46" s="4463" t="s">
        <v>1309</v>
      </c>
      <c r="L46" s="4463"/>
      <c r="M46" s="4464"/>
      <c r="N46" s="4464"/>
      <c r="O46" s="4464"/>
    </row>
    <row r="47" spans="1:19" ht="12" customHeight="1">
      <c r="A47" s="61" t="s">
        <v>1310</v>
      </c>
      <c r="B47" s="62"/>
      <c r="C47" s="63"/>
      <c r="D47" s="724" t="s">
        <v>1311</v>
      </c>
      <c r="E47" s="186" t="s">
        <v>1312</v>
      </c>
      <c r="F47" s="64" t="s">
        <v>1313</v>
      </c>
      <c r="G47" s="1862" t="s">
        <v>1314</v>
      </c>
      <c r="H47" s="1863"/>
      <c r="I47" s="60"/>
      <c r="J47" s="1847">
        <v>2</v>
      </c>
      <c r="K47" s="4463" t="s">
        <v>1315</v>
      </c>
      <c r="L47" s="4463"/>
      <c r="M47" s="4465">
        <f>'数据-取费表'!B2</f>
        <v>46126</v>
      </c>
      <c r="N47" s="4465"/>
      <c r="O47" s="4465"/>
    </row>
    <row r="48" spans="1:19" ht="25.5">
      <c r="A48" s="4474" t="s">
        <v>1316</v>
      </c>
      <c r="B48" s="4475"/>
      <c r="C48" s="4475"/>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463" t="s">
        <v>1318</v>
      </c>
      <c r="L48" s="4463"/>
      <c r="M48" s="4466">
        <f ca="1">H101</f>
        <v>260382</v>
      </c>
      <c r="N48" s="4466"/>
      <c r="O48" s="4466"/>
      <c r="R48" s="3383" t="s">
        <v>3635</v>
      </c>
      <c r="S48" s="3384"/>
    </row>
    <row r="49" spans="1:35" ht="25.5" customHeight="1">
      <c r="A49" s="3512" t="s">
        <v>1319</v>
      </c>
      <c r="B49" s="4445" t="s">
        <v>1320</v>
      </c>
      <c r="C49" s="4445"/>
      <c r="D49" s="3629">
        <v>0</v>
      </c>
      <c r="E49" s="207" t="s">
        <v>1321</v>
      </c>
      <c r="F49" s="3506" t="s">
        <v>26</v>
      </c>
      <c r="G49" s="4517"/>
      <c r="H49" s="3378" t="s">
        <v>2036</v>
      </c>
      <c r="I49" s="3379"/>
      <c r="J49" s="1847">
        <v>4</v>
      </c>
      <c r="K49" s="4463" t="str">
        <f>IF(项目基本情况!E8="房地产抵押价值","房地产抵押价值","抵押担保权已注销时的房地产抵押价值")</f>
        <v>房地产抵押价值</v>
      </c>
      <c r="L49" s="4463"/>
      <c r="M49" s="4466">
        <f ca="1">IF(项目基本情况!E8="房地产抵押价值",H107,H109)</f>
        <v>260382</v>
      </c>
      <c r="N49" s="4466"/>
      <c r="O49" s="4466"/>
      <c r="R49" s="3385" t="s">
        <v>3636</v>
      </c>
      <c r="S49" s="3383" t="s">
        <v>3637</v>
      </c>
    </row>
    <row r="50" spans="1:35" ht="25.5" customHeight="1">
      <c r="A50" s="3513"/>
      <c r="B50" s="4445" t="s">
        <v>1322</v>
      </c>
      <c r="C50" s="4445"/>
      <c r="D50" s="3630"/>
      <c r="E50" s="214"/>
      <c r="F50" s="3506"/>
      <c r="G50" s="4518"/>
      <c r="H50" s="1302" t="s">
        <v>2037</v>
      </c>
      <c r="I50" s="3379"/>
      <c r="J50" s="4462" t="s">
        <v>1323</v>
      </c>
      <c r="K50" s="4462"/>
      <c r="L50" s="4462"/>
      <c r="M50" s="4462"/>
      <c r="N50" s="4462"/>
      <c r="O50" s="4462"/>
      <c r="R50" s="3385" t="s">
        <v>3638</v>
      </c>
      <c r="S50" s="3383" t="s">
        <v>3639</v>
      </c>
    </row>
    <row r="51" spans="1:35" ht="20.45" customHeight="1">
      <c r="A51" s="3514"/>
      <c r="B51" s="4445" t="s">
        <v>1324</v>
      </c>
      <c r="C51" s="4445"/>
      <c r="D51" s="709"/>
      <c r="E51" s="210"/>
      <c r="F51" s="3506"/>
      <c r="G51" s="4519"/>
      <c r="H51" s="1302" t="s">
        <v>2038</v>
      </c>
      <c r="I51" s="3379"/>
      <c r="J51" s="1848" t="s">
        <v>1325</v>
      </c>
      <c r="K51" s="4463" t="s">
        <v>1326</v>
      </c>
      <c r="L51" s="4463"/>
      <c r="M51" s="1848" t="s">
        <v>1327</v>
      </c>
      <c r="N51" s="1848" t="s">
        <v>1328</v>
      </c>
      <c r="O51" s="1848" t="s">
        <v>1329</v>
      </c>
      <c r="R51" s="3385" t="s">
        <v>3640</v>
      </c>
      <c r="S51" s="3384" t="s">
        <v>3641</v>
      </c>
    </row>
    <row r="52" spans="1:35" ht="24" customHeight="1">
      <c r="A52" s="1700" t="s">
        <v>1330</v>
      </c>
      <c r="B52" s="4445" t="s">
        <v>1331</v>
      </c>
      <c r="C52" s="4445"/>
      <c r="D52" s="709">
        <f ca="1">ROUND(D45*F52/(1+F52),0)</f>
        <v>7584</v>
      </c>
      <c r="E52" s="899" t="s">
        <v>1332</v>
      </c>
      <c r="F52" s="1866">
        <v>0.03</v>
      </c>
      <c r="G52" s="894" t="s">
        <v>3682</v>
      </c>
      <c r="H52" s="1860"/>
      <c r="I52" s="1295"/>
      <c r="J52" s="1847">
        <v>1</v>
      </c>
      <c r="K52" s="4467" t="s">
        <v>1333</v>
      </c>
      <c r="L52" s="4467"/>
      <c r="M52" s="3632">
        <f>IF(D48&lt;=0,0,D48)</f>
        <v>0</v>
      </c>
      <c r="N52" s="1847" t="str">
        <f>E48</f>
        <v>销售额×税（费）率</v>
      </c>
      <c r="O52" s="3539">
        <f>F48</f>
        <v>0</v>
      </c>
      <c r="R52" s="3383" t="s">
        <v>3642</v>
      </c>
      <c r="S52" s="3383" t="s">
        <v>3646</v>
      </c>
    </row>
    <row r="53" spans="1:35" ht="12" customHeight="1">
      <c r="A53" s="1700" t="s">
        <v>1334</v>
      </c>
      <c r="B53" s="4469" t="s">
        <v>2190</v>
      </c>
      <c r="C53" s="4470"/>
      <c r="D53" s="709">
        <f ca="1">IF(G53="2016年5月1日之前项目",ROUND(D45*F53/(1+F53),0),H63)</f>
        <v>21499</v>
      </c>
      <c r="E53" s="899" t="str">
        <f>IF(G53="2016年5月1日之前项目","全额计税","进销项计算")</f>
        <v>进销项计算</v>
      </c>
      <c r="F53" s="1866">
        <f>IF(G53="2016年5月1日之前项目",5%,9%)</f>
        <v>0.09</v>
      </c>
      <c r="G53" s="3593"/>
      <c r="H53" s="1860"/>
      <c r="I53" s="1295"/>
      <c r="J53" s="1847">
        <v>2</v>
      </c>
      <c r="K53" s="4467" t="s">
        <v>1335</v>
      </c>
      <c r="L53" s="4467"/>
      <c r="M53" s="3632">
        <f t="shared" ref="M53:O54" ca="1" si="0">D55</f>
        <v>130</v>
      </c>
      <c r="N53" s="1847" t="str">
        <f t="shared" si="0"/>
        <v>销售额×税（费）率</v>
      </c>
      <c r="O53" s="3539" t="str">
        <f t="shared" si="0"/>
        <v>免征</v>
      </c>
      <c r="R53" s="3383" t="s">
        <v>3643</v>
      </c>
      <c r="S53" s="3384" t="s">
        <v>3650</v>
      </c>
    </row>
    <row r="54" spans="1:35" ht="12" customHeight="1">
      <c r="A54" s="1700" t="s">
        <v>1336</v>
      </c>
      <c r="B54" s="4469" t="s">
        <v>2191</v>
      </c>
      <c r="C54" s="4470"/>
      <c r="D54" s="709">
        <f ca="1">IF(G54="2016年5月1日之前项目",C68,H63)</f>
        <v>21499</v>
      </c>
      <c r="E54" s="3526" t="str">
        <f>IF(G54="2016年5月1日之前项目","差额计税","进销项计算")</f>
        <v>进销项计算</v>
      </c>
      <c r="F54" s="1866">
        <f>IF(G54="2016年5月1日之前项目",5%,9%)</f>
        <v>0.09</v>
      </c>
      <c r="G54" s="3593"/>
      <c r="H54" s="1868"/>
      <c r="I54" s="1295"/>
      <c r="J54" s="1847">
        <v>3</v>
      </c>
      <c r="K54" s="4467" t="s">
        <v>1337</v>
      </c>
      <c r="L54" s="4467"/>
      <c r="M54" s="3632" t="e">
        <f t="shared" ca="1" si="0"/>
        <v>#VALUE!</v>
      </c>
      <c r="N54" s="1847" t="str">
        <f t="shared" si="0"/>
        <v>增值额×税（费）率</v>
      </c>
      <c r="O54" s="3540" t="str">
        <f t="shared" si="0"/>
        <v>免征</v>
      </c>
      <c r="P54" s="47"/>
      <c r="R54" s="3385" t="s">
        <v>3644</v>
      </c>
      <c r="S54" s="3384" t="s">
        <v>3647</v>
      </c>
    </row>
    <row r="55" spans="1:35" ht="24" customHeight="1">
      <c r="A55" s="4502" t="s">
        <v>1338</v>
      </c>
      <c r="B55" s="4475"/>
      <c r="C55" s="4475"/>
      <c r="D55" s="3628">
        <f ca="1">IF(H55="个人住宅",0,ROUND(D45*I55,0))</f>
        <v>130</v>
      </c>
      <c r="E55" s="899" t="s">
        <v>1339</v>
      </c>
      <c r="F55" s="1866" t="str">
        <f>IF(H55="正常",I55,"免征")</f>
        <v>免征</v>
      </c>
      <c r="G55" s="1867"/>
      <c r="H55" s="1865"/>
      <c r="I55" s="65">
        <f>'数据-取费表'!B50</f>
        <v>5.0000000000000001E-4</v>
      </c>
      <c r="J55" s="1847">
        <f>IF(H59="非个人房产","",4)</f>
        <v>4</v>
      </c>
      <c r="K55" s="4467" t="str">
        <f>IF(H59="非个人房产","——","个人所得税")</f>
        <v>个人所得税</v>
      </c>
      <c r="L55" s="4467"/>
      <c r="M55" s="3633">
        <f ca="1">D59</f>
        <v>2604</v>
      </c>
      <c r="N55" s="1478" t="str">
        <f>E59</f>
        <v>差额计税</v>
      </c>
      <c r="O55" s="3541">
        <f>F59</f>
        <v>0.01</v>
      </c>
      <c r="R55" s="3385" t="s">
        <v>3645</v>
      </c>
      <c r="S55" s="3384" t="s">
        <v>3648</v>
      </c>
    </row>
    <row r="56" spans="1:35" ht="24.75">
      <c r="A56" s="4502" t="s">
        <v>1340</v>
      </c>
      <c r="B56" s="4475"/>
      <c r="C56" s="4475"/>
      <c r="D56" s="4231"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522" t="str">
        <f>IF(项目基本情况!K6="上海银行","其他处置费用","")</f>
        <v/>
      </c>
      <c r="L56" s="4523"/>
      <c r="M56" s="3632" t="str">
        <f>IF(项目基本情况!K6="上海银行",M69,"")</f>
        <v/>
      </c>
      <c r="N56" s="4522" t="str">
        <f>IF(项目基本情况!K6="上海银行","包含处置中涉及的律师、诉讼、拍卖、评估等费用","")</f>
        <v/>
      </c>
      <c r="O56" s="4526"/>
      <c r="R56" s="3384"/>
      <c r="S56" s="3384" t="s">
        <v>3649</v>
      </c>
    </row>
    <row r="57" spans="1:35" ht="12.75">
      <c r="A57" s="1700" t="s">
        <v>1319</v>
      </c>
      <c r="B57" s="4469" t="s">
        <v>1343</v>
      </c>
      <c r="C57" s="4470"/>
      <c r="D57" s="3629">
        <v>0</v>
      </c>
      <c r="E57" s="207" t="s">
        <v>1321</v>
      </c>
      <c r="F57" s="186"/>
      <c r="G57" s="1867"/>
      <c r="H57" s="1871"/>
      <c r="I57" s="1296"/>
      <c r="J57" s="4467">
        <f>IF(AND(J55="",J56=""),4,IF(项目基本情况!K6="上海银行",结果表!J56+1,结果表!J55+1))</f>
        <v>5</v>
      </c>
      <c r="K57" s="4467" t="s">
        <v>1344</v>
      </c>
      <c r="L57" s="1849" t="s">
        <v>1345</v>
      </c>
      <c r="M57" s="1850"/>
      <c r="N57" s="3634">
        <f ca="1">SUMIF(M52:M56,"&lt;9e307")</f>
        <v>2734</v>
      </c>
      <c r="O57" s="1851"/>
      <c r="P57" s="1951">
        <f ca="1">N57/M49</f>
        <v>1.0499957754376262E-2</v>
      </c>
      <c r="R57" s="4436" t="s">
        <v>3693</v>
      </c>
      <c r="S57" s="4437"/>
    </row>
    <row r="58" spans="1:35" ht="24.75">
      <c r="A58" s="1700" t="s">
        <v>1330</v>
      </c>
      <c r="B58" s="4469" t="s">
        <v>1346</v>
      </c>
      <c r="C58" s="4445"/>
      <c r="D58" s="3628">
        <f ca="1">IF(H58="转让取得",C81,C97)</f>
        <v>78115</v>
      </c>
      <c r="E58" s="899" t="s">
        <v>1341</v>
      </c>
      <c r="F58" s="186" t="s">
        <v>26</v>
      </c>
      <c r="G58" s="1867"/>
      <c r="H58" s="1870"/>
      <c r="I58" s="1296"/>
      <c r="J58" s="4467"/>
      <c r="K58" s="4467"/>
      <c r="L58" s="1849" t="s">
        <v>1347</v>
      </c>
      <c r="M58" s="1852"/>
      <c r="N58" s="1853" t="str">
        <f ca="1">NUMBERSTRING(INT(N57*10000),2)&amp;"元整"</f>
        <v>贰仟柒佰叁拾肆万元整</v>
      </c>
      <c r="O58" s="1854"/>
      <c r="R58" s="4438"/>
      <c r="S58" s="4439"/>
    </row>
    <row r="59" spans="1:35" ht="24.75" thickBot="1">
      <c r="A59" s="4515" t="s">
        <v>1348</v>
      </c>
      <c r="B59" s="4516"/>
      <c r="C59" s="4516"/>
      <c r="D59" s="3631">
        <f ca="1">IF(H59="非个人房产","——",IF(H59="个人住宅（满五唯一有凭证）",0,IF(H59="个人其他（无凭证）",ROUND(D45/(1+'数据-取费表'!C43)*F59,0),ROUND(C67*F59,0))))</f>
        <v>2604</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2039</v>
      </c>
      <c r="J59" s="4513">
        <f>J57+1</f>
        <v>6</v>
      </c>
      <c r="K59" s="4467" t="s">
        <v>1349</v>
      </c>
      <c r="L59" s="1847" t="s">
        <v>1345</v>
      </c>
      <c r="M59" s="1855"/>
      <c r="N59" s="2571">
        <f ca="1">M49-N57</f>
        <v>257648</v>
      </c>
      <c r="O59" s="1856"/>
      <c r="R59" s="3383" t="s">
        <v>3651</v>
      </c>
      <c r="S59" s="3383" t="s">
        <v>3652</v>
      </c>
    </row>
    <row r="60" spans="1:35" ht="12" customHeight="1" thickBot="1">
      <c r="A60" s="1297"/>
      <c r="B60" s="464"/>
      <c r="C60" s="464"/>
      <c r="D60" s="464"/>
      <c r="E60" s="1110"/>
      <c r="F60" s="1296"/>
      <c r="G60" s="1296"/>
      <c r="H60" s="60"/>
      <c r="I60" s="47"/>
      <c r="J60" s="4514"/>
      <c r="K60" s="4467"/>
      <c r="L60" s="1849" t="s">
        <v>1347</v>
      </c>
      <c r="M60" s="1852"/>
      <c r="N60" s="1853" t="str">
        <f ca="1">NUMBERSTRING(INT(N59*10000),2)&amp;"元整"</f>
        <v>贰拾伍亿柒仟陆佰肆拾捌万元整</v>
      </c>
      <c r="O60" s="1854"/>
      <c r="R60" s="3383" t="s">
        <v>3653</v>
      </c>
      <c r="S60" s="3383" t="s">
        <v>3692</v>
      </c>
    </row>
    <row r="61" spans="1:35" ht="14.25" thickBot="1">
      <c r="A61" s="4443" t="s">
        <v>3690</v>
      </c>
      <c r="B61" s="4444"/>
      <c r="C61" s="4444"/>
      <c r="D61" s="4444"/>
      <c r="E61" s="3531"/>
      <c r="F61" s="4509" t="s">
        <v>3691</v>
      </c>
      <c r="G61" s="4510"/>
      <c r="H61" s="4510"/>
      <c r="I61" s="4511"/>
      <c r="J61" s="3515">
        <f>J59+1</f>
        <v>7</v>
      </c>
      <c r="K61" s="4467" t="s">
        <v>1350</v>
      </c>
      <c r="L61" s="4467"/>
      <c r="M61" s="1857"/>
      <c r="N61" s="2572">
        <f ca="1">ROUND(N59*10000/'数据-汇总表'!E3,0)</f>
        <v>21477</v>
      </c>
      <c r="O61" s="1858"/>
    </row>
    <row r="62" spans="1:35" ht="13.5" customHeight="1">
      <c r="A62" s="3537" t="s">
        <v>3703</v>
      </c>
      <c r="B62" s="3538" t="s">
        <v>3704</v>
      </c>
      <c r="C62" s="2392" t="s">
        <v>3702</v>
      </c>
      <c r="D62" s="3527" t="s">
        <v>3694</v>
      </c>
      <c r="E62" s="3532" t="s">
        <v>3696</v>
      </c>
      <c r="F62" s="3543" t="s">
        <v>3705</v>
      </c>
      <c r="G62" s="3544" t="s">
        <v>3685</v>
      </c>
      <c r="H62" s="3545" t="s">
        <v>3706</v>
      </c>
      <c r="I62" s="3546" t="s">
        <v>3687</v>
      </c>
    </row>
    <row r="63" spans="1:35" ht="12.75">
      <c r="A63" s="70" t="s">
        <v>328</v>
      </c>
      <c r="B63" s="3534" t="s">
        <v>3698</v>
      </c>
      <c r="C63" s="3635">
        <f ca="1">ROUND(C64+C65,0)</f>
        <v>260382</v>
      </c>
      <c r="D63" s="3528"/>
      <c r="E63" s="4440" t="s">
        <v>3695</v>
      </c>
      <c r="F63" s="4228">
        <v>1</v>
      </c>
      <c r="G63" s="4229" t="s">
        <v>4059</v>
      </c>
      <c r="H63" s="3160">
        <f ca="1">H64-H66</f>
        <v>21499</v>
      </c>
      <c r="I63" s="2662"/>
      <c r="J63" s="4524" t="s">
        <v>1354</v>
      </c>
      <c r="K63" s="889" t="s">
        <v>1355</v>
      </c>
      <c r="L63" s="3650">
        <f ca="1">IF(M49&gt;10000,M49*0.5%,IF(AND(M49&gt;1000,M49&lt;=10000),M49*1%,IF(AND(M49&gt;100,M49&lt;=1000),M49*3%,IF(AND(M49&gt;10,M49&lt;=100),M49*5%,M49*8%))))</f>
        <v>1301.9100000000001</v>
      </c>
      <c r="M63" s="2647">
        <f ca="1">ROUND(L63,1)</f>
        <v>1301.9000000000001</v>
      </c>
      <c r="N63" s="1859"/>
      <c r="Z63" s="1254"/>
      <c r="AI63" s="1197"/>
    </row>
    <row r="64" spans="1:35" ht="14.25" customHeight="1">
      <c r="A64" s="67" t="s">
        <v>323</v>
      </c>
      <c r="B64" s="3535" t="s">
        <v>3699</v>
      </c>
      <c r="C64" s="3517">
        <f ca="1">D45</f>
        <v>260382</v>
      </c>
      <c r="D64" s="4213" t="s">
        <v>4054</v>
      </c>
      <c r="E64" s="4441"/>
      <c r="F64" s="4228">
        <v>2</v>
      </c>
      <c r="G64" s="4229" t="s">
        <v>3683</v>
      </c>
      <c r="H64" s="3160">
        <f ca="1">ROUND(H65*I64/(1+I64),0)</f>
        <v>21499</v>
      </c>
      <c r="I64" s="3547">
        <v>0.09</v>
      </c>
      <c r="J64" s="4524"/>
      <c r="K64" s="889" t="s">
        <v>1356</v>
      </c>
      <c r="L64" s="3650">
        <f ca="1">IF(M49&gt;2000,M49*0.5%,IF(AND(M49&gt;1000,M49&lt;=2000),M49*0.6%,IF(AND(M49&gt;500,M49&lt;=1000),M49*0.7%,IF(AND(M49&gt;200,M49&lt;=500),M49*0.8%,IF(AND(M49&gt;100,M49&lt;=200),M49*0.9%,IF(AND(M49&gt;50,M49&lt;=100),M49*1%,IF(AND(M49&gt;20,M49&lt;=50),M49*1.5%,IF(AND(M49&gt;10,M49&lt;=20),M49*2%,IF(AND(M49&gt;1,M49&lt;=10),M49*2.5%)))))))))</f>
        <v>1301.9100000000001</v>
      </c>
      <c r="M64" s="2647">
        <f t="shared" ref="M64:M65" ca="1" si="1">ROUND(L64,1)</f>
        <v>1301.9000000000001</v>
      </c>
      <c r="N64" s="1860" t="s">
        <v>1357</v>
      </c>
      <c r="Z64" s="1254"/>
      <c r="AI64" s="1197"/>
    </row>
    <row r="65" spans="1:35" ht="14.25" customHeight="1">
      <c r="A65" s="67" t="s">
        <v>324</v>
      </c>
      <c r="B65" s="3535" t="s">
        <v>3700</v>
      </c>
      <c r="C65" s="3636"/>
      <c r="D65" s="3529"/>
      <c r="E65" s="4441"/>
      <c r="F65" s="67" t="s">
        <v>323</v>
      </c>
      <c r="G65" s="3548" t="s">
        <v>3686</v>
      </c>
      <c r="H65" s="3160">
        <f ca="1">D45</f>
        <v>260382</v>
      </c>
      <c r="I65" s="4215" t="s">
        <v>4055</v>
      </c>
      <c r="J65" s="4524"/>
      <c r="K65" s="889" t="s">
        <v>1358</v>
      </c>
      <c r="L65" s="3650">
        <f ca="1">IF(M49&gt;1000,M49*0.1%,IF(AND(M49&gt;500,M49&lt;=1000),M49*0.5%,IF(AND(M49&gt;50,M49&lt;=500),M49*1%,IF(AND(M49&gt;1,M49&lt;=50),M49*1.5%))))</f>
        <v>260.38200000000001</v>
      </c>
      <c r="M65" s="2647">
        <f t="shared" ca="1" si="1"/>
        <v>260.39999999999998</v>
      </c>
      <c r="N65" s="1860" t="s">
        <v>1357</v>
      </c>
      <c r="Z65" s="1254"/>
      <c r="AI65" s="1197"/>
    </row>
    <row r="66" spans="1:35" ht="14.25" customHeight="1">
      <c r="A66" s="70" t="s">
        <v>325</v>
      </c>
      <c r="B66" s="3536" t="s">
        <v>3701</v>
      </c>
      <c r="C66" s="3636"/>
      <c r="D66" s="4214" t="s">
        <v>4054</v>
      </c>
      <c r="E66" s="4441"/>
      <c r="F66" s="4230">
        <v>3</v>
      </c>
      <c r="G66" s="4229" t="s">
        <v>3684</v>
      </c>
      <c r="H66" s="3195">
        <f>ROUND(H67*I67,0)+ROUND(H68*I68,0)</f>
        <v>0</v>
      </c>
      <c r="I66" s="4232"/>
      <c r="J66" s="4524"/>
      <c r="K66" s="889" t="s">
        <v>1359</v>
      </c>
      <c r="L66" s="3650">
        <f ca="1">M49*0.5%</f>
        <v>1301.9100000000001</v>
      </c>
      <c r="M66" s="2647">
        <f ca="1">IF(L66&gt;0.5,0.5,ROUND(L66,0))</f>
        <v>0.5</v>
      </c>
      <c r="N66" s="1860" t="s">
        <v>1360</v>
      </c>
      <c r="Z66" s="1254"/>
      <c r="AI66" s="1197"/>
    </row>
    <row r="67" spans="1:35" ht="14.25" customHeight="1">
      <c r="A67" s="70" t="s">
        <v>326</v>
      </c>
      <c r="B67" s="3533" t="s">
        <v>3697</v>
      </c>
      <c r="C67" s="3517">
        <f ca="1">C63-C66</f>
        <v>260382</v>
      </c>
      <c r="D67" s="3529"/>
      <c r="E67" s="4441"/>
      <c r="F67" s="67" t="s">
        <v>323</v>
      </c>
      <c r="G67" s="3548" t="s">
        <v>3688</v>
      </c>
      <c r="H67" s="3625"/>
      <c r="I67" s="3547">
        <v>0.09</v>
      </c>
      <c r="J67" s="4524"/>
      <c r="K67" s="889" t="s">
        <v>1361</v>
      </c>
      <c r="L67" s="3650">
        <f ca="1">IF(M49&gt;=10000,(8.25+(M49-10000)*0.01%),IF(AND(M49&gt;=8000,M49&lt;10000),(7.85+(M49-8000)*0.02%),IF(AND(M49&gt;=5000,M49&lt;8000),(6.65+(M49-5000)*0.04%),IF(AND(M49&gt;=2000,M49&lt;5000),(4.25+(PM49-2000)*0.08%),IF(AND(M49&gt;=1000,M49&lt;2000),(2.75+(M49-1000)*0.15%),IF(AND(M49&gt;=100,M49&lt;1000),(0.5+(M49-100)*0.25%),IF(AND(M49&gt;0,M49&lt;100),M49*0.5%)))))))</f>
        <v>33.288200000000003</v>
      </c>
      <c r="M67" s="2647">
        <f ca="1">ROUND(L67*0.9,1)</f>
        <v>30</v>
      </c>
      <c r="N67" s="1859"/>
      <c r="Z67" s="1254"/>
      <c r="AI67" s="1197"/>
    </row>
    <row r="68" spans="1:35" ht="14.25" customHeight="1" thickBot="1">
      <c r="A68" s="72" t="s">
        <v>327</v>
      </c>
      <c r="B68" s="4227" t="s">
        <v>4058</v>
      </c>
      <c r="C68" s="3523">
        <f ca="1">IF(C67&lt;=0,0,ROUND(C67*D68/(1+D68),0))</f>
        <v>12399</v>
      </c>
      <c r="D68" s="3530">
        <v>0.05</v>
      </c>
      <c r="E68" s="4442"/>
      <c r="F68" s="3542" t="s">
        <v>324</v>
      </c>
      <c r="G68" s="3549" t="s">
        <v>3689</v>
      </c>
      <c r="H68" s="3627"/>
      <c r="I68" s="3550">
        <v>0.06</v>
      </c>
      <c r="J68" s="4524"/>
      <c r="K68" s="889" t="s">
        <v>1362</v>
      </c>
      <c r="L68" s="3650">
        <f ca="1">IF(M49&gt;10000,M49*0.5%,IF(AND(M49&gt;5000,M49&lt;=10000),M49*1%,IF(AND(M49&gt;1000,M49&lt;=5000),M49*2%,IF(AND(M49&gt;200,M49&lt;=1000),M49*3%,M49*5%))))</f>
        <v>1301.9100000000001</v>
      </c>
      <c r="M68" s="2647">
        <f ca="1">ROUND(L68,1)</f>
        <v>1301.9000000000001</v>
      </c>
      <c r="N68" s="1859"/>
      <c r="Z68" s="1254"/>
      <c r="AI68" s="1197"/>
    </row>
    <row r="69" spans="1:35" ht="16.5" customHeight="1">
      <c r="A69" s="1298"/>
      <c r="B69" s="1299"/>
      <c r="C69" s="1300"/>
      <c r="D69" s="1301"/>
      <c r="E69" s="1302"/>
      <c r="F69" s="1110"/>
      <c r="G69" s="1110"/>
      <c r="H69" s="1111"/>
      <c r="I69" s="464"/>
      <c r="J69" s="4525"/>
      <c r="K69" s="889" t="s">
        <v>1363</v>
      </c>
      <c r="L69" s="3650"/>
      <c r="M69" s="2647">
        <f ca="1">ROUND(SUM(M63:M68),0)</f>
        <v>4197</v>
      </c>
      <c r="N69" s="1861">
        <f ca="1">M69/M49</f>
        <v>1.6118625711454709E-2</v>
      </c>
      <c r="Z69" s="1254"/>
      <c r="AI69" s="1197"/>
    </row>
    <row r="70" spans="1:35" s="463" customFormat="1" ht="15" thickBot="1">
      <c r="A70" s="4494" t="s">
        <v>1364</v>
      </c>
      <c r="B70" s="4495"/>
      <c r="C70" s="4495"/>
      <c r="D70" s="4495"/>
      <c r="E70" s="4495"/>
      <c r="F70" s="4495"/>
      <c r="G70" s="4495"/>
      <c r="H70" s="449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57" t="s">
        <v>1351</v>
      </c>
      <c r="B71" s="445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20">
        <f ca="1">ROUND(D45-D54,0)</f>
        <v>238883</v>
      </c>
      <c r="D72" s="4221"/>
      <c r="E72" s="4222" t="s">
        <v>4057</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-21499</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69" t="s">
        <v>1372</v>
      </c>
      <c r="F76" s="4445"/>
      <c r="G76" s="4445"/>
      <c r="H76" s="449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1375</v>
      </c>
      <c r="C78" s="4218">
        <f ca="1">D48-D54</f>
        <v>-21499</v>
      </c>
      <c r="D78" s="4219">
        <f>'数据-取费表'!B44</f>
        <v>0.1</v>
      </c>
      <c r="E78" s="4459" t="s">
        <v>1376</v>
      </c>
      <c r="F78" s="4460"/>
      <c r="G78" s="4460"/>
      <c r="H78" s="446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260382</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60">
        <f ca="1">IF(C79&lt;=0,0,C79/C73)</f>
        <v>-12.111354016465882</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78115</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94" t="s">
        <v>1380</v>
      </c>
      <c r="B83" s="4495"/>
      <c r="C83" s="4495"/>
      <c r="D83" s="4495"/>
      <c r="E83" s="4495"/>
      <c r="F83" s="4495"/>
      <c r="G83" s="4495"/>
      <c r="H83" s="449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57" t="s">
        <v>1351</v>
      </c>
      <c r="B84" s="445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20">
        <f ca="1">ROUND(D45-D53,0)</f>
        <v>238883</v>
      </c>
      <c r="D85" s="4221"/>
      <c r="E85" s="4226" t="s">
        <v>4056</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-21499</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6"/>
      <c r="G88" s="89" t="s">
        <v>1384</v>
      </c>
      <c r="H88" s="1310" t="s">
        <v>3679</v>
      </c>
      <c r="I88" s="1307"/>
      <c r="J88" s="1845" t="s">
        <v>2187</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6"/>
      <c r="G90" s="4527" t="s">
        <v>2031</v>
      </c>
      <c r="H90" s="4528"/>
      <c r="I90" s="1307"/>
      <c r="J90" s="1845" t="s">
        <v>2188</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55" t="s">
        <v>1389</v>
      </c>
      <c r="F91" s="4456"/>
      <c r="G91" s="4456"/>
      <c r="H91" s="3509" t="s">
        <v>3677</v>
      </c>
      <c r="I91" s="3640"/>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55" t="s">
        <v>1392</v>
      </c>
      <c r="F92" s="4456"/>
      <c r="G92" s="4456"/>
      <c r="H92" s="4520"/>
      <c r="I92" s="1307"/>
      <c r="J92" s="1846" t="s">
        <v>2189</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1393</v>
      </c>
      <c r="B93" s="4217" t="s">
        <v>1375</v>
      </c>
      <c r="C93" s="4218">
        <f ca="1">ROUND(D48-D53,0)</f>
        <v>-21499</v>
      </c>
      <c r="D93" s="4219">
        <f>'数据-取费表'!B44</f>
        <v>0.1</v>
      </c>
      <c r="E93" s="4503" t="s">
        <v>3680</v>
      </c>
      <c r="F93" s="4460"/>
      <c r="G93" s="4460"/>
      <c r="H93" s="4461"/>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504" t="s">
        <v>1396</v>
      </c>
      <c r="F94" s="4505"/>
      <c r="G94" s="4505"/>
      <c r="H94" s="450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260382</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-12.111354016465882</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78115</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416" t="s">
        <v>1398</v>
      </c>
      <c r="B100" s="4417"/>
      <c r="C100" s="4417"/>
      <c r="D100" s="4512"/>
      <c r="E100" s="4417" t="s">
        <v>1399</v>
      </c>
      <c r="F100" s="4417"/>
      <c r="G100" s="4417"/>
      <c r="H100" s="4512"/>
      <c r="I100" s="47"/>
    </row>
    <row r="101" spans="1:35" ht="18.75" customHeight="1">
      <c r="A101" s="4532" t="s">
        <v>1400</v>
      </c>
      <c r="B101" s="4533"/>
      <c r="C101" s="1876" t="str">
        <f>C4</f>
        <v>成本法</v>
      </c>
      <c r="D101" s="1877" t="str">
        <f>D4</f>
        <v>收益法</v>
      </c>
      <c r="E101" s="4521" t="s">
        <v>1401</v>
      </c>
      <c r="F101" s="4429"/>
      <c r="G101" s="1311" t="s">
        <v>1402</v>
      </c>
      <c r="H101" s="3645">
        <f ca="1">I118</f>
        <v>260382</v>
      </c>
      <c r="I101" s="47"/>
    </row>
    <row r="102" spans="1:35" ht="18.75" customHeight="1">
      <c r="A102" s="4488" t="s">
        <v>1403</v>
      </c>
      <c r="B102" s="1875" t="s">
        <v>1402</v>
      </c>
      <c r="C102" s="3641">
        <f ca="1">C19</f>
        <v>260462</v>
      </c>
      <c r="D102" s="3642">
        <f ca="1">D19</f>
        <v>260302</v>
      </c>
      <c r="E102" s="4521"/>
      <c r="F102" s="4429"/>
      <c r="G102" s="1311" t="s">
        <v>1404</v>
      </c>
      <c r="H102" s="2748">
        <f ca="1">H118</f>
        <v>21705</v>
      </c>
      <c r="I102" s="47"/>
    </row>
    <row r="103" spans="1:35" ht="42.75" customHeight="1">
      <c r="A103" s="4488"/>
      <c r="B103" s="1875" t="s">
        <v>1404</v>
      </c>
      <c r="C103" s="3643">
        <f ca="1">C20</f>
        <v>21712</v>
      </c>
      <c r="D103" s="3644">
        <f ca="1">D20</f>
        <v>21698</v>
      </c>
      <c r="E103" s="4500" t="s">
        <v>1405</v>
      </c>
      <c r="F103" s="4501"/>
      <c r="G103" s="1312" t="s">
        <v>1406</v>
      </c>
      <c r="H103" s="3645">
        <f>IF(D36="正常操作",H104+H105+H106,H105+H106)</f>
        <v>0</v>
      </c>
      <c r="I103" s="47"/>
    </row>
    <row r="104" spans="1:35" ht="18.75" customHeight="1">
      <c r="A104" s="4488" t="s">
        <v>1407</v>
      </c>
      <c r="B104" s="1878" t="s">
        <v>1402</v>
      </c>
      <c r="C104" s="4538">
        <f ca="1">I118</f>
        <v>260382</v>
      </c>
      <c r="D104" s="4539"/>
      <c r="E104" s="1191" t="s">
        <v>1408</v>
      </c>
      <c r="F104" s="1188"/>
      <c r="G104" s="1312" t="s">
        <v>1406</v>
      </c>
      <c r="H104" s="3646">
        <f>IF(D36="同一抵押权人同一抵押物续贷",C36&amp;"（续贷，未扣减，详见特别提示）",C36)</f>
        <v>0</v>
      </c>
      <c r="I104" s="47"/>
    </row>
    <row r="105" spans="1:35" ht="18.75" customHeight="1" thickBot="1">
      <c r="A105" s="4489"/>
      <c r="B105" s="1879" t="s">
        <v>1404</v>
      </c>
      <c r="C105" s="4540">
        <f ca="1">H118</f>
        <v>21705</v>
      </c>
      <c r="D105" s="4541"/>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428" t="str">
        <f>IF(项目基本情况!E8="已注销","——","3.房地产抵押价值")</f>
        <v>3.房地产抵押价值</v>
      </c>
      <c r="F107" s="4429"/>
      <c r="G107" s="1311" t="s">
        <v>1402</v>
      </c>
      <c r="H107" s="3645">
        <f ca="1">IF(E107="——","——",H101-H103)</f>
        <v>260382</v>
      </c>
      <c r="I107" s="47"/>
    </row>
    <row r="108" spans="1:35" ht="18.75" customHeight="1">
      <c r="A108" s="47"/>
      <c r="B108" s="47"/>
      <c r="C108" s="47"/>
      <c r="D108" s="47"/>
      <c r="E108" s="4428"/>
      <c r="F108" s="4429"/>
      <c r="G108" s="1311" t="s">
        <v>1404</v>
      </c>
      <c r="H108" s="2748">
        <f ca="1">IF(H107=H101,H102,ROUND(H107*10000/'数据-汇总表'!E3,0))</f>
        <v>21705</v>
      </c>
      <c r="I108" s="47"/>
    </row>
    <row r="109" spans="1:35" ht="18.75" customHeight="1">
      <c r="A109" s="47"/>
      <c r="B109" s="47"/>
      <c r="C109" s="47"/>
      <c r="D109" s="47"/>
      <c r="E109" s="4428" t="str">
        <f>IF(项目基本情况!E8="已注销及未注销","4.抵押担保权已注销时的房地产抵押价值",IF(项目基本情况!E8="已注销","3.抵押担保权已注销时的房地产抵押价值","——"))</f>
        <v>——</v>
      </c>
      <c r="F109" s="4429"/>
      <c r="G109" s="1311" t="s">
        <v>1402</v>
      </c>
      <c r="H109" s="2743" t="str">
        <f>IF(E109="——","——",H101-H105-H106)</f>
        <v>——</v>
      </c>
      <c r="I109" s="47"/>
    </row>
    <row r="110" spans="1:35" ht="18.75" customHeight="1">
      <c r="A110" s="47"/>
      <c r="B110" s="47"/>
      <c r="C110" s="47"/>
      <c r="D110" s="47"/>
      <c r="E110" s="4428"/>
      <c r="F110" s="4429"/>
      <c r="G110" s="1311" t="s">
        <v>1404</v>
      </c>
      <c r="H110" s="2748" t="str">
        <f>IF(H109="——","——",ROUND(H109*10000/'数据-汇总表'!E3,0))</f>
        <v>——</v>
      </c>
      <c r="I110" s="47"/>
    </row>
    <row r="111" spans="1:35" ht="18.75" customHeight="1">
      <c r="A111" s="47"/>
      <c r="B111" s="47"/>
      <c r="C111" s="47"/>
      <c r="D111" s="47"/>
      <c r="E111" s="4534" t="str">
        <f>IF(项目基本情况!E9="抵押净值",IF(OR(项目基本情况!E8="已注销",项目基本情况!E8="房地产抵押价值"),"4.抵押净值","5.抵押净值"),"——")</f>
        <v>——</v>
      </c>
      <c r="F111" s="4535"/>
      <c r="G111" s="1311" t="s">
        <v>1402</v>
      </c>
      <c r="H111" s="3645" t="str">
        <f>IF(E111="——","——",N59)</f>
        <v>——</v>
      </c>
      <c r="I111" s="47"/>
    </row>
    <row r="112" spans="1:35" ht="18.75" customHeight="1" thickBot="1">
      <c r="A112" s="47"/>
      <c r="B112" s="47"/>
      <c r="C112" s="47"/>
      <c r="D112" s="47"/>
      <c r="E112" s="4536"/>
      <c r="F112" s="4537"/>
      <c r="G112" s="1314" t="s">
        <v>1404</v>
      </c>
      <c r="H112" s="3607" t="str">
        <f>IF(E111="——","——",N61)</f>
        <v>——</v>
      </c>
      <c r="I112" s="47"/>
    </row>
    <row r="113" spans="1:27" ht="18.75" customHeight="1">
      <c r="A113" s="47"/>
      <c r="B113" s="47"/>
      <c r="C113" s="47"/>
      <c r="D113" s="47"/>
      <c r="E113" s="4490" t="s">
        <v>1410</v>
      </c>
      <c r="F113" s="4490"/>
      <c r="G113" s="4490"/>
      <c r="H113" s="4490"/>
      <c r="I113" s="47"/>
    </row>
    <row r="114" spans="1:27" ht="3.75" customHeight="1">
      <c r="A114" s="464"/>
      <c r="B114" s="464"/>
      <c r="C114" s="464"/>
      <c r="D114" s="464"/>
      <c r="E114" s="1297"/>
      <c r="F114" s="1297"/>
      <c r="G114" s="1297"/>
      <c r="H114" s="1297"/>
      <c r="I114" s="464"/>
    </row>
    <row r="115" spans="1:27" ht="18.75" customHeight="1">
      <c r="A115" s="4497" t="s">
        <v>1412</v>
      </c>
      <c r="B115" s="4498"/>
      <c r="C115" s="4498"/>
      <c r="D115" s="4498"/>
      <c r="E115" s="4498"/>
      <c r="F115" s="4498"/>
      <c r="G115" s="4498"/>
      <c r="H115" s="4498"/>
      <c r="I115" s="4499"/>
    </row>
    <row r="116" spans="1:27" ht="27" customHeight="1">
      <c r="A116" s="4468" t="s">
        <v>1413</v>
      </c>
      <c r="B116" s="4491" t="s">
        <v>1414</v>
      </c>
      <c r="C116" s="4491" t="s">
        <v>1415</v>
      </c>
      <c r="D116" s="4530" t="s">
        <v>1416</v>
      </c>
      <c r="E116" s="4531"/>
      <c r="F116" s="4496" t="s">
        <v>9873</v>
      </c>
      <c r="G116" s="4496"/>
      <c r="H116" s="4468" t="s">
        <v>1417</v>
      </c>
      <c r="I116" s="4468"/>
      <c r="K116" s="3014"/>
      <c r="L116" s="3015" t="s">
        <v>3471</v>
      </c>
      <c r="M116" s="3015" t="s">
        <v>3472</v>
      </c>
      <c r="N116" s="3015" t="s">
        <v>3473</v>
      </c>
    </row>
    <row r="117" spans="1:27" ht="18.75" customHeight="1">
      <c r="A117" s="4468"/>
      <c r="B117" s="4492"/>
      <c r="C117" s="4492"/>
      <c r="D117" s="1698" t="s">
        <v>1419</v>
      </c>
      <c r="E117" s="1698" t="s">
        <v>1418</v>
      </c>
      <c r="F117" s="1698" t="s">
        <v>1420</v>
      </c>
      <c r="G117" s="1698" t="s">
        <v>1418</v>
      </c>
      <c r="H117" s="1698" t="s">
        <v>1420</v>
      </c>
      <c r="I117" s="1698" t="s">
        <v>1418</v>
      </c>
      <c r="K117" s="3015" t="s">
        <v>3469</v>
      </c>
      <c r="L117" s="3648">
        <f ca="1">C34</f>
        <v>159875</v>
      </c>
      <c r="M117" s="3649">
        <f ca="1">C35</f>
        <v>100507</v>
      </c>
      <c r="N117" s="3649">
        <f ca="1">C32</f>
        <v>260382</v>
      </c>
    </row>
    <row r="118" spans="1:27" ht="24.75" customHeight="1">
      <c r="A118" s="1880" t="str">
        <f>项目基本情况!S2</f>
        <v>北京市房地产</v>
      </c>
      <c r="B118" s="2579">
        <f>M18</f>
        <v>119963.53</v>
      </c>
      <c r="C118" s="2579">
        <f>M19</f>
        <v>24498.84</v>
      </c>
      <c r="D118" s="679">
        <f ca="1">ROUND(IF(C33="自定义",IF(D32="楼面单价",L119,E118*10000/B118),H118-F118),0)</f>
        <v>13327</v>
      </c>
      <c r="E118" s="679">
        <f ca="1">ROUND(IF(D32="总价",L117,L119*B118/10000),0)</f>
        <v>159875</v>
      </c>
      <c r="F118" s="679">
        <f ca="1">ROUND(IF(D32="楼面单价",,G118*10000/B118),0)</f>
        <v>8378</v>
      </c>
      <c r="G118" s="679">
        <f ca="1">ROUND(IF(D32="总价",M117,M119*B118/10000),0)</f>
        <v>100507</v>
      </c>
      <c r="H118" s="679">
        <f ca="1">ROUND(IF(D32="楼面单价",C32,N117*10000/B118),0)</f>
        <v>21705</v>
      </c>
      <c r="I118" s="679">
        <f ca="1">ROUND(IF(D32="总价",C32,N119*B118/10000),4)</f>
        <v>260382</v>
      </c>
      <c r="K118" s="3014"/>
      <c r="L118" s="3014"/>
      <c r="M118" s="3014"/>
      <c r="N118" s="3014"/>
    </row>
    <row r="119" spans="1:27" ht="18.75" customHeight="1">
      <c r="A119" s="4468" t="s">
        <v>1421</v>
      </c>
      <c r="B119" s="4468"/>
      <c r="C119" s="4468"/>
      <c r="D119" s="4425" t="str">
        <f ca="1">NUMBERSTRING(INT(E118*10000),2)&amp;"元整"</f>
        <v>壹拾伍亿玖仟捌佰柒拾伍万元整</v>
      </c>
      <c r="E119" s="4427"/>
      <c r="F119" s="4425" t="str">
        <f ca="1">NUMBERSTRING(INT(G118*10000),2)&amp;"元整"</f>
        <v>壹拾亿零伍佰零柒万元整</v>
      </c>
      <c r="G119" s="4427"/>
      <c r="H119" s="4425" t="str">
        <f ca="1">NUMBERSTRING(INT(I118*10000),2)&amp;"元整"</f>
        <v>贰拾陆亿零叁佰捌拾贰万元整</v>
      </c>
      <c r="I119" s="4427"/>
      <c r="K119" s="3015" t="s">
        <v>3470</v>
      </c>
      <c r="L119" s="3649">
        <f ca="1">C34</f>
        <v>159875</v>
      </c>
      <c r="M119" s="3649">
        <f ca="1">C35</f>
        <v>100507</v>
      </c>
      <c r="N119" s="3649">
        <f ca="1">C32</f>
        <v>260382</v>
      </c>
    </row>
    <row r="120" spans="1:27" ht="18.75" hidden="1" customHeight="1">
      <c r="A120" s="4422" t="str">
        <f>IF(项目基本情况!B9="房地产市场价值","",MID(E103,3,LEN(E103)-2))</f>
        <v>估价师知悉的法定优先受偿款</v>
      </c>
      <c r="B120" s="4423"/>
      <c r="C120" s="4423"/>
      <c r="D120" s="4423"/>
      <c r="E120" s="4423"/>
      <c r="F120" s="4423"/>
      <c r="G120" s="4424"/>
      <c r="H120" s="4430">
        <f>H103</f>
        <v>0</v>
      </c>
      <c r="I120" s="443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25" t="s">
        <v>1421</v>
      </c>
      <c r="B121" s="4426"/>
      <c r="C121" s="4426"/>
      <c r="D121" s="4426"/>
      <c r="E121" s="4426"/>
      <c r="F121" s="4426"/>
      <c r="G121" s="4427"/>
      <c r="H121" s="4432" t="str">
        <f>IF(H120=0,"零元整",NUMBERSTRING(INT(H120*10000),2)&amp;"元整")</f>
        <v>零元整</v>
      </c>
      <c r="I121" s="4433"/>
      <c r="AA121" s="493"/>
    </row>
    <row r="122" spans="1:27" ht="18.75" hidden="1" customHeight="1">
      <c r="A122" s="4422" t="str">
        <f>IF(项目基本情况!B9="房地产市场价值","",MID(E107,3,LEN(E107)-2))</f>
        <v>房地产抵押价值</v>
      </c>
      <c r="B122" s="4423"/>
      <c r="C122" s="4423"/>
      <c r="D122" s="4423"/>
      <c r="E122" s="4423"/>
      <c r="F122" s="4423"/>
      <c r="G122" s="4424"/>
      <c r="H122" s="4434">
        <f ca="1">H107</f>
        <v>260382</v>
      </c>
      <c r="I122" s="4435"/>
      <c r="AA122" s="493"/>
    </row>
    <row r="123" spans="1:27" ht="18.75" hidden="1" customHeight="1">
      <c r="A123" s="4425" t="s">
        <v>1421</v>
      </c>
      <c r="B123" s="4426"/>
      <c r="C123" s="4426"/>
      <c r="D123" s="4426"/>
      <c r="E123" s="4426"/>
      <c r="F123" s="4426"/>
      <c r="G123" s="4427"/>
      <c r="H123" s="4425" t="str">
        <f ca="1">NUMBERSTRING(INT(H122*10000),2)&amp;"元整"</f>
        <v>贰拾陆亿零叁佰捌拾贰万元整</v>
      </c>
      <c r="I123" s="4427"/>
      <c r="AA123" s="493"/>
    </row>
    <row r="124" spans="1:27" ht="18.75" hidden="1" customHeight="1">
      <c r="A124" s="4422" t="str">
        <f>IF(项目基本情况!B9="房地产市场价值","",MID(E109,3,LEN(E109)-2))</f>
        <v/>
      </c>
      <c r="B124" s="4423"/>
      <c r="C124" s="4423"/>
      <c r="D124" s="4423"/>
      <c r="E124" s="4423"/>
      <c r="F124" s="4423"/>
      <c r="G124" s="4424"/>
      <c r="H124" s="4434" t="str">
        <f>H109</f>
        <v>——</v>
      </c>
      <c r="I124" s="4435"/>
      <c r="AA124" s="493"/>
    </row>
    <row r="125" spans="1:27" ht="18.75" hidden="1" customHeight="1">
      <c r="A125" s="4425" t="s">
        <v>1421</v>
      </c>
      <c r="B125" s="4426"/>
      <c r="C125" s="4426"/>
      <c r="D125" s="4426"/>
      <c r="E125" s="4426"/>
      <c r="F125" s="4426"/>
      <c r="G125" s="4427"/>
      <c r="H125" s="4425" t="e">
        <f>NUMBERSTRING(INT(H124*10000),2)&amp;"元整"</f>
        <v>#VALUE!</v>
      </c>
      <c r="I125" s="4427"/>
      <c r="AA125" s="493"/>
    </row>
    <row r="126" spans="1:27" ht="18.75" hidden="1" customHeight="1">
      <c r="A126" s="4422" t="str">
        <f>IF(项目基本情况!B9="房地产市场价值","",MID(E111,3,LEN(E111)-2))</f>
        <v/>
      </c>
      <c r="B126" s="4423"/>
      <c r="C126" s="4423"/>
      <c r="D126" s="4423"/>
      <c r="E126" s="4423"/>
      <c r="F126" s="4423"/>
      <c r="G126" s="4424"/>
      <c r="H126" s="4434" t="str">
        <f>H111</f>
        <v>——</v>
      </c>
      <c r="I126" s="4435"/>
      <c r="AA126" s="493"/>
    </row>
    <row r="127" spans="1:27" ht="18.75" hidden="1" customHeight="1">
      <c r="A127" s="4425" t="s">
        <v>1421</v>
      </c>
      <c r="B127" s="4426"/>
      <c r="C127" s="4426"/>
      <c r="D127" s="4426"/>
      <c r="E127" s="4426"/>
      <c r="F127" s="4426"/>
      <c r="G127" s="4427"/>
      <c r="H127" s="4425" t="e">
        <f>NUMBERSTRING(INT(H126*10000),2)&amp;"元整"</f>
        <v>#VALUE!</v>
      </c>
      <c r="I127" s="4427"/>
      <c r="AA127" s="493"/>
    </row>
    <row r="128" spans="1:27" ht="21.75" hidden="1" customHeight="1">
      <c r="A128" s="4529" t="s">
        <v>1422</v>
      </c>
      <c r="B128" s="4529"/>
      <c r="C128" s="4529"/>
      <c r="D128" s="4529"/>
      <c r="E128" s="4529"/>
      <c r="F128" s="4529"/>
      <c r="G128" s="4529"/>
      <c r="H128" s="4529"/>
      <c r="I128" s="4529"/>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27" t="str">
        <f>项目基本情况!B1</f>
        <v>北京市房地产抵押价值预评估</v>
      </c>
      <c r="C37" s="4327"/>
      <c r="D37" s="4327"/>
      <c r="E37" s="4327"/>
      <c r="F37" s="4327"/>
      <c r="G37" s="4327"/>
      <c r="H37" s="4327"/>
      <c r="I37" s="432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6FBC-19C8-4CF3-A598-9D166A1DD346}">
  <dimension ref="A1:N400"/>
  <sheetViews>
    <sheetView workbookViewId="0">
      <pane xSplit="2" ySplit="2" topLeftCell="D3" activePane="bottomRight" state="frozen"/>
      <selection activeCell="H17" sqref="H17"/>
      <selection pane="topRight" activeCell="H17" sqref="H17"/>
      <selection pane="bottomLeft" activeCell="H17" sqref="H17"/>
      <selection pane="bottomRight" activeCell="G16" sqref="G16"/>
    </sheetView>
  </sheetViews>
  <sheetFormatPr defaultRowHeight="16.5"/>
  <cols>
    <col min="1" max="1" width="9" style="4283"/>
    <col min="2" max="2" width="18.75" style="4291" bestFit="1" customWidth="1"/>
    <col min="3" max="3" width="22.75" style="4292" customWidth="1"/>
    <col min="4" max="4" width="15.25" style="4292" customWidth="1"/>
    <col min="5" max="5" width="14" style="4293" bestFit="1" customWidth="1"/>
    <col min="6" max="6" width="14.5" style="4293" bestFit="1" customWidth="1"/>
    <col min="7" max="7" width="9" style="4283"/>
    <col min="8" max="8" width="13" style="4283" bestFit="1" customWidth="1"/>
    <col min="9" max="9" width="10.5" style="4283" bestFit="1" customWidth="1"/>
    <col min="10" max="11" width="12.75" style="4283" bestFit="1" customWidth="1"/>
    <col min="12" max="12" width="10.5" style="4283" bestFit="1" customWidth="1"/>
    <col min="13" max="13" width="12.75" style="4283" bestFit="1" customWidth="1"/>
    <col min="14" max="14" width="11.625" style="4283" bestFit="1" customWidth="1"/>
    <col min="15" max="16384" width="9" style="4283"/>
  </cols>
  <sheetData>
    <row r="1" spans="1:14" ht="20.45" customHeight="1">
      <c r="A1" s="4542" t="s">
        <v>4650</v>
      </c>
      <c r="B1" s="4542"/>
      <c r="C1" s="4542"/>
      <c r="D1" s="4542"/>
      <c r="E1" s="4542"/>
      <c r="F1" s="4542"/>
    </row>
    <row r="2" spans="1:14" ht="15">
      <c r="A2" s="4284" t="s">
        <v>4651</v>
      </c>
      <c r="B2" s="4284" t="s">
        <v>4652</v>
      </c>
      <c r="C2" s="4285" t="s">
        <v>4653</v>
      </c>
      <c r="D2" s="4285" t="s">
        <v>4654</v>
      </c>
      <c r="E2" s="4286" t="s">
        <v>4655</v>
      </c>
      <c r="F2" s="4286" t="s">
        <v>4656</v>
      </c>
    </row>
    <row r="3" spans="1:14" ht="42.75">
      <c r="A3" s="4287">
        <v>388</v>
      </c>
      <c r="B3" s="4287" t="s">
        <v>4657</v>
      </c>
      <c r="C3" s="4288" t="s">
        <v>4658</v>
      </c>
      <c r="D3" s="4289">
        <v>6725.7</v>
      </c>
      <c r="E3" s="4290" t="s">
        <v>4659</v>
      </c>
      <c r="F3" s="4290" t="s">
        <v>4660</v>
      </c>
      <c r="H3" s="4321" t="s">
        <v>9857</v>
      </c>
      <c r="I3" s="4321"/>
      <c r="J3" s="4321" t="s">
        <v>9858</v>
      </c>
      <c r="K3" s="4321" t="s">
        <v>9859</v>
      </c>
      <c r="L3" s="4321" t="s">
        <v>9860</v>
      </c>
      <c r="M3" s="4321" t="s">
        <v>9861</v>
      </c>
      <c r="N3" s="4321" t="s">
        <v>9862</v>
      </c>
    </row>
    <row r="4" spans="1:14">
      <c r="A4" s="4287">
        <v>349</v>
      </c>
      <c r="B4" s="4287" t="s">
        <v>4657</v>
      </c>
      <c r="C4" s="4288" t="s">
        <v>4661</v>
      </c>
      <c r="D4" s="4289">
        <v>3723.4</v>
      </c>
      <c r="E4" s="4290" t="s">
        <v>4662</v>
      </c>
      <c r="F4" s="4290" t="s">
        <v>4663</v>
      </c>
      <c r="H4" s="4322" t="s">
        <v>5271</v>
      </c>
      <c r="I4" s="4322" t="s">
        <v>9863</v>
      </c>
      <c r="J4" s="4322">
        <f>SUM('收入台账-2025'!E3:E876)</f>
        <v>18296.254234000044</v>
      </c>
      <c r="K4" s="4323">
        <f>J4/J5-1</f>
        <v>-5.8913557031107677E-2</v>
      </c>
      <c r="L4" s="4322">
        <f>ROUND(J4/119963.53/365*10000,2)</f>
        <v>4.18</v>
      </c>
      <c r="M4" s="4322">
        <f>ROUND(J4/103688.47/365*10000,2)</f>
        <v>4.83</v>
      </c>
      <c r="N4" s="4322">
        <f>ROUND(J4/55920.42/365*10000,2)</f>
        <v>8.9600000000000009</v>
      </c>
    </row>
    <row r="5" spans="1:14">
      <c r="A5" s="4287">
        <v>167</v>
      </c>
      <c r="B5" s="4287" t="s">
        <v>4664</v>
      </c>
      <c r="C5" s="4288" t="s">
        <v>4665</v>
      </c>
      <c r="D5" s="4289">
        <v>1311.55</v>
      </c>
      <c r="E5" s="4290" t="s">
        <v>4659</v>
      </c>
      <c r="F5" s="4290" t="s">
        <v>4666</v>
      </c>
      <c r="H5" s="4322" t="s">
        <v>5275</v>
      </c>
      <c r="I5" s="4322" t="s">
        <v>9863</v>
      </c>
      <c r="J5" s="4322">
        <f>'收入台账-2024'!H3</f>
        <v>19441.629800000028</v>
      </c>
      <c r="K5" s="4323">
        <f>J5/J6-1</f>
        <v>-4.9156948221115049E-2</v>
      </c>
      <c r="L5" s="4322">
        <f>ROUND(J5/119963.53/365*10000,2)</f>
        <v>4.4400000000000004</v>
      </c>
      <c r="M5" s="4322">
        <f>ROUND(J5/103688.47/365*10000,2)</f>
        <v>5.14</v>
      </c>
      <c r="N5" s="4322">
        <f>ROUND(J5/55920.42/365*10000,2)</f>
        <v>9.5299999999999994</v>
      </c>
    </row>
    <row r="6" spans="1:14">
      <c r="A6" s="4287">
        <v>236</v>
      </c>
      <c r="B6" s="4287" t="s">
        <v>4664</v>
      </c>
      <c r="C6" s="4288" t="s">
        <v>4667</v>
      </c>
      <c r="D6" s="4289">
        <v>1282.3399999999999</v>
      </c>
      <c r="E6" s="4290" t="s">
        <v>4668</v>
      </c>
      <c r="F6" s="4290" t="s">
        <v>4669</v>
      </c>
      <c r="H6" s="4322" t="s">
        <v>5278</v>
      </c>
      <c r="I6" s="4322" t="s">
        <v>9863</v>
      </c>
      <c r="J6" s="4322">
        <f>'收入台账-2023'!H3</f>
        <v>20446.728577999966</v>
      </c>
      <c r="K6" s="4323">
        <f>J6/J7-1</f>
        <v>5.3747033979796965E-2</v>
      </c>
      <c r="L6" s="4322">
        <f>ROUND(J6/119963.53/365*10000,2)</f>
        <v>4.67</v>
      </c>
      <c r="M6" s="4322">
        <f>ROUND(J6/103688.47/365*10000,2)</f>
        <v>5.4</v>
      </c>
      <c r="N6" s="4322">
        <f>ROUND(J6/55920.42/365*10000,2)</f>
        <v>10.02</v>
      </c>
    </row>
    <row r="7" spans="1:14">
      <c r="A7" s="4287">
        <v>313</v>
      </c>
      <c r="B7" s="4287" t="s">
        <v>4664</v>
      </c>
      <c r="C7" s="4288" t="s">
        <v>4670</v>
      </c>
      <c r="D7" s="4289">
        <v>1048.26</v>
      </c>
      <c r="E7" s="4290" t="s">
        <v>4671</v>
      </c>
      <c r="F7" s="4290" t="s">
        <v>4672</v>
      </c>
      <c r="H7" s="4322">
        <v>2022</v>
      </c>
      <c r="I7" s="4322" t="s">
        <v>9863</v>
      </c>
      <c r="J7" s="4322">
        <f>'收入台账-2022'!H3</f>
        <v>19403.830254000015</v>
      </c>
      <c r="K7" s="4323">
        <f>J7/J8-1</f>
        <v>-5.6976137480148847E-2</v>
      </c>
      <c r="L7" s="4322">
        <f>ROUND(J7/119963.53/365*10000,2)</f>
        <v>4.43</v>
      </c>
      <c r="M7" s="4322">
        <f>ROUND(J7/103688.47/365*10000,2)</f>
        <v>5.13</v>
      </c>
      <c r="N7" s="4322">
        <f>ROUND(J7/55920.42/365*10000,2)</f>
        <v>9.51</v>
      </c>
    </row>
    <row r="8" spans="1:14">
      <c r="A8" s="4287">
        <v>168</v>
      </c>
      <c r="B8" s="4287" t="s">
        <v>4664</v>
      </c>
      <c r="C8" s="4288" t="s">
        <v>4673</v>
      </c>
      <c r="D8" s="4289">
        <v>1033.92</v>
      </c>
      <c r="E8" s="4290" t="s">
        <v>4659</v>
      </c>
      <c r="F8" s="4290" t="s">
        <v>4666</v>
      </c>
      <c r="H8" s="4322">
        <v>2021</v>
      </c>
      <c r="I8" s="4322" t="s">
        <v>9863</v>
      </c>
      <c r="J8" s="4322">
        <f>'收入台账-2021'!H3</f>
        <v>20576.18160599998</v>
      </c>
      <c r="K8" s="4323"/>
      <c r="L8" s="4322">
        <f>ROUND(J8/119963.53/365*10000,2)</f>
        <v>4.7</v>
      </c>
      <c r="M8" s="4322">
        <f>ROUND(J8/103688.47/365*10000,2)</f>
        <v>5.44</v>
      </c>
      <c r="N8" s="4322">
        <f>ROUND(J8/55920.42/365*10000,2)</f>
        <v>10.08</v>
      </c>
    </row>
    <row r="9" spans="1:14">
      <c r="A9" s="4287">
        <v>3</v>
      </c>
      <c r="B9" s="4287" t="s">
        <v>4674</v>
      </c>
      <c r="C9" s="4288" t="s">
        <v>4675</v>
      </c>
      <c r="D9" s="4289">
        <v>984.2</v>
      </c>
      <c r="E9" s="4290" t="s">
        <v>4659</v>
      </c>
      <c r="F9" s="4290" t="s">
        <v>4666</v>
      </c>
      <c r="H9" s="4324"/>
      <c r="I9" s="4324"/>
      <c r="J9" s="4324"/>
      <c r="K9" s="4324"/>
      <c r="L9" s="4324"/>
      <c r="M9" s="4324"/>
      <c r="N9" s="4324"/>
    </row>
    <row r="10" spans="1:14">
      <c r="A10" s="4287">
        <v>369</v>
      </c>
      <c r="B10" s="4287" t="s">
        <v>4674</v>
      </c>
      <c r="C10" s="4288" t="s">
        <v>4676</v>
      </c>
      <c r="D10" s="4289">
        <v>943.12</v>
      </c>
      <c r="E10" s="4290" t="s">
        <v>4677</v>
      </c>
      <c r="F10" s="4290" t="s">
        <v>4678</v>
      </c>
      <c r="H10" s="4325" t="s">
        <v>9864</v>
      </c>
      <c r="I10" s="4325" t="s">
        <v>9865</v>
      </c>
      <c r="J10" s="4325" t="s">
        <v>9866</v>
      </c>
      <c r="K10" s="4325" t="s">
        <v>9867</v>
      </c>
      <c r="L10" s="4325" t="s">
        <v>9868</v>
      </c>
      <c r="M10" s="4326" t="s">
        <v>9874</v>
      </c>
      <c r="N10" s="4325"/>
    </row>
    <row r="11" spans="1:14">
      <c r="A11" s="4287">
        <v>370</v>
      </c>
      <c r="B11" s="4287" t="s">
        <v>4674</v>
      </c>
      <c r="C11" s="4288" t="s">
        <v>4679</v>
      </c>
      <c r="D11" s="4289">
        <v>798.43</v>
      </c>
      <c r="E11" s="4290" t="s">
        <v>4680</v>
      </c>
      <c r="F11" s="4290" t="s">
        <v>4681</v>
      </c>
      <c r="H11" s="4325">
        <v>1</v>
      </c>
      <c r="I11" s="4325">
        <v>1</v>
      </c>
      <c r="J11" s="4325">
        <v>40000</v>
      </c>
      <c r="K11" s="4325">
        <v>8</v>
      </c>
      <c r="L11" s="4325">
        <f>面积指标!F31</f>
        <v>14320.11</v>
      </c>
      <c r="M11" s="4325">
        <f>K11*L11</f>
        <v>114560.88</v>
      </c>
      <c r="N11" s="4325">
        <f>J11*L11/10000</f>
        <v>57280.44</v>
      </c>
    </row>
    <row r="12" spans="1:14">
      <c r="A12" s="4287">
        <v>102</v>
      </c>
      <c r="B12" s="4287" t="s">
        <v>4674</v>
      </c>
      <c r="C12" s="4288" t="s">
        <v>4682</v>
      </c>
      <c r="D12" s="4289">
        <v>667.83</v>
      </c>
      <c r="E12" s="4290" t="s">
        <v>4683</v>
      </c>
      <c r="F12" s="4290" t="s">
        <v>4684</v>
      </c>
      <c r="H12" s="4325">
        <v>2</v>
      </c>
      <c r="I12" s="4325">
        <v>0.7</v>
      </c>
      <c r="J12" s="4325">
        <f t="shared" ref="J12:J18" si="0">$J$11*I12</f>
        <v>28000</v>
      </c>
      <c r="K12" s="4325">
        <f t="shared" ref="K12:K18" si="1">$K$11*I12</f>
        <v>5.6</v>
      </c>
      <c r="L12" s="4325">
        <f>面积指标!F32</f>
        <v>14588.99</v>
      </c>
      <c r="M12" s="4325">
        <f t="shared" ref="M12:M19" si="2">K12*L12</f>
        <v>81698.343999999997</v>
      </c>
      <c r="N12" s="4325">
        <f t="shared" ref="N12:N19" si="3">J12*L12/10000</f>
        <v>40849.171999999999</v>
      </c>
    </row>
    <row r="13" spans="1:14">
      <c r="A13" s="4287">
        <v>166</v>
      </c>
      <c r="B13" s="4287" t="s">
        <v>4674</v>
      </c>
      <c r="C13" s="4288" t="s">
        <v>4685</v>
      </c>
      <c r="D13" s="4289">
        <v>604.41999999999996</v>
      </c>
      <c r="E13" s="4290" t="s">
        <v>4686</v>
      </c>
      <c r="F13" s="4290" t="s">
        <v>4687</v>
      </c>
      <c r="H13" s="4325">
        <v>3</v>
      </c>
      <c r="I13" s="4325">
        <v>0.65</v>
      </c>
      <c r="J13" s="4325">
        <f t="shared" si="0"/>
        <v>26000</v>
      </c>
      <c r="K13" s="4325">
        <f t="shared" si="1"/>
        <v>5.2</v>
      </c>
      <c r="L13" s="4325">
        <f>面积指标!F33</f>
        <v>14713.93</v>
      </c>
      <c r="M13" s="4325">
        <f t="shared" si="2"/>
        <v>76512.436000000002</v>
      </c>
      <c r="N13" s="4325">
        <f t="shared" si="3"/>
        <v>38256.218000000001</v>
      </c>
    </row>
    <row r="14" spans="1:14">
      <c r="A14" s="4287">
        <v>84</v>
      </c>
      <c r="B14" s="4287" t="s">
        <v>4674</v>
      </c>
      <c r="C14" s="4288" t="s">
        <v>4688</v>
      </c>
      <c r="D14" s="4289">
        <v>540.4</v>
      </c>
      <c r="E14" s="4290" t="s">
        <v>4689</v>
      </c>
      <c r="F14" s="4290" t="s">
        <v>4690</v>
      </c>
      <c r="H14" s="4325">
        <v>4</v>
      </c>
      <c r="I14" s="4325">
        <v>0.6</v>
      </c>
      <c r="J14" s="4325">
        <f t="shared" si="0"/>
        <v>24000</v>
      </c>
      <c r="K14" s="4325">
        <f t="shared" si="1"/>
        <v>4.8</v>
      </c>
      <c r="L14" s="4325">
        <f>面积指标!F34</f>
        <v>14715.7</v>
      </c>
      <c r="M14" s="4325">
        <f t="shared" si="2"/>
        <v>70635.360000000001</v>
      </c>
      <c r="N14" s="4325">
        <f t="shared" si="3"/>
        <v>35317.68</v>
      </c>
    </row>
    <row r="15" spans="1:14">
      <c r="A15" s="4287">
        <v>336</v>
      </c>
      <c r="B15" s="4287" t="s">
        <v>4674</v>
      </c>
      <c r="C15" s="4288" t="s">
        <v>4691</v>
      </c>
      <c r="D15" s="4289">
        <v>524.28</v>
      </c>
      <c r="E15" s="4290" t="s">
        <v>4692</v>
      </c>
      <c r="F15" s="4290" t="s">
        <v>4681</v>
      </c>
      <c r="H15" s="4325">
        <v>5</v>
      </c>
      <c r="I15" s="4325">
        <v>0.6</v>
      </c>
      <c r="J15" s="4325">
        <f t="shared" si="0"/>
        <v>24000</v>
      </c>
      <c r="K15" s="4325">
        <f t="shared" si="1"/>
        <v>4.8</v>
      </c>
      <c r="L15" s="4325">
        <f>面积指标!F35</f>
        <v>14978.2</v>
      </c>
      <c r="M15" s="4325">
        <f t="shared" si="2"/>
        <v>71895.360000000001</v>
      </c>
      <c r="N15" s="4325">
        <f t="shared" si="3"/>
        <v>35947.68</v>
      </c>
    </row>
    <row r="16" spans="1:14">
      <c r="A16" s="4287">
        <v>249</v>
      </c>
      <c r="B16" s="4287" t="s">
        <v>4674</v>
      </c>
      <c r="C16" s="4288" t="s">
        <v>4693</v>
      </c>
      <c r="D16" s="4289">
        <v>515.46</v>
      </c>
      <c r="E16" s="4290" t="s">
        <v>4694</v>
      </c>
      <c r="F16" s="4290" t="s">
        <v>4666</v>
      </c>
      <c r="H16" s="4325">
        <v>6</v>
      </c>
      <c r="I16" s="4325">
        <v>0.6</v>
      </c>
      <c r="J16" s="4325">
        <f t="shared" si="0"/>
        <v>24000</v>
      </c>
      <c r="K16" s="4325">
        <f t="shared" si="1"/>
        <v>4.8</v>
      </c>
      <c r="L16" s="4325">
        <f>面积指标!F36</f>
        <v>12235</v>
      </c>
      <c r="M16" s="4325">
        <f t="shared" si="2"/>
        <v>58728</v>
      </c>
      <c r="N16" s="4325">
        <f t="shared" si="3"/>
        <v>29364</v>
      </c>
    </row>
    <row r="17" spans="1:14">
      <c r="A17" s="4287">
        <v>232</v>
      </c>
      <c r="B17" s="4287" t="s">
        <v>4674</v>
      </c>
      <c r="C17" s="4288" t="s">
        <v>4695</v>
      </c>
      <c r="D17" s="4289">
        <v>485.09</v>
      </c>
      <c r="E17" s="4290" t="s">
        <v>4696</v>
      </c>
      <c r="F17" s="4290" t="s">
        <v>4697</v>
      </c>
      <c r="H17" s="4325" t="s">
        <v>9869</v>
      </c>
      <c r="I17" s="4325">
        <v>0.6</v>
      </c>
      <c r="J17" s="4325">
        <f t="shared" si="0"/>
        <v>24000</v>
      </c>
      <c r="K17" s="4325">
        <f t="shared" si="1"/>
        <v>4.8</v>
      </c>
      <c r="L17" s="4325">
        <f>面积指标!G37</f>
        <v>15467.050000000001</v>
      </c>
      <c r="M17" s="4325">
        <f t="shared" si="2"/>
        <v>74241.84</v>
      </c>
      <c r="N17" s="4325">
        <f t="shared" si="3"/>
        <v>37120.92</v>
      </c>
    </row>
    <row r="18" spans="1:14">
      <c r="A18" s="4287">
        <v>152</v>
      </c>
      <c r="B18" s="4287" t="s">
        <v>4674</v>
      </c>
      <c r="C18" s="4288" t="s">
        <v>4698</v>
      </c>
      <c r="D18" s="4289">
        <v>431.07</v>
      </c>
      <c r="E18" s="4290" t="s">
        <v>4699</v>
      </c>
      <c r="F18" s="4290" t="s">
        <v>4700</v>
      </c>
      <c r="H18" s="4325" t="s">
        <v>9870</v>
      </c>
      <c r="I18" s="4325">
        <v>0.4</v>
      </c>
      <c r="J18" s="4325">
        <f t="shared" si="0"/>
        <v>16000</v>
      </c>
      <c r="K18" s="4325">
        <f t="shared" si="1"/>
        <v>3.2</v>
      </c>
      <c r="L18" s="4325">
        <f>面积指标!H37</f>
        <v>2669.4900000000071</v>
      </c>
      <c r="M18" s="4325">
        <f t="shared" si="2"/>
        <v>8542.3680000000222</v>
      </c>
      <c r="N18" s="4325">
        <f t="shared" si="3"/>
        <v>4271.1840000000111</v>
      </c>
    </row>
    <row r="19" spans="1:14">
      <c r="A19" s="4287">
        <v>259</v>
      </c>
      <c r="B19" s="4287" t="s">
        <v>4674</v>
      </c>
      <c r="C19" s="4288" t="s">
        <v>4701</v>
      </c>
      <c r="D19" s="4289">
        <v>418.72</v>
      </c>
      <c r="E19" s="4290" t="s">
        <v>4702</v>
      </c>
      <c r="F19" s="4290" t="s">
        <v>4703</v>
      </c>
      <c r="H19" s="4325" t="s">
        <v>9871</v>
      </c>
      <c r="I19" s="4325"/>
      <c r="J19" s="4325"/>
      <c r="K19" s="4325">
        <f>ROUND(1000/30/35,2)</f>
        <v>0.95</v>
      </c>
      <c r="L19" s="4325"/>
      <c r="M19" s="4325">
        <f t="shared" si="2"/>
        <v>0</v>
      </c>
      <c r="N19" s="4325">
        <f t="shared" si="3"/>
        <v>0</v>
      </c>
    </row>
    <row r="20" spans="1:14">
      <c r="A20" s="4287">
        <v>248</v>
      </c>
      <c r="B20" s="4287" t="s">
        <v>4674</v>
      </c>
      <c r="C20" s="4288" t="s">
        <v>4704</v>
      </c>
      <c r="D20" s="4289">
        <v>416.71</v>
      </c>
      <c r="E20" s="4290" t="s">
        <v>4705</v>
      </c>
      <c r="F20" s="4290" t="s">
        <v>4706</v>
      </c>
      <c r="H20" s="4325"/>
      <c r="I20" s="4325"/>
      <c r="J20" s="4325">
        <f>ROUND(N20/L20*10000,0)</f>
        <v>26850</v>
      </c>
      <c r="K20" s="4325">
        <f>ROUND(M20/L20,2)</f>
        <v>5.37</v>
      </c>
      <c r="L20" s="4325">
        <f t="shared" ref="L20:M20" si="4">SUM(L11:L19)</f>
        <v>103688.47</v>
      </c>
      <c r="M20" s="4325">
        <f t="shared" si="4"/>
        <v>556814.58799999999</v>
      </c>
      <c r="N20" s="4325">
        <f>SUM(N11:N19)</f>
        <v>278407.29399999999</v>
      </c>
    </row>
    <row r="21" spans="1:14">
      <c r="A21" s="4287">
        <v>200</v>
      </c>
      <c r="B21" s="4287" t="s">
        <v>4674</v>
      </c>
      <c r="C21" s="4288" t="s">
        <v>4707</v>
      </c>
      <c r="D21" s="4289">
        <v>406.08</v>
      </c>
      <c r="E21" s="4290" t="s">
        <v>4708</v>
      </c>
      <c r="F21" s="4290" t="s">
        <v>4709</v>
      </c>
      <c r="M21" s="4325">
        <f>M20*365/10000</f>
        <v>20323.732462</v>
      </c>
    </row>
    <row r="22" spans="1:14">
      <c r="A22" s="4287">
        <v>133</v>
      </c>
      <c r="B22" s="4287" t="s">
        <v>4674</v>
      </c>
      <c r="C22" s="4288" t="s">
        <v>4710</v>
      </c>
      <c r="D22" s="4289">
        <v>396.44</v>
      </c>
      <c r="E22" s="4290" t="s">
        <v>4711</v>
      </c>
      <c r="F22" s="4290" t="s">
        <v>4712</v>
      </c>
      <c r="H22" s="4325"/>
      <c r="I22" s="4325" t="str">
        <f>面积指标!K2</f>
        <v>建筑面积</v>
      </c>
      <c r="J22" s="4325" t="str">
        <f>面积指标!L2</f>
        <v>房地产价值</v>
      </c>
      <c r="K22" s="4325" t="str">
        <f>面积指标!M2</f>
        <v>楼面单价</v>
      </c>
    </row>
    <row r="23" spans="1:14">
      <c r="A23" s="4287">
        <v>238</v>
      </c>
      <c r="B23" s="4287" t="s">
        <v>4674</v>
      </c>
      <c r="C23" s="4288" t="s">
        <v>4713</v>
      </c>
      <c r="D23" s="4289">
        <v>389</v>
      </c>
      <c r="E23" s="4290" t="s">
        <v>4659</v>
      </c>
      <c r="F23" s="4290" t="s">
        <v>4714</v>
      </c>
      <c r="H23" s="4325" t="str">
        <f>面积指标!J3</f>
        <v>地上商业</v>
      </c>
      <c r="I23" s="4325">
        <f>'数据-汇总表'!F19</f>
        <v>85551.93</v>
      </c>
      <c r="J23" s="4325">
        <f ca="1">ROUND(结果表!E118*'土地比较法-住宅、综合'!F58/'土地比较法-住宅、综合'!F67+结果表!F118*I23/10000,0)</f>
        <v>225905</v>
      </c>
      <c r="K23" s="4325">
        <f ca="1">ROUND(J23/I23*10000,0)</f>
        <v>26406</v>
      </c>
    </row>
    <row r="24" spans="1:14">
      <c r="A24" s="4287">
        <v>155</v>
      </c>
      <c r="B24" s="4287" t="s">
        <v>4674</v>
      </c>
      <c r="C24" s="4288" t="s">
        <v>4715</v>
      </c>
      <c r="D24" s="4289">
        <v>372.05</v>
      </c>
      <c r="E24" s="4290" t="s">
        <v>4716</v>
      </c>
      <c r="F24" s="4290" t="s">
        <v>4717</v>
      </c>
      <c r="H24" s="4325" t="str">
        <f>面积指标!J4</f>
        <v>地下一层商业</v>
      </c>
      <c r="I24" s="4325">
        <f>面积指标!G37</f>
        <v>15467.050000000001</v>
      </c>
      <c r="J24" s="4325">
        <f ca="1">ROUND(结果表!E118*'土地比较法-住宅、综合'!F59/'土地比较法-住宅、综合'!F67+结果表!F118*I24/10000,0)</f>
        <v>17141</v>
      </c>
      <c r="K24" s="4325">
        <f t="shared" ref="K24:K27" ca="1" si="5">ROUND(J24/I24*10000,0)</f>
        <v>11082</v>
      </c>
    </row>
    <row r="25" spans="1:14">
      <c r="A25" s="4287">
        <v>233</v>
      </c>
      <c r="B25" s="4287" t="s">
        <v>4674</v>
      </c>
      <c r="C25" s="4288" t="s">
        <v>4718</v>
      </c>
      <c r="D25" s="4289">
        <v>369.51</v>
      </c>
      <c r="E25" s="4290" t="s">
        <v>4719</v>
      </c>
      <c r="F25" s="4290" t="s">
        <v>4720</v>
      </c>
      <c r="H25" s="4325" t="str">
        <f>面积指标!J5</f>
        <v>地下二层商业</v>
      </c>
      <c r="I25" s="4325">
        <f>面积指标!H37</f>
        <v>2669.4900000000071</v>
      </c>
      <c r="J25" s="4325">
        <f ca="1">ROUND(结果表!E118*'土地比较法-住宅、综合'!F60/'土地比较法-住宅、综合'!F67+结果表!F118*I25/10000,0)</f>
        <v>2598</v>
      </c>
      <c r="K25" s="4325">
        <f t="shared" ca="1" si="5"/>
        <v>9732</v>
      </c>
    </row>
    <row r="26" spans="1:14">
      <c r="A26" s="4287">
        <v>257</v>
      </c>
      <c r="B26" s="4287" t="s">
        <v>4674</v>
      </c>
      <c r="C26" s="4288" t="s">
        <v>4721</v>
      </c>
      <c r="D26" s="4289">
        <v>356.62</v>
      </c>
      <c r="E26" s="4290" t="s">
        <v>4722</v>
      </c>
      <c r="F26" s="4290" t="s">
        <v>4723</v>
      </c>
      <c r="H26" s="4325" t="str">
        <f>面积指标!J6</f>
        <v>地下车库</v>
      </c>
      <c r="I26" s="4325">
        <f>面积指标!F25</f>
        <v>16275.06</v>
      </c>
      <c r="J26" s="4325">
        <f ca="1">ROUND(结果表!E118*'土地比较法-住宅、综合'!F61/'土地比较法-住宅、综合'!F67+结果表!F118*I26/10000,0)</f>
        <v>13635</v>
      </c>
      <c r="K26" s="4325">
        <f t="shared" ca="1" si="5"/>
        <v>8378</v>
      </c>
    </row>
    <row r="27" spans="1:14">
      <c r="A27" s="4287">
        <v>350</v>
      </c>
      <c r="B27" s="4287" t="s">
        <v>4674</v>
      </c>
      <c r="C27" s="4288" t="s">
        <v>4724</v>
      </c>
      <c r="D27" s="4289">
        <v>356.45</v>
      </c>
      <c r="E27" s="4290" t="s">
        <v>4725</v>
      </c>
      <c r="F27" s="4290" t="s">
        <v>4726</v>
      </c>
      <c r="H27" s="4325"/>
      <c r="I27" s="4325">
        <f>SUM(I23:I26)</f>
        <v>119963.53</v>
      </c>
      <c r="J27" s="4325">
        <f ca="1">SUM(J23:J26)</f>
        <v>259279</v>
      </c>
      <c r="K27" s="4325">
        <f t="shared" ca="1" si="5"/>
        <v>21613</v>
      </c>
    </row>
    <row r="28" spans="1:14">
      <c r="A28" s="4287">
        <v>237</v>
      </c>
      <c r="B28" s="4287" t="s">
        <v>4674</v>
      </c>
      <c r="C28" s="4288" t="s">
        <v>4727</v>
      </c>
      <c r="D28" s="4289">
        <v>355.68</v>
      </c>
      <c r="E28" s="4290" t="s">
        <v>4659</v>
      </c>
      <c r="F28" s="4290" t="s">
        <v>4714</v>
      </c>
    </row>
    <row r="29" spans="1:14">
      <c r="A29" s="4287">
        <v>226</v>
      </c>
      <c r="B29" s="4287" t="s">
        <v>4674</v>
      </c>
      <c r="C29" s="4288" t="s">
        <v>4728</v>
      </c>
      <c r="D29" s="4289">
        <v>348.83</v>
      </c>
      <c r="E29" s="4290" t="s">
        <v>4729</v>
      </c>
      <c r="F29" s="4290" t="s">
        <v>4730</v>
      </c>
    </row>
    <row r="30" spans="1:14">
      <c r="A30" s="4287">
        <v>366</v>
      </c>
      <c r="B30" s="4287" t="s">
        <v>4674</v>
      </c>
      <c r="C30" s="4288" t="s">
        <v>4731</v>
      </c>
      <c r="D30" s="4289">
        <v>345.78</v>
      </c>
      <c r="E30" s="4290" t="s">
        <v>4732</v>
      </c>
      <c r="F30" s="4290" t="s">
        <v>4733</v>
      </c>
    </row>
    <row r="31" spans="1:14">
      <c r="A31" s="4287">
        <v>185</v>
      </c>
      <c r="B31" s="4287" t="s">
        <v>4674</v>
      </c>
      <c r="C31" s="4288" t="s">
        <v>4734</v>
      </c>
      <c r="D31" s="4289">
        <v>343.56</v>
      </c>
      <c r="E31" s="4290" t="s">
        <v>4735</v>
      </c>
      <c r="F31" s="4290" t="s">
        <v>4736</v>
      </c>
    </row>
    <row r="32" spans="1:14">
      <c r="A32" s="4287">
        <v>312</v>
      </c>
      <c r="B32" s="4287" t="s">
        <v>4674</v>
      </c>
      <c r="C32" s="4288" t="s">
        <v>4737</v>
      </c>
      <c r="D32" s="4289">
        <v>331.2</v>
      </c>
      <c r="E32" s="4290" t="s">
        <v>4671</v>
      </c>
      <c r="F32" s="4290" t="s">
        <v>4738</v>
      </c>
    </row>
    <row r="33" spans="1:6">
      <c r="A33" s="4287">
        <v>255</v>
      </c>
      <c r="B33" s="4287" t="s">
        <v>4674</v>
      </c>
      <c r="C33" s="4288" t="s">
        <v>4739</v>
      </c>
      <c r="D33" s="4289">
        <v>327.33</v>
      </c>
      <c r="E33" s="4290" t="s">
        <v>4740</v>
      </c>
      <c r="F33" s="4290" t="s">
        <v>4741</v>
      </c>
    </row>
    <row r="34" spans="1:6">
      <c r="A34" s="4287">
        <v>386</v>
      </c>
      <c r="B34" s="4287" t="s">
        <v>4674</v>
      </c>
      <c r="C34" s="4288" t="s">
        <v>4742</v>
      </c>
      <c r="D34" s="4289">
        <v>324.52999999999997</v>
      </c>
      <c r="E34" s="4290" t="s">
        <v>4659</v>
      </c>
      <c r="F34" s="4290" t="s">
        <v>4714</v>
      </c>
    </row>
    <row r="35" spans="1:6">
      <c r="A35" s="4287">
        <v>320</v>
      </c>
      <c r="B35" s="4287" t="s">
        <v>4674</v>
      </c>
      <c r="C35" s="4288" t="s">
        <v>4743</v>
      </c>
      <c r="D35" s="4289">
        <v>323.77</v>
      </c>
      <c r="E35" s="4290" t="s">
        <v>4672</v>
      </c>
      <c r="F35" s="4290" t="s">
        <v>4744</v>
      </c>
    </row>
    <row r="36" spans="1:6">
      <c r="A36" s="4287">
        <v>330</v>
      </c>
      <c r="B36" s="4287" t="s">
        <v>4674</v>
      </c>
      <c r="C36" s="4288" t="s">
        <v>4745</v>
      </c>
      <c r="D36" s="4289">
        <v>317.91000000000003</v>
      </c>
      <c r="E36" s="4290" t="s">
        <v>4746</v>
      </c>
      <c r="F36" s="4290" t="s">
        <v>4747</v>
      </c>
    </row>
    <row r="37" spans="1:6">
      <c r="A37" s="4287">
        <v>62</v>
      </c>
      <c r="B37" s="4287" t="s">
        <v>4674</v>
      </c>
      <c r="C37" s="4288" t="s">
        <v>4748</v>
      </c>
      <c r="D37" s="4289">
        <v>317.2</v>
      </c>
      <c r="E37" s="4290" t="s">
        <v>4749</v>
      </c>
      <c r="F37" s="4290" t="s">
        <v>4750</v>
      </c>
    </row>
    <row r="38" spans="1:6">
      <c r="A38" s="4287">
        <v>230</v>
      </c>
      <c r="B38" s="4287" t="s">
        <v>4674</v>
      </c>
      <c r="C38" s="4288" t="s">
        <v>4751</v>
      </c>
      <c r="D38" s="4289">
        <v>310.13</v>
      </c>
      <c r="E38" s="4290" t="s">
        <v>4752</v>
      </c>
      <c r="F38" s="4290" t="s">
        <v>4753</v>
      </c>
    </row>
    <row r="39" spans="1:6">
      <c r="A39" s="4287">
        <v>250</v>
      </c>
      <c r="B39" s="4287" t="s">
        <v>4674</v>
      </c>
      <c r="C39" s="4288" t="s">
        <v>4754</v>
      </c>
      <c r="D39" s="4289">
        <v>308.83</v>
      </c>
      <c r="E39" s="4290" t="s">
        <v>4755</v>
      </c>
      <c r="F39" s="4290" t="s">
        <v>4756</v>
      </c>
    </row>
    <row r="40" spans="1:6">
      <c r="A40" s="4287">
        <v>157</v>
      </c>
      <c r="B40" s="4287" t="s">
        <v>4674</v>
      </c>
      <c r="C40" s="4288" t="s">
        <v>4757</v>
      </c>
      <c r="D40" s="4289">
        <v>296.82</v>
      </c>
      <c r="E40" s="4290" t="s">
        <v>4758</v>
      </c>
      <c r="F40" s="4290" t="s">
        <v>4703</v>
      </c>
    </row>
    <row r="41" spans="1:6">
      <c r="A41" s="4287">
        <v>213</v>
      </c>
      <c r="B41" s="4287" t="s">
        <v>4674</v>
      </c>
      <c r="C41" s="4288" t="s">
        <v>4759</v>
      </c>
      <c r="D41" s="4289">
        <v>294.76</v>
      </c>
      <c r="E41" s="4290" t="s">
        <v>4760</v>
      </c>
      <c r="F41" s="4290" t="s">
        <v>4761</v>
      </c>
    </row>
    <row r="42" spans="1:6">
      <c r="A42" s="4287">
        <v>178</v>
      </c>
      <c r="B42" s="4287" t="s">
        <v>4674</v>
      </c>
      <c r="C42" s="4288" t="s">
        <v>4762</v>
      </c>
      <c r="D42" s="4289">
        <v>292.05</v>
      </c>
      <c r="E42" s="4290" t="s">
        <v>4671</v>
      </c>
      <c r="F42" s="4290" t="s">
        <v>4672</v>
      </c>
    </row>
    <row r="43" spans="1:6">
      <c r="A43" s="4287">
        <v>243</v>
      </c>
      <c r="B43" s="4287" t="s">
        <v>4674</v>
      </c>
      <c r="C43" s="4288" t="s">
        <v>4763</v>
      </c>
      <c r="D43" s="4289">
        <v>287.06</v>
      </c>
      <c r="E43" s="4290" t="s">
        <v>4764</v>
      </c>
      <c r="F43" s="4290" t="s">
        <v>4720</v>
      </c>
    </row>
    <row r="44" spans="1:6">
      <c r="A44" s="4287">
        <v>224</v>
      </c>
      <c r="B44" s="4287" t="s">
        <v>4674</v>
      </c>
      <c r="C44" s="4288" t="s">
        <v>4765</v>
      </c>
      <c r="D44" s="4289">
        <v>282.13</v>
      </c>
      <c r="E44" s="4290" t="s">
        <v>4766</v>
      </c>
      <c r="F44" s="4290" t="s">
        <v>4767</v>
      </c>
    </row>
    <row r="45" spans="1:6">
      <c r="A45" s="4287">
        <v>146</v>
      </c>
      <c r="B45" s="4287" t="s">
        <v>4674</v>
      </c>
      <c r="C45" s="4288" t="s">
        <v>4768</v>
      </c>
      <c r="D45" s="4289">
        <v>279.66000000000003</v>
      </c>
      <c r="E45" s="4290" t="s">
        <v>4769</v>
      </c>
      <c r="F45" s="4290" t="s">
        <v>4770</v>
      </c>
    </row>
    <row r="46" spans="1:6">
      <c r="A46" s="4287">
        <v>163</v>
      </c>
      <c r="B46" s="4287" t="s">
        <v>4674</v>
      </c>
      <c r="C46" s="4288" t="s">
        <v>4771</v>
      </c>
      <c r="D46" s="4289">
        <v>275.94</v>
      </c>
      <c r="E46" s="4290" t="s">
        <v>4772</v>
      </c>
      <c r="F46" s="4290" t="s">
        <v>4773</v>
      </c>
    </row>
    <row r="47" spans="1:6">
      <c r="A47" s="4287">
        <v>334</v>
      </c>
      <c r="B47" s="4287" t="s">
        <v>4674</v>
      </c>
      <c r="C47" s="4288" t="s">
        <v>4774</v>
      </c>
      <c r="D47" s="4289">
        <v>262.73</v>
      </c>
      <c r="E47" s="4290" t="s">
        <v>4775</v>
      </c>
      <c r="F47" s="4290" t="s">
        <v>4687</v>
      </c>
    </row>
    <row r="48" spans="1:6">
      <c r="A48" s="4287">
        <v>79</v>
      </c>
      <c r="B48" s="4287" t="s">
        <v>4674</v>
      </c>
      <c r="C48" s="4288" t="s">
        <v>4776</v>
      </c>
      <c r="D48" s="4289">
        <v>261.8</v>
      </c>
      <c r="E48" s="4290" t="s">
        <v>4777</v>
      </c>
      <c r="F48" s="4290" t="s">
        <v>4778</v>
      </c>
    </row>
    <row r="49" spans="1:6">
      <c r="A49" s="4287">
        <v>150</v>
      </c>
      <c r="B49" s="4287" t="s">
        <v>4674</v>
      </c>
      <c r="C49" s="4288" t="s">
        <v>4779</v>
      </c>
      <c r="D49" s="4289">
        <v>255.22</v>
      </c>
      <c r="E49" s="4290" t="s">
        <v>4764</v>
      </c>
      <c r="F49" s="4290" t="s">
        <v>4714</v>
      </c>
    </row>
    <row r="50" spans="1:6">
      <c r="A50" s="4287">
        <v>207</v>
      </c>
      <c r="B50" s="4287" t="s">
        <v>4674</v>
      </c>
      <c r="C50" s="4288" t="s">
        <v>4780</v>
      </c>
      <c r="D50" s="4289">
        <v>252.99</v>
      </c>
      <c r="E50" s="4290" t="s">
        <v>4781</v>
      </c>
      <c r="F50" s="4290" t="s">
        <v>4782</v>
      </c>
    </row>
    <row r="51" spans="1:6">
      <c r="A51" s="4287">
        <v>258</v>
      </c>
      <c r="B51" s="4287" t="s">
        <v>4674</v>
      </c>
      <c r="C51" s="4288" t="s">
        <v>4783</v>
      </c>
      <c r="D51" s="4289">
        <v>252.45</v>
      </c>
      <c r="E51" s="4290" t="s">
        <v>4784</v>
      </c>
      <c r="F51" s="4290" t="s">
        <v>4785</v>
      </c>
    </row>
    <row r="52" spans="1:6">
      <c r="A52" s="4287">
        <v>158</v>
      </c>
      <c r="B52" s="4287" t="s">
        <v>4674</v>
      </c>
      <c r="C52" s="4288" t="s">
        <v>4786</v>
      </c>
      <c r="D52" s="4289">
        <v>252.3</v>
      </c>
      <c r="E52" s="4290" t="s">
        <v>4787</v>
      </c>
      <c r="F52" s="4290" t="s">
        <v>4788</v>
      </c>
    </row>
    <row r="53" spans="1:6">
      <c r="A53" s="4287">
        <v>159</v>
      </c>
      <c r="B53" s="4287" t="s">
        <v>4674</v>
      </c>
      <c r="C53" s="4288" t="s">
        <v>4789</v>
      </c>
      <c r="D53" s="4289">
        <v>245.66</v>
      </c>
      <c r="E53" s="4290" t="s">
        <v>4790</v>
      </c>
      <c r="F53" s="4290" t="s">
        <v>4791</v>
      </c>
    </row>
    <row r="54" spans="1:6">
      <c r="A54" s="4287">
        <v>341</v>
      </c>
      <c r="B54" s="4287" t="s">
        <v>4674</v>
      </c>
      <c r="C54" s="4288" t="s">
        <v>4792</v>
      </c>
      <c r="D54" s="4289">
        <v>244.5</v>
      </c>
      <c r="E54" s="4290" t="s">
        <v>4793</v>
      </c>
      <c r="F54" s="4290" t="s">
        <v>4794</v>
      </c>
    </row>
    <row r="55" spans="1:6">
      <c r="A55" s="4287">
        <v>94</v>
      </c>
      <c r="B55" s="4287" t="s">
        <v>4674</v>
      </c>
      <c r="C55" s="4288" t="s">
        <v>4795</v>
      </c>
      <c r="D55" s="4289">
        <v>243.98</v>
      </c>
      <c r="E55" s="4290" t="s">
        <v>4796</v>
      </c>
      <c r="F55" s="4290" t="s">
        <v>4797</v>
      </c>
    </row>
    <row r="56" spans="1:6">
      <c r="A56" s="4287">
        <v>371</v>
      </c>
      <c r="B56" s="4287" t="s">
        <v>4674</v>
      </c>
      <c r="C56" s="4288" t="s">
        <v>4776</v>
      </c>
      <c r="D56" s="4289">
        <v>243.37</v>
      </c>
      <c r="E56" s="4290" t="s">
        <v>4764</v>
      </c>
      <c r="F56" s="4290" t="s">
        <v>4720</v>
      </c>
    </row>
    <row r="57" spans="1:6">
      <c r="A57" s="4287">
        <v>220</v>
      </c>
      <c r="B57" s="4287" t="s">
        <v>4674</v>
      </c>
      <c r="C57" s="4288" t="s">
        <v>4798</v>
      </c>
      <c r="D57" s="4289">
        <v>235.18</v>
      </c>
      <c r="E57" s="4290" t="s">
        <v>4799</v>
      </c>
      <c r="F57" s="4290" t="s">
        <v>4800</v>
      </c>
    </row>
    <row r="58" spans="1:6">
      <c r="A58" s="4287">
        <v>164</v>
      </c>
      <c r="B58" s="4287" t="s">
        <v>4674</v>
      </c>
      <c r="C58" s="4288" t="s">
        <v>4801</v>
      </c>
      <c r="D58" s="4289">
        <v>233.18</v>
      </c>
      <c r="E58" s="4290" t="s">
        <v>4802</v>
      </c>
      <c r="F58" s="4290" t="s">
        <v>4803</v>
      </c>
    </row>
    <row r="59" spans="1:6">
      <c r="A59" s="4287">
        <v>331</v>
      </c>
      <c r="B59" s="4287" t="s">
        <v>4674</v>
      </c>
      <c r="C59" s="4288" t="s">
        <v>4804</v>
      </c>
      <c r="D59" s="4289">
        <v>230.78</v>
      </c>
      <c r="E59" s="4290" t="s">
        <v>4805</v>
      </c>
      <c r="F59" s="4290" t="s">
        <v>4806</v>
      </c>
    </row>
    <row r="60" spans="1:6">
      <c r="A60" s="4287">
        <v>2</v>
      </c>
      <c r="B60" s="4287" t="s">
        <v>4674</v>
      </c>
      <c r="C60" s="4288" t="s">
        <v>4807</v>
      </c>
      <c r="D60" s="4289">
        <v>228.12</v>
      </c>
      <c r="E60" s="4290" t="s">
        <v>4659</v>
      </c>
      <c r="F60" s="4290" t="s">
        <v>4666</v>
      </c>
    </row>
    <row r="61" spans="1:6">
      <c r="A61" s="4287">
        <v>385</v>
      </c>
      <c r="B61" s="4287" t="s">
        <v>4674</v>
      </c>
      <c r="C61" s="4288" t="s">
        <v>4808</v>
      </c>
      <c r="D61" s="4289">
        <v>223.24</v>
      </c>
      <c r="E61" s="4290" t="s">
        <v>4809</v>
      </c>
      <c r="F61" s="4290" t="s">
        <v>4791</v>
      </c>
    </row>
    <row r="62" spans="1:6">
      <c r="A62" s="4287">
        <v>87</v>
      </c>
      <c r="B62" s="4287" t="s">
        <v>4674</v>
      </c>
      <c r="C62" s="4288" t="s">
        <v>4810</v>
      </c>
      <c r="D62" s="4289">
        <v>220.19</v>
      </c>
      <c r="E62" s="4290" t="s">
        <v>4777</v>
      </c>
      <c r="F62" s="4290" t="s">
        <v>4811</v>
      </c>
    </row>
    <row r="63" spans="1:6">
      <c r="A63" s="4287">
        <v>96</v>
      </c>
      <c r="B63" s="4287" t="s">
        <v>4674</v>
      </c>
      <c r="C63" s="4288" t="s">
        <v>4812</v>
      </c>
      <c r="D63" s="4289">
        <v>218.93</v>
      </c>
      <c r="E63" s="4290" t="s">
        <v>4813</v>
      </c>
      <c r="F63" s="4290" t="s">
        <v>4672</v>
      </c>
    </row>
    <row r="64" spans="1:6">
      <c r="A64" s="4287">
        <v>299</v>
      </c>
      <c r="B64" s="4287" t="s">
        <v>4674</v>
      </c>
      <c r="C64" s="4288" t="s">
        <v>4814</v>
      </c>
      <c r="D64" s="4289">
        <v>217.95</v>
      </c>
      <c r="E64" s="4290" t="s">
        <v>4815</v>
      </c>
      <c r="F64" s="4290" t="s">
        <v>4816</v>
      </c>
    </row>
    <row r="65" spans="1:6">
      <c r="A65" s="4287">
        <v>107</v>
      </c>
      <c r="B65" s="4287" t="s">
        <v>4674</v>
      </c>
      <c r="C65" s="4288" t="s">
        <v>4817</v>
      </c>
      <c r="D65" s="4289">
        <v>216.67</v>
      </c>
      <c r="E65" s="4290" t="s">
        <v>4818</v>
      </c>
      <c r="F65" s="4290" t="s">
        <v>4819</v>
      </c>
    </row>
    <row r="66" spans="1:6">
      <c r="A66" s="4287">
        <v>119</v>
      </c>
      <c r="B66" s="4287" t="s">
        <v>4674</v>
      </c>
      <c r="C66" s="4288" t="s">
        <v>4820</v>
      </c>
      <c r="D66" s="4289">
        <v>213.69</v>
      </c>
      <c r="E66" s="4290" t="s">
        <v>4821</v>
      </c>
      <c r="F66" s="4290" t="s">
        <v>4822</v>
      </c>
    </row>
    <row r="67" spans="1:6">
      <c r="A67" s="4287">
        <v>154</v>
      </c>
      <c r="B67" s="4287" t="s">
        <v>4674</v>
      </c>
      <c r="C67" s="4288" t="s">
        <v>4823</v>
      </c>
      <c r="D67" s="4289">
        <v>212.68</v>
      </c>
      <c r="E67" s="4290" t="s">
        <v>4824</v>
      </c>
      <c r="F67" s="4290" t="s">
        <v>4672</v>
      </c>
    </row>
    <row r="68" spans="1:6">
      <c r="A68" s="4287">
        <v>326</v>
      </c>
      <c r="B68" s="4287" t="s">
        <v>4674</v>
      </c>
      <c r="C68" s="4288" t="s">
        <v>4825</v>
      </c>
      <c r="D68" s="4289">
        <v>205.79</v>
      </c>
      <c r="E68" s="4290" t="s">
        <v>4796</v>
      </c>
      <c r="F68" s="4290" t="s">
        <v>4806</v>
      </c>
    </row>
    <row r="69" spans="1:6">
      <c r="A69" s="4287">
        <v>182</v>
      </c>
      <c r="B69" s="4287" t="s">
        <v>4674</v>
      </c>
      <c r="C69" s="4288" t="s">
        <v>4826</v>
      </c>
      <c r="D69" s="4289">
        <v>200.81</v>
      </c>
      <c r="E69" s="4290" t="s">
        <v>4827</v>
      </c>
      <c r="F69" s="4290" t="s">
        <v>4703</v>
      </c>
    </row>
    <row r="70" spans="1:6">
      <c r="A70" s="4287">
        <v>219</v>
      </c>
      <c r="B70" s="4287" t="s">
        <v>4674</v>
      </c>
      <c r="C70" s="4288" t="s">
        <v>4828</v>
      </c>
      <c r="D70" s="4289">
        <v>199.06</v>
      </c>
      <c r="E70" s="4290" t="s">
        <v>4829</v>
      </c>
      <c r="F70" s="4290" t="s">
        <v>4830</v>
      </c>
    </row>
    <row r="71" spans="1:6">
      <c r="A71" s="4287">
        <v>337</v>
      </c>
      <c r="B71" s="4287" t="s">
        <v>4674</v>
      </c>
      <c r="C71" s="4288" t="s">
        <v>4831</v>
      </c>
      <c r="D71" s="4289">
        <v>192.94</v>
      </c>
      <c r="E71" s="4290" t="s">
        <v>4708</v>
      </c>
      <c r="F71" s="4290" t="s">
        <v>4730</v>
      </c>
    </row>
    <row r="72" spans="1:6">
      <c r="A72" s="4287">
        <v>175</v>
      </c>
      <c r="B72" s="4287" t="s">
        <v>4674</v>
      </c>
      <c r="C72" s="4288" t="s">
        <v>4832</v>
      </c>
      <c r="D72" s="4289">
        <v>191.65</v>
      </c>
      <c r="E72" s="4290" t="s">
        <v>4671</v>
      </c>
      <c r="F72" s="4290" t="s">
        <v>4833</v>
      </c>
    </row>
    <row r="73" spans="1:6">
      <c r="A73" s="4287">
        <v>153</v>
      </c>
      <c r="B73" s="4287" t="s">
        <v>4674</v>
      </c>
      <c r="C73" s="4288" t="s">
        <v>4834</v>
      </c>
      <c r="D73" s="4289">
        <v>184.68</v>
      </c>
      <c r="E73" s="4290" t="s">
        <v>4729</v>
      </c>
      <c r="F73" s="4290" t="s">
        <v>4835</v>
      </c>
    </row>
    <row r="74" spans="1:6">
      <c r="A74" s="4287">
        <v>137</v>
      </c>
      <c r="B74" s="4287" t="s">
        <v>4674</v>
      </c>
      <c r="C74" s="4288" t="s">
        <v>4836</v>
      </c>
      <c r="D74" s="4289">
        <v>183.16</v>
      </c>
      <c r="E74" s="4290" t="s">
        <v>4837</v>
      </c>
      <c r="F74" s="4290" t="s">
        <v>4838</v>
      </c>
    </row>
    <row r="75" spans="1:6">
      <c r="A75" s="4287">
        <v>235</v>
      </c>
      <c r="B75" s="4287" t="s">
        <v>4674</v>
      </c>
      <c r="C75" s="4288" t="s">
        <v>4839</v>
      </c>
      <c r="D75" s="4289">
        <v>181.33</v>
      </c>
      <c r="E75" s="4290" t="s">
        <v>4840</v>
      </c>
      <c r="F75" s="4290" t="s">
        <v>4791</v>
      </c>
    </row>
    <row r="76" spans="1:6">
      <c r="A76" s="4287">
        <v>324</v>
      </c>
      <c r="B76" s="4287" t="s">
        <v>4674</v>
      </c>
      <c r="C76" s="4288" t="s">
        <v>4841</v>
      </c>
      <c r="D76" s="4289">
        <v>181.06</v>
      </c>
      <c r="E76" s="4290" t="s">
        <v>4842</v>
      </c>
      <c r="F76" s="4290" t="s">
        <v>4843</v>
      </c>
    </row>
    <row r="77" spans="1:6">
      <c r="A77" s="4287">
        <v>106</v>
      </c>
      <c r="B77" s="4287" t="s">
        <v>4674</v>
      </c>
      <c r="C77" s="4288" t="s">
        <v>4844</v>
      </c>
      <c r="D77" s="4289">
        <v>179.38</v>
      </c>
      <c r="E77" s="4290" t="s">
        <v>4845</v>
      </c>
      <c r="F77" s="4290" t="s">
        <v>4846</v>
      </c>
    </row>
    <row r="78" spans="1:6">
      <c r="A78" s="4287">
        <v>338</v>
      </c>
      <c r="B78" s="4287" t="s">
        <v>4674</v>
      </c>
      <c r="C78" s="4288" t="s">
        <v>4847</v>
      </c>
      <c r="D78" s="4289">
        <v>173.84</v>
      </c>
      <c r="E78" s="4290" t="s">
        <v>4708</v>
      </c>
      <c r="F78" s="4290" t="s">
        <v>4785</v>
      </c>
    </row>
    <row r="79" spans="1:6">
      <c r="A79" s="4287">
        <v>355</v>
      </c>
      <c r="B79" s="4287" t="s">
        <v>4674</v>
      </c>
      <c r="C79" s="4288" t="s">
        <v>4848</v>
      </c>
      <c r="D79" s="4289">
        <v>173.06</v>
      </c>
      <c r="E79" s="4290" t="s">
        <v>4849</v>
      </c>
      <c r="F79" s="4290" t="s">
        <v>4738</v>
      </c>
    </row>
    <row r="80" spans="1:6">
      <c r="A80" s="4287">
        <v>358</v>
      </c>
      <c r="B80" s="4287" t="s">
        <v>4674</v>
      </c>
      <c r="C80" s="4288" t="s">
        <v>4850</v>
      </c>
      <c r="D80" s="4289">
        <v>172.64</v>
      </c>
      <c r="E80" s="4290" t="s">
        <v>4849</v>
      </c>
      <c r="F80" s="4290" t="s">
        <v>4851</v>
      </c>
    </row>
    <row r="81" spans="1:6">
      <c r="A81" s="4287">
        <v>142</v>
      </c>
      <c r="B81" s="4287" t="s">
        <v>4674</v>
      </c>
      <c r="C81" s="4288" t="s">
        <v>4852</v>
      </c>
      <c r="D81" s="4289">
        <v>172.42</v>
      </c>
      <c r="E81" s="4290" t="s">
        <v>4853</v>
      </c>
      <c r="F81" s="4290" t="s">
        <v>4669</v>
      </c>
    </row>
    <row r="82" spans="1:6">
      <c r="A82" s="4287">
        <v>90</v>
      </c>
      <c r="B82" s="4287" t="s">
        <v>4674</v>
      </c>
      <c r="C82" s="4288" t="s">
        <v>4854</v>
      </c>
      <c r="D82" s="4289">
        <v>171.69</v>
      </c>
      <c r="E82" s="4290" t="s">
        <v>4827</v>
      </c>
      <c r="F82" s="4290" t="s">
        <v>4703</v>
      </c>
    </row>
    <row r="83" spans="1:6">
      <c r="A83" s="4287">
        <v>125</v>
      </c>
      <c r="B83" s="4287" t="s">
        <v>4674</v>
      </c>
      <c r="C83" s="4288" t="s">
        <v>4855</v>
      </c>
      <c r="D83" s="4289">
        <v>169.16</v>
      </c>
      <c r="E83" s="4290" t="s">
        <v>4849</v>
      </c>
      <c r="F83" s="4290" t="s">
        <v>4738</v>
      </c>
    </row>
    <row r="84" spans="1:6">
      <c r="A84" s="4287">
        <v>134</v>
      </c>
      <c r="B84" s="4287" t="s">
        <v>4674</v>
      </c>
      <c r="C84" s="4288" t="s">
        <v>4856</v>
      </c>
      <c r="D84" s="4289">
        <v>169.09</v>
      </c>
      <c r="E84" s="4290" t="s">
        <v>4857</v>
      </c>
      <c r="F84" s="4290" t="s">
        <v>4858</v>
      </c>
    </row>
    <row r="85" spans="1:6">
      <c r="A85" s="4287">
        <v>373</v>
      </c>
      <c r="B85" s="4287" t="s">
        <v>4674</v>
      </c>
      <c r="C85" s="4288" t="s">
        <v>4859</v>
      </c>
      <c r="D85" s="4289">
        <v>166.39</v>
      </c>
      <c r="E85" s="4290" t="s">
        <v>4860</v>
      </c>
      <c r="F85" s="4290" t="s">
        <v>4717</v>
      </c>
    </row>
    <row r="86" spans="1:6">
      <c r="A86" s="4287">
        <v>161</v>
      </c>
      <c r="B86" s="4287" t="s">
        <v>4674</v>
      </c>
      <c r="C86" s="4288" t="s">
        <v>4861</v>
      </c>
      <c r="D86" s="4289">
        <v>164.86</v>
      </c>
      <c r="E86" s="4290" t="s">
        <v>4772</v>
      </c>
      <c r="F86" s="4290" t="s">
        <v>4666</v>
      </c>
    </row>
    <row r="87" spans="1:6">
      <c r="A87" s="4287">
        <v>194</v>
      </c>
      <c r="B87" s="4287" t="s">
        <v>4674</v>
      </c>
      <c r="C87" s="4288" t="s">
        <v>4862</v>
      </c>
      <c r="D87" s="4289">
        <v>164.86</v>
      </c>
      <c r="E87" s="4290" t="s">
        <v>4863</v>
      </c>
      <c r="F87" s="4290" t="s">
        <v>4833</v>
      </c>
    </row>
    <row r="88" spans="1:6">
      <c r="A88" s="4287">
        <v>56</v>
      </c>
      <c r="B88" s="4287" t="s">
        <v>4674</v>
      </c>
      <c r="C88" s="4288" t="s">
        <v>4864</v>
      </c>
      <c r="D88" s="4289">
        <v>164.68</v>
      </c>
      <c r="E88" s="4290" t="s">
        <v>4659</v>
      </c>
      <c r="F88" s="4290" t="s">
        <v>4666</v>
      </c>
    </row>
    <row r="89" spans="1:6">
      <c r="A89" s="4287">
        <v>315</v>
      </c>
      <c r="B89" s="4287" t="s">
        <v>4674</v>
      </c>
      <c r="C89" s="4288" t="s">
        <v>4865</v>
      </c>
      <c r="D89" s="4289">
        <v>163.79</v>
      </c>
      <c r="E89" s="4290" t="s">
        <v>4671</v>
      </c>
      <c r="F89" s="4290" t="s">
        <v>4866</v>
      </c>
    </row>
    <row r="90" spans="1:6">
      <c r="A90" s="4287">
        <v>380</v>
      </c>
      <c r="B90" s="4287" t="s">
        <v>4674</v>
      </c>
      <c r="C90" s="4288" t="s">
        <v>4867</v>
      </c>
      <c r="D90" s="4289">
        <v>163.08000000000001</v>
      </c>
      <c r="E90" s="4290" t="s">
        <v>4868</v>
      </c>
      <c r="F90" s="4290" t="s">
        <v>4703</v>
      </c>
    </row>
    <row r="91" spans="1:6">
      <c r="A91" s="4287">
        <v>328</v>
      </c>
      <c r="B91" s="4287" t="s">
        <v>4674</v>
      </c>
      <c r="C91" s="4288" t="s">
        <v>4869</v>
      </c>
      <c r="D91" s="4289">
        <v>161.57</v>
      </c>
      <c r="E91" s="4290" t="s">
        <v>4870</v>
      </c>
      <c r="F91" s="4290" t="s">
        <v>4672</v>
      </c>
    </row>
    <row r="92" spans="1:6">
      <c r="A92" s="4287">
        <v>345</v>
      </c>
      <c r="B92" s="4287" t="s">
        <v>4674</v>
      </c>
      <c r="C92" s="4288" t="s">
        <v>4871</v>
      </c>
      <c r="D92" s="4289">
        <v>160.75</v>
      </c>
      <c r="E92" s="4290" t="s">
        <v>4708</v>
      </c>
      <c r="F92" s="4290" t="s">
        <v>4785</v>
      </c>
    </row>
    <row r="93" spans="1:6">
      <c r="A93" s="4287">
        <v>44</v>
      </c>
      <c r="B93" s="4287" t="s">
        <v>4674</v>
      </c>
      <c r="C93" s="4288" t="s">
        <v>4872</v>
      </c>
      <c r="D93" s="4289">
        <v>160.22</v>
      </c>
      <c r="E93" s="4290" t="s">
        <v>4659</v>
      </c>
      <c r="F93" s="4290" t="s">
        <v>4666</v>
      </c>
    </row>
    <row r="94" spans="1:6">
      <c r="A94" s="4287">
        <v>348</v>
      </c>
      <c r="B94" s="4287" t="s">
        <v>4674</v>
      </c>
      <c r="C94" s="4288" t="s">
        <v>4873</v>
      </c>
      <c r="D94" s="4289">
        <v>158.4</v>
      </c>
      <c r="E94" s="4290" t="s">
        <v>4874</v>
      </c>
      <c r="F94" s="4290" t="s">
        <v>4730</v>
      </c>
    </row>
    <row r="95" spans="1:6">
      <c r="A95" s="4287">
        <v>246</v>
      </c>
      <c r="B95" s="4287" t="s">
        <v>4674</v>
      </c>
      <c r="C95" s="4288" t="s">
        <v>4875</v>
      </c>
      <c r="D95" s="4289">
        <v>157.96</v>
      </c>
      <c r="E95" s="4290" t="s">
        <v>4876</v>
      </c>
      <c r="F95" s="4290" t="s">
        <v>4877</v>
      </c>
    </row>
    <row r="96" spans="1:6">
      <c r="A96" s="4287">
        <v>80</v>
      </c>
      <c r="B96" s="4287" t="s">
        <v>4674</v>
      </c>
      <c r="C96" s="4288" t="s">
        <v>4878</v>
      </c>
      <c r="D96" s="4289">
        <v>155.4</v>
      </c>
      <c r="E96" s="4290" t="s">
        <v>4671</v>
      </c>
      <c r="F96" s="4290" t="s">
        <v>4866</v>
      </c>
    </row>
    <row r="97" spans="1:6">
      <c r="A97" s="4287">
        <v>151</v>
      </c>
      <c r="B97" s="4287" t="s">
        <v>4674</v>
      </c>
      <c r="C97" s="4288" t="s">
        <v>4879</v>
      </c>
      <c r="D97" s="4289">
        <v>155.4</v>
      </c>
      <c r="E97" s="4290" t="s">
        <v>4729</v>
      </c>
      <c r="F97" s="4290" t="s">
        <v>4730</v>
      </c>
    </row>
    <row r="98" spans="1:6">
      <c r="A98" s="4287">
        <v>372</v>
      </c>
      <c r="B98" s="4287" t="s">
        <v>4674</v>
      </c>
      <c r="C98" s="4288" t="s">
        <v>4880</v>
      </c>
      <c r="D98" s="4289">
        <v>155.1</v>
      </c>
      <c r="E98" s="4290" t="s">
        <v>4881</v>
      </c>
      <c r="F98" s="4290" t="s">
        <v>4882</v>
      </c>
    </row>
    <row r="99" spans="1:6">
      <c r="A99" s="4287">
        <v>86</v>
      </c>
      <c r="B99" s="4287" t="s">
        <v>4674</v>
      </c>
      <c r="C99" s="4288" t="s">
        <v>4883</v>
      </c>
      <c r="D99" s="4289">
        <v>154.13999999999999</v>
      </c>
      <c r="E99" s="4290" t="s">
        <v>4884</v>
      </c>
      <c r="F99" s="4290" t="s">
        <v>4811</v>
      </c>
    </row>
    <row r="100" spans="1:6">
      <c r="A100" s="4287">
        <v>143</v>
      </c>
      <c r="B100" s="4287" t="s">
        <v>4674</v>
      </c>
      <c r="C100" s="4288" t="s">
        <v>4885</v>
      </c>
      <c r="D100" s="4289">
        <v>153.27000000000001</v>
      </c>
      <c r="E100" s="4290" t="s">
        <v>4886</v>
      </c>
      <c r="F100" s="4290" t="s">
        <v>4703</v>
      </c>
    </row>
    <row r="101" spans="1:6">
      <c r="A101" s="4287">
        <v>121</v>
      </c>
      <c r="B101" s="4287" t="s">
        <v>4674</v>
      </c>
      <c r="C101" s="4288" t="s">
        <v>4887</v>
      </c>
      <c r="D101" s="4289">
        <v>152.77000000000001</v>
      </c>
      <c r="E101" s="4290" t="s">
        <v>4849</v>
      </c>
      <c r="F101" s="4290" t="s">
        <v>4738</v>
      </c>
    </row>
    <row r="102" spans="1:6">
      <c r="A102" s="4287">
        <v>199</v>
      </c>
      <c r="B102" s="4287" t="s">
        <v>4674</v>
      </c>
      <c r="C102" s="4288" t="s">
        <v>4888</v>
      </c>
      <c r="D102" s="4289">
        <v>152.44</v>
      </c>
      <c r="E102" s="4290" t="s">
        <v>4889</v>
      </c>
      <c r="F102" s="4290" t="s">
        <v>4835</v>
      </c>
    </row>
    <row r="103" spans="1:6">
      <c r="A103" s="4287">
        <v>229</v>
      </c>
      <c r="B103" s="4287" t="s">
        <v>4674</v>
      </c>
      <c r="C103" s="4288" t="s">
        <v>4890</v>
      </c>
      <c r="D103" s="4289">
        <v>152.31</v>
      </c>
      <c r="E103" s="4290" t="s">
        <v>4891</v>
      </c>
      <c r="F103" s="4290" t="s">
        <v>4892</v>
      </c>
    </row>
    <row r="104" spans="1:6">
      <c r="A104" s="4287">
        <v>122</v>
      </c>
      <c r="B104" s="4287" t="s">
        <v>4674</v>
      </c>
      <c r="C104" s="4288" t="s">
        <v>4893</v>
      </c>
      <c r="D104" s="4289">
        <v>152.21</v>
      </c>
      <c r="E104" s="4290" t="s">
        <v>4894</v>
      </c>
      <c r="F104" s="4290" t="s">
        <v>4730</v>
      </c>
    </row>
    <row r="105" spans="1:6">
      <c r="A105" s="4287">
        <v>251</v>
      </c>
      <c r="B105" s="4287" t="s">
        <v>4674</v>
      </c>
      <c r="C105" s="4288" t="s">
        <v>4895</v>
      </c>
      <c r="D105" s="4289">
        <v>150.57</v>
      </c>
      <c r="E105" s="4290" t="s">
        <v>4896</v>
      </c>
      <c r="F105" s="4290" t="s">
        <v>4730</v>
      </c>
    </row>
    <row r="106" spans="1:6">
      <c r="A106" s="4287">
        <v>281</v>
      </c>
      <c r="B106" s="4287" t="s">
        <v>4897</v>
      </c>
      <c r="C106" s="4288" t="s">
        <v>4898</v>
      </c>
      <c r="D106" s="4289">
        <v>150</v>
      </c>
      <c r="E106" s="4290" t="s">
        <v>4899</v>
      </c>
      <c r="F106" s="4290" t="s">
        <v>4900</v>
      </c>
    </row>
    <row r="107" spans="1:6">
      <c r="A107" s="4287">
        <v>162</v>
      </c>
      <c r="B107" s="4287" t="s">
        <v>4674</v>
      </c>
      <c r="C107" s="4288" t="s">
        <v>4901</v>
      </c>
      <c r="D107" s="4289">
        <v>149.16</v>
      </c>
      <c r="E107" s="4290" t="s">
        <v>4902</v>
      </c>
      <c r="F107" s="4290" t="s">
        <v>4822</v>
      </c>
    </row>
    <row r="108" spans="1:6">
      <c r="A108" s="4287">
        <v>169</v>
      </c>
      <c r="B108" s="4287" t="s">
        <v>4674</v>
      </c>
      <c r="C108" s="4288" t="s">
        <v>4903</v>
      </c>
      <c r="D108" s="4289">
        <v>146.29</v>
      </c>
      <c r="E108" s="4290" t="s">
        <v>4764</v>
      </c>
      <c r="F108" s="4290" t="s">
        <v>4720</v>
      </c>
    </row>
    <row r="109" spans="1:6">
      <c r="A109" s="4287">
        <v>346</v>
      </c>
      <c r="B109" s="4287" t="s">
        <v>4674</v>
      </c>
      <c r="C109" s="4288" t="s">
        <v>4904</v>
      </c>
      <c r="D109" s="4289">
        <v>145.9</v>
      </c>
      <c r="E109" s="4290" t="s">
        <v>4708</v>
      </c>
      <c r="F109" s="4290" t="s">
        <v>4785</v>
      </c>
    </row>
    <row r="110" spans="1:6">
      <c r="A110" s="4287">
        <v>343</v>
      </c>
      <c r="B110" s="4287" t="s">
        <v>4674</v>
      </c>
      <c r="C110" s="4288" t="s">
        <v>4905</v>
      </c>
      <c r="D110" s="4289">
        <v>145.09</v>
      </c>
      <c r="E110" s="4290" t="s">
        <v>4708</v>
      </c>
      <c r="F110" s="4290" t="s">
        <v>4785</v>
      </c>
    </row>
    <row r="111" spans="1:6">
      <c r="A111" s="4287">
        <v>217</v>
      </c>
      <c r="B111" s="4287" t="s">
        <v>4674</v>
      </c>
      <c r="C111" s="4288" t="s">
        <v>4906</v>
      </c>
      <c r="D111" s="4289">
        <v>144.51</v>
      </c>
      <c r="E111" s="4290" t="s">
        <v>4907</v>
      </c>
      <c r="F111" s="4290" t="s">
        <v>4908</v>
      </c>
    </row>
    <row r="112" spans="1:6">
      <c r="A112" s="4287">
        <v>132</v>
      </c>
      <c r="B112" s="4287" t="s">
        <v>4674</v>
      </c>
      <c r="C112" s="4288" t="s">
        <v>4909</v>
      </c>
      <c r="D112" s="4289">
        <v>143.34</v>
      </c>
      <c r="E112" s="4290" t="s">
        <v>4910</v>
      </c>
      <c r="F112" s="4290" t="s">
        <v>4778</v>
      </c>
    </row>
    <row r="113" spans="1:6">
      <c r="A113" s="4287">
        <v>365</v>
      </c>
      <c r="B113" s="4287" t="s">
        <v>4674</v>
      </c>
      <c r="C113" s="4288" t="s">
        <v>4911</v>
      </c>
      <c r="D113" s="4289">
        <v>142.9</v>
      </c>
      <c r="E113" s="4290" t="s">
        <v>4732</v>
      </c>
      <c r="F113" s="4290" t="s">
        <v>4733</v>
      </c>
    </row>
    <row r="114" spans="1:6">
      <c r="A114" s="4287">
        <v>98</v>
      </c>
      <c r="B114" s="4287" t="s">
        <v>4674</v>
      </c>
      <c r="C114" s="4288" t="s">
        <v>4912</v>
      </c>
      <c r="D114" s="4289">
        <v>142.38</v>
      </c>
      <c r="E114" s="4290" t="s">
        <v>4913</v>
      </c>
      <c r="F114" s="4290" t="s">
        <v>4914</v>
      </c>
    </row>
    <row r="115" spans="1:6">
      <c r="A115" s="4287">
        <v>384</v>
      </c>
      <c r="B115" s="4287" t="s">
        <v>4674</v>
      </c>
      <c r="C115" s="4288" t="s">
        <v>4915</v>
      </c>
      <c r="D115" s="4289">
        <v>140.38</v>
      </c>
      <c r="E115" s="4290" t="s">
        <v>4916</v>
      </c>
      <c r="F115" s="4290" t="s">
        <v>4703</v>
      </c>
    </row>
    <row r="116" spans="1:6">
      <c r="A116" s="4287">
        <v>218</v>
      </c>
      <c r="B116" s="4287" t="s">
        <v>4674</v>
      </c>
      <c r="C116" s="4288" t="s">
        <v>4917</v>
      </c>
      <c r="D116" s="4289">
        <v>139.55000000000001</v>
      </c>
      <c r="E116" s="4290" t="s">
        <v>4918</v>
      </c>
      <c r="F116" s="4290" t="s">
        <v>4919</v>
      </c>
    </row>
    <row r="117" spans="1:6">
      <c r="A117" s="4287">
        <v>364</v>
      </c>
      <c r="B117" s="4287" t="s">
        <v>4674</v>
      </c>
      <c r="C117" s="4288" t="s">
        <v>4920</v>
      </c>
      <c r="D117" s="4289">
        <v>139.31</v>
      </c>
      <c r="E117" s="4290" t="s">
        <v>4921</v>
      </c>
      <c r="F117" s="4290" t="s">
        <v>4669</v>
      </c>
    </row>
    <row r="118" spans="1:6">
      <c r="A118" s="4287">
        <v>381</v>
      </c>
      <c r="B118" s="4287" t="s">
        <v>4674</v>
      </c>
      <c r="C118" s="4288" t="s">
        <v>4922</v>
      </c>
      <c r="D118" s="4289">
        <v>137.19999999999999</v>
      </c>
      <c r="E118" s="4290" t="s">
        <v>4719</v>
      </c>
      <c r="F118" s="4290" t="s">
        <v>4923</v>
      </c>
    </row>
    <row r="119" spans="1:6">
      <c r="A119" s="4287">
        <v>214</v>
      </c>
      <c r="B119" s="4287" t="s">
        <v>4674</v>
      </c>
      <c r="C119" s="4288" t="s">
        <v>4924</v>
      </c>
      <c r="D119" s="4289">
        <v>135.84</v>
      </c>
      <c r="E119" s="4290" t="s">
        <v>4849</v>
      </c>
      <c r="F119" s="4290" t="s">
        <v>4925</v>
      </c>
    </row>
    <row r="120" spans="1:6">
      <c r="A120" s="4287">
        <v>311</v>
      </c>
      <c r="B120" s="4287" t="s">
        <v>4674</v>
      </c>
      <c r="C120" s="4288" t="s">
        <v>4926</v>
      </c>
      <c r="D120" s="4289">
        <v>135.44999999999999</v>
      </c>
      <c r="E120" s="4290" t="s">
        <v>4671</v>
      </c>
      <c r="F120" s="4290" t="s">
        <v>4866</v>
      </c>
    </row>
    <row r="121" spans="1:6">
      <c r="A121" s="4287">
        <v>156</v>
      </c>
      <c r="B121" s="4287" t="s">
        <v>4674</v>
      </c>
      <c r="C121" s="4288" t="s">
        <v>4927</v>
      </c>
      <c r="D121" s="4289">
        <v>135.18</v>
      </c>
      <c r="E121" s="4290" t="s">
        <v>4928</v>
      </c>
      <c r="F121" s="4290" t="s">
        <v>4929</v>
      </c>
    </row>
    <row r="122" spans="1:6">
      <c r="A122" s="4287">
        <v>319</v>
      </c>
      <c r="B122" s="4287" t="s">
        <v>4674</v>
      </c>
      <c r="C122" s="4288" t="s">
        <v>4930</v>
      </c>
      <c r="D122" s="4289">
        <v>134.36000000000001</v>
      </c>
      <c r="E122" s="4290" t="s">
        <v>4671</v>
      </c>
      <c r="F122" s="4290" t="s">
        <v>4866</v>
      </c>
    </row>
    <row r="123" spans="1:6">
      <c r="A123" s="4287">
        <v>100</v>
      </c>
      <c r="B123" s="4287" t="s">
        <v>4674</v>
      </c>
      <c r="C123" s="4288" t="s">
        <v>4931</v>
      </c>
      <c r="D123" s="4289">
        <v>131.11000000000001</v>
      </c>
      <c r="E123" s="4290" t="s">
        <v>4821</v>
      </c>
      <c r="F123" s="4290" t="s">
        <v>4822</v>
      </c>
    </row>
    <row r="124" spans="1:6">
      <c r="A124" s="4287">
        <v>382</v>
      </c>
      <c r="B124" s="4287" t="s">
        <v>4674</v>
      </c>
      <c r="C124" s="4288" t="s">
        <v>4932</v>
      </c>
      <c r="D124" s="4289">
        <v>130.22</v>
      </c>
      <c r="E124" s="4290" t="s">
        <v>4933</v>
      </c>
      <c r="F124" s="4290" t="s">
        <v>4934</v>
      </c>
    </row>
    <row r="125" spans="1:6">
      <c r="A125" s="4287">
        <v>103</v>
      </c>
      <c r="B125" s="4287" t="s">
        <v>4674</v>
      </c>
      <c r="C125" s="4288" t="s">
        <v>4935</v>
      </c>
      <c r="D125" s="4289">
        <v>128.18</v>
      </c>
      <c r="E125" s="4290" t="s">
        <v>4936</v>
      </c>
      <c r="F125" s="4290" t="s">
        <v>4822</v>
      </c>
    </row>
    <row r="126" spans="1:6">
      <c r="A126" s="4287">
        <v>171</v>
      </c>
      <c r="B126" s="4287" t="s">
        <v>4674</v>
      </c>
      <c r="C126" s="4288" t="s">
        <v>4937</v>
      </c>
      <c r="D126" s="4289">
        <v>128.08000000000001</v>
      </c>
      <c r="E126" s="4290" t="s">
        <v>4671</v>
      </c>
      <c r="F126" s="4290" t="s">
        <v>4738</v>
      </c>
    </row>
    <row r="127" spans="1:6">
      <c r="A127" s="4287">
        <v>114</v>
      </c>
      <c r="B127" s="4287" t="s">
        <v>4674</v>
      </c>
      <c r="C127" s="4288" t="s">
        <v>4938</v>
      </c>
      <c r="D127" s="4289">
        <v>128</v>
      </c>
      <c r="E127" s="4290" t="s">
        <v>4939</v>
      </c>
      <c r="F127" s="4290" t="s">
        <v>4730</v>
      </c>
    </row>
    <row r="128" spans="1:6">
      <c r="A128" s="4287">
        <v>239</v>
      </c>
      <c r="B128" s="4287" t="s">
        <v>4674</v>
      </c>
      <c r="C128" s="4288" t="s">
        <v>4940</v>
      </c>
      <c r="D128" s="4289">
        <v>128</v>
      </c>
      <c r="E128" s="4290" t="s">
        <v>4659</v>
      </c>
      <c r="F128" s="4290" t="s">
        <v>4714</v>
      </c>
    </row>
    <row r="129" spans="1:6">
      <c r="A129" s="4287">
        <v>202</v>
      </c>
      <c r="B129" s="4287" t="s">
        <v>4674</v>
      </c>
      <c r="C129" s="4288" t="s">
        <v>4941</v>
      </c>
      <c r="D129" s="4289">
        <v>127.69</v>
      </c>
      <c r="E129" s="4290" t="s">
        <v>4942</v>
      </c>
      <c r="F129" s="4290" t="s">
        <v>4882</v>
      </c>
    </row>
    <row r="130" spans="1:6">
      <c r="A130" s="4287">
        <v>378</v>
      </c>
      <c r="B130" s="4287" t="s">
        <v>4674</v>
      </c>
      <c r="C130" s="4288" t="s">
        <v>4943</v>
      </c>
      <c r="D130" s="4289">
        <v>127.36</v>
      </c>
      <c r="E130" s="4290" t="s">
        <v>4944</v>
      </c>
      <c r="F130" s="4290" t="s">
        <v>4945</v>
      </c>
    </row>
    <row r="131" spans="1:6">
      <c r="A131" s="4287">
        <v>177</v>
      </c>
      <c r="B131" s="4287" t="s">
        <v>4674</v>
      </c>
      <c r="C131" s="4288" t="s">
        <v>4946</v>
      </c>
      <c r="D131" s="4289">
        <v>125.46</v>
      </c>
      <c r="E131" s="4290" t="s">
        <v>4671</v>
      </c>
      <c r="F131" s="4290" t="s">
        <v>4866</v>
      </c>
    </row>
    <row r="132" spans="1:6">
      <c r="A132" s="4287">
        <v>242</v>
      </c>
      <c r="B132" s="4287" t="s">
        <v>4674</v>
      </c>
      <c r="C132" s="4288" t="s">
        <v>4947</v>
      </c>
      <c r="D132" s="4289">
        <v>124.95</v>
      </c>
      <c r="E132" s="4290" t="s">
        <v>4729</v>
      </c>
      <c r="F132" s="4290" t="s">
        <v>4785</v>
      </c>
    </row>
    <row r="133" spans="1:6">
      <c r="A133" s="4287">
        <v>357</v>
      </c>
      <c r="B133" s="4287" t="s">
        <v>4674</v>
      </c>
      <c r="C133" s="4288" t="s">
        <v>4948</v>
      </c>
      <c r="D133" s="4289">
        <v>124.18</v>
      </c>
      <c r="E133" s="4290" t="s">
        <v>4849</v>
      </c>
      <c r="F133" s="4290" t="s">
        <v>4738</v>
      </c>
    </row>
    <row r="134" spans="1:6">
      <c r="A134" s="4287">
        <v>113</v>
      </c>
      <c r="B134" s="4287" t="s">
        <v>4674</v>
      </c>
      <c r="C134" s="4288" t="s">
        <v>4949</v>
      </c>
      <c r="D134" s="4289">
        <v>123.03</v>
      </c>
      <c r="E134" s="4290" t="s">
        <v>4708</v>
      </c>
      <c r="F134" s="4290" t="s">
        <v>4730</v>
      </c>
    </row>
    <row r="135" spans="1:6">
      <c r="A135" s="4287">
        <v>383</v>
      </c>
      <c r="B135" s="4287" t="s">
        <v>4674</v>
      </c>
      <c r="C135" s="4288" t="s">
        <v>4950</v>
      </c>
      <c r="D135" s="4289">
        <v>122.92</v>
      </c>
      <c r="E135" s="4290" t="s">
        <v>4951</v>
      </c>
      <c r="F135" s="4290" t="s">
        <v>4778</v>
      </c>
    </row>
    <row r="136" spans="1:6">
      <c r="A136" s="4287">
        <v>387</v>
      </c>
      <c r="B136" s="4287" t="s">
        <v>4674</v>
      </c>
      <c r="C136" s="4288" t="s">
        <v>4952</v>
      </c>
      <c r="D136" s="4289">
        <v>122.57</v>
      </c>
      <c r="E136" s="4290" t="s">
        <v>4659</v>
      </c>
      <c r="F136" s="4290" t="s">
        <v>4953</v>
      </c>
    </row>
    <row r="137" spans="1:6">
      <c r="A137" s="4287">
        <v>253</v>
      </c>
      <c r="B137" s="4287" t="s">
        <v>4674</v>
      </c>
      <c r="C137" s="4288" t="s">
        <v>4954</v>
      </c>
      <c r="D137" s="4289">
        <v>121.97</v>
      </c>
      <c r="E137" s="4290" t="s">
        <v>4955</v>
      </c>
      <c r="F137" s="4290" t="s">
        <v>4666</v>
      </c>
    </row>
    <row r="138" spans="1:6">
      <c r="A138" s="4287">
        <v>138</v>
      </c>
      <c r="B138" s="4287" t="s">
        <v>4674</v>
      </c>
      <c r="C138" s="4288" t="s">
        <v>4956</v>
      </c>
      <c r="D138" s="4289">
        <v>121.28</v>
      </c>
      <c r="E138" s="4290" t="s">
        <v>4957</v>
      </c>
      <c r="F138" s="4290" t="s">
        <v>4669</v>
      </c>
    </row>
    <row r="139" spans="1:6">
      <c r="A139" s="4287">
        <v>165</v>
      </c>
      <c r="B139" s="4287" t="s">
        <v>4674</v>
      </c>
      <c r="C139" s="4288" t="s">
        <v>4958</v>
      </c>
      <c r="D139" s="4289">
        <v>121.05</v>
      </c>
      <c r="E139" s="4290" t="s">
        <v>4959</v>
      </c>
      <c r="F139" s="4290" t="s">
        <v>4960</v>
      </c>
    </row>
    <row r="140" spans="1:6">
      <c r="A140" s="4287">
        <v>186</v>
      </c>
      <c r="B140" s="4287" t="s">
        <v>4674</v>
      </c>
      <c r="C140" s="4288" t="s">
        <v>4961</v>
      </c>
      <c r="D140" s="4289">
        <v>121.05</v>
      </c>
      <c r="E140" s="4290" t="s">
        <v>4962</v>
      </c>
      <c r="F140" s="4290" t="s">
        <v>4963</v>
      </c>
    </row>
    <row r="141" spans="1:6">
      <c r="A141" s="4287">
        <v>111</v>
      </c>
      <c r="B141" s="4287" t="s">
        <v>4674</v>
      </c>
      <c r="C141" s="4288" t="s">
        <v>4964</v>
      </c>
      <c r="D141" s="4289">
        <v>120.3</v>
      </c>
      <c r="E141" s="4290" t="s">
        <v>4889</v>
      </c>
      <c r="F141" s="4290" t="s">
        <v>4714</v>
      </c>
    </row>
    <row r="142" spans="1:6">
      <c r="A142" s="4287">
        <v>174</v>
      </c>
      <c r="B142" s="4287" t="s">
        <v>4674</v>
      </c>
      <c r="C142" s="4288" t="s">
        <v>4965</v>
      </c>
      <c r="D142" s="4289">
        <v>119.71</v>
      </c>
      <c r="E142" s="4290" t="s">
        <v>4671</v>
      </c>
      <c r="F142" s="4290" t="s">
        <v>4866</v>
      </c>
    </row>
    <row r="143" spans="1:6">
      <c r="A143" s="4287">
        <v>160</v>
      </c>
      <c r="B143" s="4287" t="s">
        <v>4674</v>
      </c>
      <c r="C143" s="4288" t="s">
        <v>4966</v>
      </c>
      <c r="D143" s="4289">
        <v>119.7</v>
      </c>
      <c r="E143" s="4290" t="s">
        <v>4790</v>
      </c>
      <c r="F143" s="4290" t="s">
        <v>4833</v>
      </c>
    </row>
    <row r="144" spans="1:6">
      <c r="A144" s="4287">
        <v>351</v>
      </c>
      <c r="B144" s="4287" t="s">
        <v>4674</v>
      </c>
      <c r="C144" s="4288" t="s">
        <v>4967</v>
      </c>
      <c r="D144" s="4289">
        <v>119.39</v>
      </c>
      <c r="E144" s="4290" t="s">
        <v>4781</v>
      </c>
      <c r="F144" s="4290" t="s">
        <v>4717</v>
      </c>
    </row>
    <row r="145" spans="1:6">
      <c r="A145" s="4287">
        <v>310</v>
      </c>
      <c r="B145" s="4287" t="s">
        <v>4674</v>
      </c>
      <c r="C145" s="4288" t="s">
        <v>4968</v>
      </c>
      <c r="D145" s="4289">
        <v>119</v>
      </c>
      <c r="E145" s="4290" t="s">
        <v>4969</v>
      </c>
      <c r="F145" s="4290" t="s">
        <v>4761</v>
      </c>
    </row>
    <row r="146" spans="1:6">
      <c r="A146" s="4287">
        <v>245</v>
      </c>
      <c r="B146" s="4287" t="s">
        <v>4674</v>
      </c>
      <c r="C146" s="4288" t="s">
        <v>4970</v>
      </c>
      <c r="D146" s="4289">
        <v>118.08</v>
      </c>
      <c r="E146" s="4290" t="s">
        <v>4971</v>
      </c>
      <c r="F146" s="4290" t="s">
        <v>4972</v>
      </c>
    </row>
    <row r="147" spans="1:6">
      <c r="A147" s="4287">
        <v>195</v>
      </c>
      <c r="B147" s="4287" t="s">
        <v>4674</v>
      </c>
      <c r="C147" s="4288" t="s">
        <v>4973</v>
      </c>
      <c r="D147" s="4289">
        <v>115.6</v>
      </c>
      <c r="E147" s="4290" t="s">
        <v>4708</v>
      </c>
      <c r="F147" s="4290" t="s">
        <v>4785</v>
      </c>
    </row>
    <row r="148" spans="1:6">
      <c r="A148" s="4287">
        <v>197</v>
      </c>
      <c r="B148" s="4287" t="s">
        <v>4674</v>
      </c>
      <c r="C148" s="4288" t="s">
        <v>4974</v>
      </c>
      <c r="D148" s="4289">
        <v>113.95</v>
      </c>
      <c r="E148" s="4290" t="s">
        <v>4863</v>
      </c>
      <c r="F148" s="4290" t="s">
        <v>4833</v>
      </c>
    </row>
    <row r="149" spans="1:6">
      <c r="A149" s="4287">
        <v>254</v>
      </c>
      <c r="B149" s="4287" t="s">
        <v>4674</v>
      </c>
      <c r="C149" s="4288" t="s">
        <v>4975</v>
      </c>
      <c r="D149" s="4289">
        <v>113.53</v>
      </c>
      <c r="E149" s="4290" t="s">
        <v>4976</v>
      </c>
      <c r="F149" s="4290" t="s">
        <v>4794</v>
      </c>
    </row>
    <row r="150" spans="1:6">
      <c r="A150" s="4287">
        <v>344</v>
      </c>
      <c r="B150" s="4287" t="s">
        <v>4674</v>
      </c>
      <c r="C150" s="4288" t="s">
        <v>4977</v>
      </c>
      <c r="D150" s="4289">
        <v>112.01</v>
      </c>
      <c r="E150" s="4290" t="s">
        <v>4708</v>
      </c>
      <c r="F150" s="4290" t="s">
        <v>4785</v>
      </c>
    </row>
    <row r="151" spans="1:6">
      <c r="A151" s="4287">
        <v>368</v>
      </c>
      <c r="B151" s="4287" t="s">
        <v>4674</v>
      </c>
      <c r="C151" s="4288" t="s">
        <v>4978</v>
      </c>
      <c r="D151" s="4289">
        <v>109.93</v>
      </c>
      <c r="E151" s="4290" t="s">
        <v>4918</v>
      </c>
      <c r="F151" s="4290" t="s">
        <v>4979</v>
      </c>
    </row>
    <row r="152" spans="1:6">
      <c r="A152" s="4287">
        <v>227</v>
      </c>
      <c r="B152" s="4287" t="s">
        <v>4674</v>
      </c>
      <c r="C152" s="4288" t="s">
        <v>4980</v>
      </c>
      <c r="D152" s="4289">
        <v>104.88</v>
      </c>
      <c r="E152" s="4290" t="s">
        <v>4981</v>
      </c>
      <c r="F152" s="4290" t="s">
        <v>4730</v>
      </c>
    </row>
    <row r="153" spans="1:6">
      <c r="A153" s="4287">
        <v>201</v>
      </c>
      <c r="B153" s="4287" t="s">
        <v>4674</v>
      </c>
      <c r="C153" s="4288" t="s">
        <v>4982</v>
      </c>
      <c r="D153" s="4289">
        <v>104.51</v>
      </c>
      <c r="E153" s="4290" t="s">
        <v>4708</v>
      </c>
      <c r="F153" s="4290" t="s">
        <v>4730</v>
      </c>
    </row>
    <row r="154" spans="1:6">
      <c r="A154" s="4287">
        <v>216</v>
      </c>
      <c r="B154" s="4287" t="s">
        <v>4674</v>
      </c>
      <c r="C154" s="4288" t="s">
        <v>4983</v>
      </c>
      <c r="D154" s="4289">
        <v>103.3</v>
      </c>
      <c r="E154" s="4290" t="s">
        <v>4769</v>
      </c>
      <c r="F154" s="4290" t="s">
        <v>4733</v>
      </c>
    </row>
    <row r="155" spans="1:6">
      <c r="A155" s="4287">
        <v>225</v>
      </c>
      <c r="B155" s="4287" t="s">
        <v>4674</v>
      </c>
      <c r="C155" s="4288" t="s">
        <v>4984</v>
      </c>
      <c r="D155" s="4289">
        <v>102.86</v>
      </c>
      <c r="E155" s="4290" t="s">
        <v>4985</v>
      </c>
      <c r="F155" s="4290" t="s">
        <v>4835</v>
      </c>
    </row>
    <row r="156" spans="1:6">
      <c r="A156" s="4287">
        <v>109</v>
      </c>
      <c r="B156" s="4287" t="s">
        <v>4674</v>
      </c>
      <c r="C156" s="4288" t="s">
        <v>4986</v>
      </c>
      <c r="D156" s="4289">
        <v>102.08</v>
      </c>
      <c r="E156" s="4290" t="s">
        <v>4889</v>
      </c>
      <c r="F156" s="4290" t="s">
        <v>4833</v>
      </c>
    </row>
    <row r="157" spans="1:6">
      <c r="A157" s="4287">
        <v>267</v>
      </c>
      <c r="B157" s="4287" t="s">
        <v>4987</v>
      </c>
      <c r="C157" s="4288" t="s">
        <v>4988</v>
      </c>
      <c r="D157" s="4289">
        <v>101.52</v>
      </c>
      <c r="E157" s="4290" t="s">
        <v>4671</v>
      </c>
      <c r="F157" s="4290" t="s">
        <v>4866</v>
      </c>
    </row>
    <row r="158" spans="1:6">
      <c r="A158" s="4287">
        <v>108</v>
      </c>
      <c r="B158" s="4287" t="s">
        <v>4674</v>
      </c>
      <c r="C158" s="4288" t="s">
        <v>4989</v>
      </c>
      <c r="D158" s="4289">
        <v>100.87</v>
      </c>
      <c r="E158" s="4290" t="s">
        <v>4913</v>
      </c>
      <c r="F158" s="4290" t="s">
        <v>4990</v>
      </c>
    </row>
    <row r="159" spans="1:6">
      <c r="A159" s="4287">
        <v>278</v>
      </c>
      <c r="B159" s="4287" t="s">
        <v>4897</v>
      </c>
      <c r="C159" s="4288" t="s">
        <v>4991</v>
      </c>
      <c r="D159" s="4289">
        <v>100</v>
      </c>
      <c r="E159" s="4290" t="s">
        <v>4992</v>
      </c>
      <c r="F159" s="4290" t="s">
        <v>4993</v>
      </c>
    </row>
    <row r="160" spans="1:6">
      <c r="A160" s="4287">
        <v>139</v>
      </c>
      <c r="B160" s="4287" t="s">
        <v>4674</v>
      </c>
      <c r="C160" s="4288" t="s">
        <v>4994</v>
      </c>
      <c r="D160" s="4289">
        <v>99.49</v>
      </c>
      <c r="E160" s="4290" t="s">
        <v>4995</v>
      </c>
      <c r="F160" s="4290" t="s">
        <v>4996</v>
      </c>
    </row>
    <row r="161" spans="1:6">
      <c r="A161" s="4287">
        <v>256</v>
      </c>
      <c r="B161" s="4287" t="s">
        <v>4674</v>
      </c>
      <c r="C161" s="4288" t="s">
        <v>4997</v>
      </c>
      <c r="D161" s="4289">
        <v>98.52</v>
      </c>
      <c r="E161" s="4290" t="s">
        <v>4933</v>
      </c>
      <c r="F161" s="4290" t="s">
        <v>4934</v>
      </c>
    </row>
    <row r="162" spans="1:6">
      <c r="A162" s="4287">
        <v>147</v>
      </c>
      <c r="B162" s="4287" t="s">
        <v>4674</v>
      </c>
      <c r="C162" s="4288" t="s">
        <v>4998</v>
      </c>
      <c r="D162" s="4289">
        <v>97.28</v>
      </c>
      <c r="E162" s="4290" t="s">
        <v>4999</v>
      </c>
      <c r="F162" s="4290" t="s">
        <v>4791</v>
      </c>
    </row>
    <row r="163" spans="1:6">
      <c r="A163" s="4287">
        <v>110</v>
      </c>
      <c r="B163" s="4287" t="s">
        <v>4674</v>
      </c>
      <c r="C163" s="4288" t="s">
        <v>5000</v>
      </c>
      <c r="D163" s="4289">
        <v>97.26</v>
      </c>
      <c r="E163" s="4290" t="s">
        <v>5001</v>
      </c>
      <c r="F163" s="4290" t="s">
        <v>4681</v>
      </c>
    </row>
    <row r="164" spans="1:6">
      <c r="A164" s="4287">
        <v>377</v>
      </c>
      <c r="B164" s="4287" t="s">
        <v>4674</v>
      </c>
      <c r="C164" s="4288" t="s">
        <v>5002</v>
      </c>
      <c r="D164" s="4289">
        <v>97.01</v>
      </c>
      <c r="E164" s="4290" t="s">
        <v>5003</v>
      </c>
      <c r="F164" s="4290" t="s">
        <v>4882</v>
      </c>
    </row>
    <row r="165" spans="1:6">
      <c r="A165" s="4287">
        <v>204</v>
      </c>
      <c r="B165" s="4287" t="s">
        <v>4674</v>
      </c>
      <c r="C165" s="4288" t="s">
        <v>5004</v>
      </c>
      <c r="D165" s="4289">
        <v>96.98</v>
      </c>
      <c r="E165" s="4290" t="s">
        <v>5005</v>
      </c>
      <c r="F165" s="4290" t="s">
        <v>5006</v>
      </c>
    </row>
    <row r="166" spans="1:6">
      <c r="A166" s="4287">
        <v>136</v>
      </c>
      <c r="B166" s="4287" t="s">
        <v>4674</v>
      </c>
      <c r="C166" s="4288" t="s">
        <v>5007</v>
      </c>
      <c r="D166" s="4289">
        <v>95.92</v>
      </c>
      <c r="E166" s="4290" t="s">
        <v>4921</v>
      </c>
      <c r="F166" s="4290" t="s">
        <v>4672</v>
      </c>
    </row>
    <row r="167" spans="1:6">
      <c r="A167" s="4287">
        <v>221</v>
      </c>
      <c r="B167" s="4287" t="s">
        <v>4674</v>
      </c>
      <c r="C167" s="4288" t="s">
        <v>5008</v>
      </c>
      <c r="D167" s="4289">
        <v>93.65</v>
      </c>
      <c r="E167" s="4290" t="s">
        <v>5009</v>
      </c>
      <c r="F167" s="4290" t="s">
        <v>4791</v>
      </c>
    </row>
    <row r="168" spans="1:6">
      <c r="A168" s="4287">
        <v>317</v>
      </c>
      <c r="B168" s="4287" t="s">
        <v>4674</v>
      </c>
      <c r="C168" s="4288" t="s">
        <v>5010</v>
      </c>
      <c r="D168" s="4289">
        <v>93.65</v>
      </c>
      <c r="E168" s="4290" t="s">
        <v>5011</v>
      </c>
      <c r="F168" s="4290" t="s">
        <v>4669</v>
      </c>
    </row>
    <row r="169" spans="1:6">
      <c r="A169" s="4287">
        <v>363</v>
      </c>
      <c r="B169" s="4287" t="s">
        <v>4674</v>
      </c>
      <c r="C169" s="4288" t="s">
        <v>5012</v>
      </c>
      <c r="D169" s="4289">
        <v>92.81</v>
      </c>
      <c r="E169" s="4290" t="s">
        <v>4732</v>
      </c>
      <c r="F169" s="4290" t="s">
        <v>5013</v>
      </c>
    </row>
    <row r="170" spans="1:6">
      <c r="A170" s="4287">
        <v>321</v>
      </c>
      <c r="B170" s="4287" t="s">
        <v>4674</v>
      </c>
      <c r="C170" s="4288" t="s">
        <v>5014</v>
      </c>
      <c r="D170" s="4289">
        <v>92.77</v>
      </c>
      <c r="E170" s="4290" t="s">
        <v>4827</v>
      </c>
      <c r="F170" s="4290" t="s">
        <v>4778</v>
      </c>
    </row>
    <row r="171" spans="1:6">
      <c r="A171" s="4287">
        <v>222</v>
      </c>
      <c r="B171" s="4287" t="s">
        <v>4674</v>
      </c>
      <c r="C171" s="4288" t="s">
        <v>5015</v>
      </c>
      <c r="D171" s="4289">
        <v>92.75</v>
      </c>
      <c r="E171" s="4290" t="s">
        <v>5003</v>
      </c>
      <c r="F171" s="4290" t="s">
        <v>4882</v>
      </c>
    </row>
    <row r="172" spans="1:6">
      <c r="A172" s="4287">
        <v>104</v>
      </c>
      <c r="B172" s="4287" t="s">
        <v>4674</v>
      </c>
      <c r="C172" s="4288" t="s">
        <v>5016</v>
      </c>
      <c r="D172" s="4289">
        <v>91.47</v>
      </c>
      <c r="E172" s="4290" t="s">
        <v>5017</v>
      </c>
      <c r="F172" s="4290" t="s">
        <v>4835</v>
      </c>
    </row>
    <row r="173" spans="1:6">
      <c r="A173" s="4287">
        <v>247</v>
      </c>
      <c r="B173" s="4287" t="s">
        <v>4674</v>
      </c>
      <c r="C173" s="4288" t="s">
        <v>5018</v>
      </c>
      <c r="D173" s="4289">
        <v>91.14</v>
      </c>
      <c r="E173" s="4290" t="s">
        <v>5019</v>
      </c>
      <c r="F173" s="4290" t="s">
        <v>4833</v>
      </c>
    </row>
    <row r="174" spans="1:6">
      <c r="A174" s="4287">
        <v>367</v>
      </c>
      <c r="B174" s="4287" t="s">
        <v>4674</v>
      </c>
      <c r="C174" s="4288" t="s">
        <v>5020</v>
      </c>
      <c r="D174" s="4289">
        <v>89.39</v>
      </c>
      <c r="E174" s="4290" t="s">
        <v>4769</v>
      </c>
      <c r="F174" s="4290" t="s">
        <v>4697</v>
      </c>
    </row>
    <row r="175" spans="1:6">
      <c r="A175" s="4287">
        <v>83</v>
      </c>
      <c r="B175" s="4287" t="s">
        <v>4674</v>
      </c>
      <c r="C175" s="4288" t="s">
        <v>5021</v>
      </c>
      <c r="D175" s="4289">
        <v>85.47</v>
      </c>
      <c r="E175" s="4290" t="s">
        <v>4827</v>
      </c>
      <c r="F175" s="4290" t="s">
        <v>4703</v>
      </c>
    </row>
    <row r="176" spans="1:6">
      <c r="A176" s="4287">
        <v>374</v>
      </c>
      <c r="B176" s="4287" t="s">
        <v>4674</v>
      </c>
      <c r="C176" s="4288" t="s">
        <v>5022</v>
      </c>
      <c r="D176" s="4289">
        <v>83.75</v>
      </c>
      <c r="E176" s="4290" t="s">
        <v>4729</v>
      </c>
      <c r="F176" s="4290" t="s">
        <v>4785</v>
      </c>
    </row>
    <row r="177" spans="1:6">
      <c r="A177" s="4287">
        <v>105</v>
      </c>
      <c r="B177" s="4287" t="s">
        <v>4674</v>
      </c>
      <c r="C177" s="4288" t="s">
        <v>5023</v>
      </c>
      <c r="D177" s="4289">
        <v>82.17</v>
      </c>
      <c r="E177" s="4290" t="s">
        <v>4913</v>
      </c>
      <c r="F177" s="4290" t="s">
        <v>4990</v>
      </c>
    </row>
    <row r="178" spans="1:6">
      <c r="A178" s="4287">
        <v>101</v>
      </c>
      <c r="B178" s="4287" t="s">
        <v>4674</v>
      </c>
      <c r="C178" s="4288" t="s">
        <v>5024</v>
      </c>
      <c r="D178" s="4289">
        <v>80.44</v>
      </c>
      <c r="E178" s="4290" t="s">
        <v>4913</v>
      </c>
      <c r="F178" s="4290" t="s">
        <v>4822</v>
      </c>
    </row>
    <row r="179" spans="1:6">
      <c r="A179" s="4287">
        <v>123</v>
      </c>
      <c r="B179" s="4287" t="s">
        <v>4674</v>
      </c>
      <c r="C179" s="4288" t="s">
        <v>5025</v>
      </c>
      <c r="D179" s="4289">
        <v>80.08</v>
      </c>
      <c r="E179" s="4290" t="s">
        <v>5026</v>
      </c>
      <c r="F179" s="4290" t="s">
        <v>4738</v>
      </c>
    </row>
    <row r="180" spans="1:6">
      <c r="A180" s="4287">
        <v>209</v>
      </c>
      <c r="B180" s="4287" t="s">
        <v>4674</v>
      </c>
      <c r="C180" s="4288" t="s">
        <v>5027</v>
      </c>
      <c r="D180" s="4289">
        <v>79.75</v>
      </c>
      <c r="E180" s="4290" t="s">
        <v>5028</v>
      </c>
      <c r="F180" s="4290" t="s">
        <v>5029</v>
      </c>
    </row>
    <row r="181" spans="1:6">
      <c r="A181" s="4287">
        <v>210</v>
      </c>
      <c r="B181" s="4287" t="s">
        <v>4674</v>
      </c>
      <c r="C181" s="4288" t="s">
        <v>5030</v>
      </c>
      <c r="D181" s="4289">
        <v>78.56</v>
      </c>
      <c r="E181" s="4290" t="s">
        <v>4921</v>
      </c>
      <c r="F181" s="4290" t="s">
        <v>4672</v>
      </c>
    </row>
    <row r="182" spans="1:6">
      <c r="A182" s="4287">
        <v>196</v>
      </c>
      <c r="B182" s="4287" t="s">
        <v>4674</v>
      </c>
      <c r="C182" s="4288" t="s">
        <v>5031</v>
      </c>
      <c r="D182" s="4289">
        <v>78.31</v>
      </c>
      <c r="E182" s="4290" t="s">
        <v>4708</v>
      </c>
      <c r="F182" s="4290" t="s">
        <v>4785</v>
      </c>
    </row>
    <row r="183" spans="1:6">
      <c r="A183" s="4287">
        <v>241</v>
      </c>
      <c r="B183" s="4287" t="s">
        <v>4674</v>
      </c>
      <c r="C183" s="4288" t="s">
        <v>5032</v>
      </c>
      <c r="D183" s="4289">
        <v>77.13</v>
      </c>
      <c r="E183" s="4290" t="s">
        <v>5033</v>
      </c>
      <c r="F183" s="4290" t="s">
        <v>4833</v>
      </c>
    </row>
    <row r="184" spans="1:6">
      <c r="A184" s="4287">
        <v>308</v>
      </c>
      <c r="B184" s="4287" t="s">
        <v>4674</v>
      </c>
      <c r="C184" s="4288" t="s">
        <v>5034</v>
      </c>
      <c r="D184" s="4289">
        <v>71.84</v>
      </c>
      <c r="E184" s="4290" t="s">
        <v>4671</v>
      </c>
      <c r="F184" s="4290" t="s">
        <v>4738</v>
      </c>
    </row>
    <row r="185" spans="1:6">
      <c r="A185" s="4287">
        <v>88</v>
      </c>
      <c r="B185" s="4287" t="s">
        <v>4674</v>
      </c>
      <c r="C185" s="4288" t="s">
        <v>5035</v>
      </c>
      <c r="D185" s="4289">
        <v>70.8</v>
      </c>
      <c r="E185" s="4290" t="s">
        <v>5036</v>
      </c>
      <c r="F185" s="4290" t="s">
        <v>4778</v>
      </c>
    </row>
    <row r="186" spans="1:6">
      <c r="A186" s="4287">
        <v>198</v>
      </c>
      <c r="B186" s="4287" t="s">
        <v>4674</v>
      </c>
      <c r="C186" s="4288" t="s">
        <v>5037</v>
      </c>
      <c r="D186" s="4289">
        <v>67.7</v>
      </c>
      <c r="E186" s="4290" t="s">
        <v>4708</v>
      </c>
      <c r="F186" s="4290" t="s">
        <v>4785</v>
      </c>
    </row>
    <row r="187" spans="1:6">
      <c r="A187" s="4287">
        <v>81</v>
      </c>
      <c r="B187" s="4287" t="s">
        <v>4674</v>
      </c>
      <c r="C187" s="4288" t="s">
        <v>5038</v>
      </c>
      <c r="D187" s="4289">
        <v>67.59</v>
      </c>
      <c r="E187" s="4290" t="s">
        <v>4671</v>
      </c>
      <c r="F187" s="4290" t="s">
        <v>4866</v>
      </c>
    </row>
    <row r="188" spans="1:6">
      <c r="A188" s="4287">
        <v>206</v>
      </c>
      <c r="B188" s="4287" t="s">
        <v>4674</v>
      </c>
      <c r="C188" s="4288" t="s">
        <v>5039</v>
      </c>
      <c r="D188" s="4289">
        <v>66.31</v>
      </c>
      <c r="E188" s="4290" t="s">
        <v>4899</v>
      </c>
      <c r="F188" s="4290" t="s">
        <v>4934</v>
      </c>
    </row>
    <row r="189" spans="1:6">
      <c r="A189" s="4287">
        <v>244</v>
      </c>
      <c r="B189" s="4287" t="s">
        <v>4674</v>
      </c>
      <c r="C189" s="4288" t="s">
        <v>5040</v>
      </c>
      <c r="D189" s="4289">
        <v>65.72</v>
      </c>
      <c r="E189" s="4290" t="s">
        <v>5041</v>
      </c>
      <c r="F189" s="4290" t="s">
        <v>5042</v>
      </c>
    </row>
    <row r="190" spans="1:6">
      <c r="A190" s="4287">
        <v>379</v>
      </c>
      <c r="B190" s="4287" t="s">
        <v>4674</v>
      </c>
      <c r="C190" s="4288" t="s">
        <v>5043</v>
      </c>
      <c r="D190" s="4289">
        <v>65.62</v>
      </c>
      <c r="E190" s="4290" t="s">
        <v>4696</v>
      </c>
      <c r="F190" s="4290" t="s">
        <v>4672</v>
      </c>
    </row>
    <row r="191" spans="1:6">
      <c r="A191" s="4287">
        <v>112</v>
      </c>
      <c r="B191" s="4287" t="s">
        <v>4674</v>
      </c>
      <c r="C191" s="4288" t="s">
        <v>5044</v>
      </c>
      <c r="D191" s="4289">
        <v>64.930000000000007</v>
      </c>
      <c r="E191" s="4290" t="s">
        <v>4708</v>
      </c>
      <c r="F191" s="4290" t="s">
        <v>4785</v>
      </c>
    </row>
    <row r="192" spans="1:6">
      <c r="A192" s="4287">
        <v>179</v>
      </c>
      <c r="B192" s="4287" t="s">
        <v>4674</v>
      </c>
      <c r="C192" s="4288" t="s">
        <v>5045</v>
      </c>
      <c r="D192" s="4289">
        <v>64.36</v>
      </c>
      <c r="E192" s="4290" t="s">
        <v>5046</v>
      </c>
      <c r="F192" s="4290" t="s">
        <v>4703</v>
      </c>
    </row>
    <row r="193" spans="1:6">
      <c r="A193" s="4287">
        <v>184</v>
      </c>
      <c r="B193" s="4287" t="s">
        <v>4674</v>
      </c>
      <c r="C193" s="4288" t="s">
        <v>5047</v>
      </c>
      <c r="D193" s="4289">
        <v>64.12</v>
      </c>
      <c r="E193" s="4290" t="s">
        <v>4827</v>
      </c>
      <c r="F193" s="4290" t="s">
        <v>4733</v>
      </c>
    </row>
    <row r="194" spans="1:6">
      <c r="A194" s="4287">
        <v>55</v>
      </c>
      <c r="B194" s="4287" t="s">
        <v>4897</v>
      </c>
      <c r="C194" s="4288" t="s">
        <v>4905</v>
      </c>
      <c r="D194" s="4289">
        <v>64</v>
      </c>
      <c r="E194" s="4290" t="s">
        <v>5048</v>
      </c>
      <c r="F194" s="4290" t="s">
        <v>5049</v>
      </c>
    </row>
    <row r="195" spans="1:6">
      <c r="A195" s="4287">
        <v>70</v>
      </c>
      <c r="B195" s="4287" t="s">
        <v>4897</v>
      </c>
      <c r="C195" s="4288" t="s">
        <v>4828</v>
      </c>
      <c r="D195" s="4289">
        <v>64</v>
      </c>
      <c r="E195" s="4290" t="s">
        <v>5050</v>
      </c>
      <c r="F195" s="4290" t="s">
        <v>4830</v>
      </c>
    </row>
    <row r="196" spans="1:6">
      <c r="A196" s="4287">
        <v>191</v>
      </c>
      <c r="B196" s="4287" t="s">
        <v>4674</v>
      </c>
      <c r="C196" s="4288" t="s">
        <v>5051</v>
      </c>
      <c r="D196" s="4289">
        <v>63.02</v>
      </c>
      <c r="E196" s="4290" t="s">
        <v>5052</v>
      </c>
      <c r="F196" s="4290" t="s">
        <v>4882</v>
      </c>
    </row>
    <row r="197" spans="1:6">
      <c r="A197" s="4287">
        <v>292</v>
      </c>
      <c r="B197" s="4287" t="s">
        <v>4897</v>
      </c>
      <c r="C197" s="4288" t="s">
        <v>4715</v>
      </c>
      <c r="D197" s="4289">
        <v>63</v>
      </c>
      <c r="E197" s="4290" t="s">
        <v>5053</v>
      </c>
      <c r="F197" s="4290" t="s">
        <v>5054</v>
      </c>
    </row>
    <row r="198" spans="1:6">
      <c r="A198" s="4287">
        <v>228</v>
      </c>
      <c r="B198" s="4287" t="s">
        <v>4674</v>
      </c>
      <c r="C198" s="4288" t="s">
        <v>5055</v>
      </c>
      <c r="D198" s="4289">
        <v>62.48</v>
      </c>
      <c r="E198" s="4290" t="s">
        <v>4981</v>
      </c>
      <c r="F198" s="4290" t="s">
        <v>4730</v>
      </c>
    </row>
    <row r="199" spans="1:6">
      <c r="A199" s="4287">
        <v>82</v>
      </c>
      <c r="B199" s="4287" t="s">
        <v>4674</v>
      </c>
      <c r="C199" s="4288" t="s">
        <v>5056</v>
      </c>
      <c r="D199" s="4289">
        <v>62.23</v>
      </c>
      <c r="E199" s="4290" t="s">
        <v>4671</v>
      </c>
      <c r="F199" s="4290" t="s">
        <v>4738</v>
      </c>
    </row>
    <row r="200" spans="1:6">
      <c r="A200" s="4287">
        <v>118</v>
      </c>
      <c r="B200" s="4287" t="s">
        <v>4674</v>
      </c>
      <c r="C200" s="4288" t="s">
        <v>4693</v>
      </c>
      <c r="D200" s="4289">
        <v>61.99</v>
      </c>
      <c r="E200" s="4290" t="s">
        <v>5057</v>
      </c>
      <c r="F200" s="4290" t="s">
        <v>5058</v>
      </c>
    </row>
    <row r="201" spans="1:6">
      <c r="A201" s="4287">
        <v>316</v>
      </c>
      <c r="B201" s="4287" t="s">
        <v>4674</v>
      </c>
      <c r="C201" s="4288" t="s">
        <v>5059</v>
      </c>
      <c r="D201" s="4289">
        <v>61.09</v>
      </c>
      <c r="E201" s="4290" t="s">
        <v>4671</v>
      </c>
      <c r="F201" s="4290" t="s">
        <v>4866</v>
      </c>
    </row>
    <row r="202" spans="1:6">
      <c r="A202" s="4287">
        <v>85</v>
      </c>
      <c r="B202" s="4287" t="s">
        <v>4674</v>
      </c>
      <c r="C202" s="4288" t="s">
        <v>5060</v>
      </c>
      <c r="D202" s="4289">
        <v>61.07</v>
      </c>
      <c r="E202" s="4290" t="s">
        <v>4827</v>
      </c>
      <c r="F202" s="4290" t="s">
        <v>4785</v>
      </c>
    </row>
    <row r="203" spans="1:6">
      <c r="A203" s="4287">
        <v>362</v>
      </c>
      <c r="B203" s="4287" t="s">
        <v>4674</v>
      </c>
      <c r="C203" s="4288" t="s">
        <v>5061</v>
      </c>
      <c r="D203" s="4289">
        <v>60.27</v>
      </c>
      <c r="E203" s="4290" t="s">
        <v>5062</v>
      </c>
      <c r="F203" s="4290" t="s">
        <v>5063</v>
      </c>
    </row>
    <row r="204" spans="1:6">
      <c r="A204" s="4287">
        <v>314</v>
      </c>
      <c r="B204" s="4287" t="s">
        <v>4674</v>
      </c>
      <c r="C204" s="4288" t="s">
        <v>5064</v>
      </c>
      <c r="D204" s="4289">
        <v>59.72</v>
      </c>
      <c r="E204" s="4290" t="s">
        <v>4671</v>
      </c>
      <c r="F204" s="4290" t="s">
        <v>4866</v>
      </c>
    </row>
    <row r="205" spans="1:6">
      <c r="A205" s="4287">
        <v>176</v>
      </c>
      <c r="B205" s="4287" t="s">
        <v>4674</v>
      </c>
      <c r="C205" s="4288" t="s">
        <v>5065</v>
      </c>
      <c r="D205" s="4289">
        <v>59.68</v>
      </c>
      <c r="E205" s="4290" t="s">
        <v>4969</v>
      </c>
      <c r="F205" s="4290" t="s">
        <v>5066</v>
      </c>
    </row>
    <row r="206" spans="1:6">
      <c r="A206" s="4287">
        <v>89</v>
      </c>
      <c r="B206" s="4287" t="s">
        <v>4674</v>
      </c>
      <c r="C206" s="4288" t="s">
        <v>5067</v>
      </c>
      <c r="D206" s="4289">
        <v>58.3</v>
      </c>
      <c r="E206" s="4290" t="s">
        <v>5068</v>
      </c>
      <c r="F206" s="4290" t="s">
        <v>5069</v>
      </c>
    </row>
    <row r="207" spans="1:6">
      <c r="A207" s="4287">
        <v>116</v>
      </c>
      <c r="B207" s="4287" t="s">
        <v>4674</v>
      </c>
      <c r="C207" s="4288" t="s">
        <v>5070</v>
      </c>
      <c r="D207" s="4289">
        <v>55.84</v>
      </c>
      <c r="E207" s="4290" t="s">
        <v>4899</v>
      </c>
      <c r="F207" s="4290" t="s">
        <v>4934</v>
      </c>
    </row>
    <row r="208" spans="1:6">
      <c r="A208" s="4287">
        <v>135</v>
      </c>
      <c r="B208" s="4287" t="s">
        <v>4674</v>
      </c>
      <c r="C208" s="4288" t="s">
        <v>5071</v>
      </c>
      <c r="D208" s="4289">
        <v>55.8</v>
      </c>
      <c r="E208" s="4290" t="s">
        <v>4921</v>
      </c>
      <c r="F208" s="4290" t="s">
        <v>4672</v>
      </c>
    </row>
    <row r="209" spans="1:6">
      <c r="A209" s="4287">
        <v>144</v>
      </c>
      <c r="B209" s="4287" t="s">
        <v>4674</v>
      </c>
      <c r="C209" s="4288" t="s">
        <v>5072</v>
      </c>
      <c r="D209" s="4289">
        <v>54.75</v>
      </c>
      <c r="E209" s="4290" t="s">
        <v>5073</v>
      </c>
      <c r="F209" s="4290" t="s">
        <v>5074</v>
      </c>
    </row>
    <row r="210" spans="1:6">
      <c r="A210" s="4287">
        <v>192</v>
      </c>
      <c r="B210" s="4287" t="s">
        <v>4674</v>
      </c>
      <c r="C210" s="4288" t="s">
        <v>5075</v>
      </c>
      <c r="D210" s="4289">
        <v>54.6</v>
      </c>
      <c r="E210" s="4290" t="s">
        <v>4913</v>
      </c>
      <c r="F210" s="4290" t="s">
        <v>5076</v>
      </c>
    </row>
    <row r="211" spans="1:6">
      <c r="A211" s="4287">
        <v>145</v>
      </c>
      <c r="B211" s="4287" t="s">
        <v>4674</v>
      </c>
      <c r="C211" s="4288" t="s">
        <v>5077</v>
      </c>
      <c r="D211" s="4289">
        <v>54.21</v>
      </c>
      <c r="E211" s="4290" t="s">
        <v>5009</v>
      </c>
      <c r="F211" s="4290" t="s">
        <v>4791</v>
      </c>
    </row>
    <row r="212" spans="1:6">
      <c r="A212" s="4287">
        <v>140</v>
      </c>
      <c r="B212" s="4287" t="s">
        <v>4674</v>
      </c>
      <c r="C212" s="4288" t="s">
        <v>5078</v>
      </c>
      <c r="D212" s="4289">
        <v>53.87</v>
      </c>
      <c r="E212" s="4290" t="s">
        <v>5079</v>
      </c>
      <c r="F212" s="4290" t="s">
        <v>5080</v>
      </c>
    </row>
    <row r="213" spans="1:6">
      <c r="A213" s="4287">
        <v>356</v>
      </c>
      <c r="B213" s="4287" t="s">
        <v>4674</v>
      </c>
      <c r="C213" s="4288" t="s">
        <v>5081</v>
      </c>
      <c r="D213" s="4289">
        <v>53.84</v>
      </c>
      <c r="E213" s="4290" t="s">
        <v>5082</v>
      </c>
      <c r="F213" s="4290" t="s">
        <v>4717</v>
      </c>
    </row>
    <row r="214" spans="1:6">
      <c r="A214" s="4287">
        <v>173</v>
      </c>
      <c r="B214" s="4287" t="s">
        <v>4674</v>
      </c>
      <c r="C214" s="4288" t="s">
        <v>5083</v>
      </c>
      <c r="D214" s="4289">
        <v>53.48</v>
      </c>
      <c r="E214" s="4290" t="s">
        <v>4671</v>
      </c>
      <c r="F214" s="4290" t="s">
        <v>4738</v>
      </c>
    </row>
    <row r="215" spans="1:6">
      <c r="A215" s="4287">
        <v>170</v>
      </c>
      <c r="B215" s="4287" t="s">
        <v>4987</v>
      </c>
      <c r="C215" s="4288" t="s">
        <v>4675</v>
      </c>
      <c r="D215" s="4289">
        <v>51.47</v>
      </c>
      <c r="E215" s="4290" t="s">
        <v>5084</v>
      </c>
      <c r="F215" s="4290" t="s">
        <v>4666</v>
      </c>
    </row>
    <row r="216" spans="1:6">
      <c r="A216" s="4287">
        <v>215</v>
      </c>
      <c r="B216" s="4287" t="s">
        <v>4674</v>
      </c>
      <c r="C216" s="4288" t="s">
        <v>5085</v>
      </c>
      <c r="D216" s="4289">
        <v>50.16</v>
      </c>
      <c r="E216" s="4290" t="s">
        <v>4921</v>
      </c>
      <c r="F216" s="4290" t="s">
        <v>4866</v>
      </c>
    </row>
    <row r="217" spans="1:6">
      <c r="A217" s="4287">
        <v>361</v>
      </c>
      <c r="B217" s="4287" t="s">
        <v>4674</v>
      </c>
      <c r="C217" s="4288" t="s">
        <v>5086</v>
      </c>
      <c r="D217" s="4289">
        <v>49.92</v>
      </c>
      <c r="E217" s="4290" t="s">
        <v>4769</v>
      </c>
      <c r="F217" s="4290" t="s">
        <v>4866</v>
      </c>
    </row>
    <row r="218" spans="1:6">
      <c r="A218" s="4287">
        <v>193</v>
      </c>
      <c r="B218" s="4287" t="s">
        <v>4674</v>
      </c>
      <c r="C218" s="4288" t="s">
        <v>5087</v>
      </c>
      <c r="D218" s="4289">
        <v>49.68</v>
      </c>
      <c r="E218" s="4290" t="s">
        <v>4913</v>
      </c>
      <c r="F218" s="4290" t="s">
        <v>4882</v>
      </c>
    </row>
    <row r="219" spans="1:6">
      <c r="A219" s="4287">
        <v>376</v>
      </c>
      <c r="B219" s="4287" t="s">
        <v>4674</v>
      </c>
      <c r="C219" s="4288" t="s">
        <v>5088</v>
      </c>
      <c r="D219" s="4289">
        <v>48.36</v>
      </c>
      <c r="E219" s="4290" t="s">
        <v>5089</v>
      </c>
      <c r="F219" s="4290" t="s">
        <v>4934</v>
      </c>
    </row>
    <row r="220" spans="1:6">
      <c r="A220" s="4287">
        <v>269</v>
      </c>
      <c r="B220" s="4287" t="s">
        <v>4897</v>
      </c>
      <c r="C220" s="4288" t="s">
        <v>5090</v>
      </c>
      <c r="D220" s="4289">
        <v>48</v>
      </c>
      <c r="E220" s="4290" t="s">
        <v>4884</v>
      </c>
      <c r="F220" s="4290" t="s">
        <v>4969</v>
      </c>
    </row>
    <row r="221" spans="1:6">
      <c r="A221" s="4287">
        <v>211</v>
      </c>
      <c r="B221" s="4287" t="s">
        <v>4674</v>
      </c>
      <c r="C221" s="4288" t="s">
        <v>5091</v>
      </c>
      <c r="D221" s="4289">
        <v>47.68</v>
      </c>
      <c r="E221" s="4290" t="s">
        <v>4910</v>
      </c>
      <c r="F221" s="4290" t="s">
        <v>4778</v>
      </c>
    </row>
    <row r="222" spans="1:6">
      <c r="A222" s="4287">
        <v>91</v>
      </c>
      <c r="B222" s="4287" t="s">
        <v>4674</v>
      </c>
      <c r="C222" s="4288" t="s">
        <v>5092</v>
      </c>
      <c r="D222" s="4289">
        <v>47.18</v>
      </c>
      <c r="E222" s="4290" t="s">
        <v>5093</v>
      </c>
      <c r="F222" s="4290" t="s">
        <v>5069</v>
      </c>
    </row>
    <row r="223" spans="1:6">
      <c r="A223" s="4287">
        <v>263</v>
      </c>
      <c r="B223" s="4287" t="s">
        <v>4897</v>
      </c>
      <c r="C223" s="4288"/>
      <c r="D223" s="4289">
        <v>46.4</v>
      </c>
      <c r="E223" s="4290" t="s">
        <v>5094</v>
      </c>
      <c r="F223" s="4290" t="s">
        <v>5095</v>
      </c>
    </row>
    <row r="224" spans="1:6">
      <c r="A224" s="4287">
        <v>188</v>
      </c>
      <c r="B224" s="4287" t="s">
        <v>4674</v>
      </c>
      <c r="C224" s="4288" t="s">
        <v>5096</v>
      </c>
      <c r="D224" s="4289">
        <v>45.36</v>
      </c>
      <c r="E224" s="4290" t="s">
        <v>4813</v>
      </c>
      <c r="F224" s="4290" t="s">
        <v>5097</v>
      </c>
    </row>
    <row r="225" spans="1:6">
      <c r="A225" s="4287">
        <v>99</v>
      </c>
      <c r="B225" s="4287" t="s">
        <v>4674</v>
      </c>
      <c r="C225" s="4288" t="s">
        <v>4691</v>
      </c>
      <c r="D225" s="4289">
        <v>42.54</v>
      </c>
      <c r="E225" s="4290" t="s">
        <v>4692</v>
      </c>
      <c r="F225" s="4290" t="s">
        <v>4681</v>
      </c>
    </row>
    <row r="226" spans="1:6">
      <c r="A226" s="4287">
        <v>127</v>
      </c>
      <c r="B226" s="4287" t="s">
        <v>4674</v>
      </c>
      <c r="C226" s="4288" t="s">
        <v>5098</v>
      </c>
      <c r="D226" s="4289">
        <v>42.54</v>
      </c>
      <c r="E226" s="4290" t="s">
        <v>4910</v>
      </c>
      <c r="F226" s="4290" t="s">
        <v>4778</v>
      </c>
    </row>
    <row r="227" spans="1:6">
      <c r="A227" s="4287">
        <v>61</v>
      </c>
      <c r="B227" s="4287" t="s">
        <v>4987</v>
      </c>
      <c r="C227" s="4288" t="s">
        <v>4864</v>
      </c>
      <c r="D227" s="4289">
        <v>42.36</v>
      </c>
      <c r="E227" s="4290" t="s">
        <v>5099</v>
      </c>
      <c r="F227" s="4290" t="s">
        <v>4666</v>
      </c>
    </row>
    <row r="228" spans="1:6">
      <c r="A228" s="4287">
        <v>149</v>
      </c>
      <c r="B228" s="4287" t="s">
        <v>4674</v>
      </c>
      <c r="C228" s="4288" t="s">
        <v>5100</v>
      </c>
      <c r="D228" s="4289">
        <v>40.79</v>
      </c>
      <c r="E228" s="4290" t="s">
        <v>4764</v>
      </c>
      <c r="F228" s="4290" t="s">
        <v>4714</v>
      </c>
    </row>
    <row r="229" spans="1:6">
      <c r="A229" s="4287">
        <v>353</v>
      </c>
      <c r="B229" s="4287" t="s">
        <v>4674</v>
      </c>
      <c r="C229" s="4288" t="s">
        <v>5101</v>
      </c>
      <c r="D229" s="4289">
        <v>40.17</v>
      </c>
      <c r="E229" s="4290" t="s">
        <v>4849</v>
      </c>
      <c r="F229" s="4290" t="s">
        <v>4738</v>
      </c>
    </row>
    <row r="230" spans="1:6">
      <c r="A230" s="4287">
        <v>60</v>
      </c>
      <c r="B230" s="4287" t="s">
        <v>4897</v>
      </c>
      <c r="C230" s="4288" t="s">
        <v>4878</v>
      </c>
      <c r="D230" s="4289">
        <v>39.06</v>
      </c>
      <c r="E230" s="4290" t="s">
        <v>4671</v>
      </c>
      <c r="F230" s="4290" t="s">
        <v>5102</v>
      </c>
    </row>
    <row r="231" spans="1:6">
      <c r="A231" s="4287">
        <v>318</v>
      </c>
      <c r="B231" s="4287" t="s">
        <v>4674</v>
      </c>
      <c r="C231" s="4288" t="s">
        <v>5103</v>
      </c>
      <c r="D231" s="4289">
        <v>38.79</v>
      </c>
      <c r="E231" s="4290" t="s">
        <v>4671</v>
      </c>
      <c r="F231" s="4290" t="s">
        <v>4866</v>
      </c>
    </row>
    <row r="232" spans="1:6">
      <c r="A232" s="4287">
        <v>390</v>
      </c>
      <c r="B232" s="4287" t="s">
        <v>4987</v>
      </c>
      <c r="C232" s="4288" t="s">
        <v>4675</v>
      </c>
      <c r="D232" s="4289">
        <v>38.4</v>
      </c>
      <c r="E232" s="4290" t="s">
        <v>5050</v>
      </c>
      <c r="F232" s="4290" t="s">
        <v>4666</v>
      </c>
    </row>
    <row r="233" spans="1:6">
      <c r="A233" s="4287">
        <v>49</v>
      </c>
      <c r="B233" s="4287" t="s">
        <v>4987</v>
      </c>
      <c r="C233" s="4288" t="s">
        <v>4704</v>
      </c>
      <c r="D233" s="4289">
        <v>38.17</v>
      </c>
      <c r="E233" s="4290" t="s">
        <v>5104</v>
      </c>
      <c r="F233" s="4290" t="s">
        <v>5105</v>
      </c>
    </row>
    <row r="234" spans="1:6">
      <c r="A234" s="4287">
        <v>126</v>
      </c>
      <c r="B234" s="4287" t="s">
        <v>4674</v>
      </c>
      <c r="C234" s="4288" t="s">
        <v>5106</v>
      </c>
      <c r="D234" s="4289">
        <v>37.4</v>
      </c>
      <c r="E234" s="4290" t="s">
        <v>4708</v>
      </c>
      <c r="F234" s="4290" t="s">
        <v>4785</v>
      </c>
    </row>
    <row r="235" spans="1:6">
      <c r="A235" s="4287">
        <v>24</v>
      </c>
      <c r="B235" s="4287" t="s">
        <v>4897</v>
      </c>
      <c r="C235" s="4288"/>
      <c r="D235" s="4289">
        <v>36</v>
      </c>
      <c r="E235" s="4290" t="s">
        <v>5107</v>
      </c>
      <c r="F235" s="4290" t="s">
        <v>4963</v>
      </c>
    </row>
    <row r="236" spans="1:6">
      <c r="A236" s="4287">
        <v>141</v>
      </c>
      <c r="B236" s="4287" t="s">
        <v>4674</v>
      </c>
      <c r="C236" s="4288" t="s">
        <v>5108</v>
      </c>
      <c r="D236" s="4289">
        <v>35.630000000000003</v>
      </c>
      <c r="E236" s="4290" t="s">
        <v>4921</v>
      </c>
      <c r="F236" s="4290" t="s">
        <v>4672</v>
      </c>
    </row>
    <row r="237" spans="1:6">
      <c r="A237" s="4287">
        <v>375</v>
      </c>
      <c r="B237" s="4287" t="s">
        <v>4674</v>
      </c>
      <c r="C237" s="4288" t="s">
        <v>5109</v>
      </c>
      <c r="D237" s="4289">
        <v>35.03</v>
      </c>
      <c r="E237" s="4290" t="s">
        <v>4824</v>
      </c>
      <c r="F237" s="4290" t="s">
        <v>4785</v>
      </c>
    </row>
    <row r="238" spans="1:6">
      <c r="A238" s="4287">
        <v>234</v>
      </c>
      <c r="B238" s="4287" t="s">
        <v>4674</v>
      </c>
      <c r="C238" s="4288" t="s">
        <v>5110</v>
      </c>
      <c r="D238" s="4289">
        <v>33.82</v>
      </c>
      <c r="E238" s="4290" t="s">
        <v>4784</v>
      </c>
      <c r="F238" s="4290" t="s">
        <v>4785</v>
      </c>
    </row>
    <row r="239" spans="1:6">
      <c r="A239" s="4287">
        <v>47</v>
      </c>
      <c r="B239" s="4287" t="s">
        <v>4987</v>
      </c>
      <c r="C239" s="4288" t="s">
        <v>4701</v>
      </c>
      <c r="D239" s="4289">
        <v>32.31</v>
      </c>
      <c r="E239" s="4290" t="s">
        <v>4921</v>
      </c>
      <c r="F239" s="4290" t="s">
        <v>4672</v>
      </c>
    </row>
    <row r="240" spans="1:6">
      <c r="A240" s="4287">
        <v>148</v>
      </c>
      <c r="B240" s="4287" t="s">
        <v>4674</v>
      </c>
      <c r="C240" s="4288" t="s">
        <v>5111</v>
      </c>
      <c r="D240" s="4289">
        <v>32.270000000000003</v>
      </c>
      <c r="E240" s="4290" t="s">
        <v>5112</v>
      </c>
      <c r="F240" s="4290" t="s">
        <v>4791</v>
      </c>
    </row>
    <row r="241" spans="1:6">
      <c r="A241" s="4287">
        <v>360</v>
      </c>
      <c r="B241" s="4287" t="s">
        <v>4674</v>
      </c>
      <c r="C241" s="4288" t="s">
        <v>5113</v>
      </c>
      <c r="D241" s="4289">
        <v>31.99</v>
      </c>
      <c r="E241" s="4290" t="s">
        <v>4921</v>
      </c>
      <c r="F241" s="4290" t="s">
        <v>4672</v>
      </c>
    </row>
    <row r="242" spans="1:6">
      <c r="A242" s="4287">
        <v>57</v>
      </c>
      <c r="B242" s="4287" t="s">
        <v>4674</v>
      </c>
      <c r="C242" s="4288" t="s">
        <v>5114</v>
      </c>
      <c r="D242" s="4289">
        <v>31.38</v>
      </c>
      <c r="E242" s="4290" t="s">
        <v>5115</v>
      </c>
      <c r="F242" s="4290" t="s">
        <v>5097</v>
      </c>
    </row>
    <row r="243" spans="1:6">
      <c r="A243" s="4287">
        <v>347</v>
      </c>
      <c r="B243" s="4287" t="s">
        <v>4674</v>
      </c>
      <c r="C243" s="4288" t="s">
        <v>5116</v>
      </c>
      <c r="D243" s="4289">
        <v>30.89</v>
      </c>
      <c r="E243" s="4290" t="s">
        <v>5117</v>
      </c>
      <c r="F243" s="4290" t="s">
        <v>4785</v>
      </c>
    </row>
    <row r="244" spans="1:6">
      <c r="A244" s="4287">
        <v>359</v>
      </c>
      <c r="B244" s="4287" t="s">
        <v>4674</v>
      </c>
      <c r="C244" s="4288" t="s">
        <v>5118</v>
      </c>
      <c r="D244" s="4289">
        <v>30.71</v>
      </c>
      <c r="E244" s="4290" t="s">
        <v>5119</v>
      </c>
      <c r="F244" s="4290" t="s">
        <v>5120</v>
      </c>
    </row>
    <row r="245" spans="1:6">
      <c r="A245" s="4287">
        <v>231</v>
      </c>
      <c r="B245" s="4287" t="s">
        <v>4674</v>
      </c>
      <c r="C245" s="4288" t="s">
        <v>5121</v>
      </c>
      <c r="D245" s="4289">
        <v>30.6</v>
      </c>
      <c r="E245" s="4290" t="s">
        <v>5122</v>
      </c>
      <c r="F245" s="4290" t="s">
        <v>5123</v>
      </c>
    </row>
    <row r="246" spans="1:6">
      <c r="A246" s="4287">
        <v>183</v>
      </c>
      <c r="B246" s="4287" t="s">
        <v>4674</v>
      </c>
      <c r="C246" s="4288" t="s">
        <v>5124</v>
      </c>
      <c r="D246" s="4289">
        <v>30.43</v>
      </c>
      <c r="E246" s="4290" t="s">
        <v>5011</v>
      </c>
      <c r="F246" s="4290" t="s">
        <v>4703</v>
      </c>
    </row>
    <row r="247" spans="1:6">
      <c r="A247" s="4287">
        <v>240</v>
      </c>
      <c r="B247" s="4287" t="s">
        <v>4674</v>
      </c>
      <c r="C247" s="4288" t="s">
        <v>5125</v>
      </c>
      <c r="D247" s="4289">
        <v>30.35</v>
      </c>
      <c r="E247" s="4290" t="s">
        <v>5126</v>
      </c>
      <c r="F247" s="4290" t="s">
        <v>5127</v>
      </c>
    </row>
    <row r="248" spans="1:6">
      <c r="A248" s="4287">
        <v>22</v>
      </c>
      <c r="B248" s="4287" t="s">
        <v>4897</v>
      </c>
      <c r="C248" s="4288"/>
      <c r="D248" s="4289">
        <v>30</v>
      </c>
      <c r="E248" s="4290" t="s">
        <v>5128</v>
      </c>
      <c r="F248" s="4290" t="s">
        <v>4689</v>
      </c>
    </row>
    <row r="249" spans="1:6">
      <c r="A249" s="4287">
        <v>272</v>
      </c>
      <c r="B249" s="4287" t="s">
        <v>4897</v>
      </c>
      <c r="C249" s="4288"/>
      <c r="D249" s="4289">
        <v>30</v>
      </c>
      <c r="E249" s="4290" t="s">
        <v>4827</v>
      </c>
      <c r="F249" s="4290" t="s">
        <v>4778</v>
      </c>
    </row>
    <row r="250" spans="1:6">
      <c r="A250" s="4287">
        <v>398</v>
      </c>
      <c r="B250" s="4287" t="s">
        <v>4897</v>
      </c>
      <c r="C250" s="4288" t="s">
        <v>5075</v>
      </c>
      <c r="D250" s="4289">
        <v>30</v>
      </c>
      <c r="E250" s="4290" t="s">
        <v>4827</v>
      </c>
      <c r="F250" s="4290" t="s">
        <v>4778</v>
      </c>
    </row>
    <row r="251" spans="1:6">
      <c r="A251" s="4287">
        <v>131</v>
      </c>
      <c r="B251" s="4287" t="s">
        <v>4674</v>
      </c>
      <c r="C251" s="4288" t="s">
        <v>5129</v>
      </c>
      <c r="D251" s="4289">
        <v>29.81</v>
      </c>
      <c r="E251" s="4290" t="s">
        <v>4910</v>
      </c>
      <c r="F251" s="4290" t="s">
        <v>4778</v>
      </c>
    </row>
    <row r="252" spans="1:6">
      <c r="A252" s="4287">
        <v>51</v>
      </c>
      <c r="B252" s="4287" t="s">
        <v>4987</v>
      </c>
      <c r="C252" s="4288" t="s">
        <v>5004</v>
      </c>
      <c r="D252" s="4289">
        <v>28.95</v>
      </c>
      <c r="E252" s="4290" t="s">
        <v>4992</v>
      </c>
      <c r="F252" s="4290" t="s">
        <v>5130</v>
      </c>
    </row>
    <row r="253" spans="1:6">
      <c r="A253" s="4287">
        <v>93</v>
      </c>
      <c r="B253" s="4287" t="s">
        <v>4674</v>
      </c>
      <c r="C253" s="4288" t="s">
        <v>5131</v>
      </c>
      <c r="D253" s="4289">
        <v>28.47</v>
      </c>
      <c r="E253" s="4290" t="s">
        <v>5132</v>
      </c>
      <c r="F253" s="4290" t="s">
        <v>4830</v>
      </c>
    </row>
    <row r="254" spans="1:6">
      <c r="A254" s="4287">
        <v>391</v>
      </c>
      <c r="B254" s="4287" t="s">
        <v>4987</v>
      </c>
      <c r="C254" s="4288" t="s">
        <v>4675</v>
      </c>
      <c r="D254" s="4289">
        <v>28</v>
      </c>
      <c r="E254" s="4290" t="s">
        <v>5050</v>
      </c>
      <c r="F254" s="4290" t="s">
        <v>4666</v>
      </c>
    </row>
    <row r="255" spans="1:6">
      <c r="A255" s="4287">
        <v>335</v>
      </c>
      <c r="B255" s="4287" t="s">
        <v>4674</v>
      </c>
      <c r="C255" s="4288" t="s">
        <v>5133</v>
      </c>
      <c r="D255" s="4289">
        <v>27.41</v>
      </c>
      <c r="E255" s="4290" t="s">
        <v>4913</v>
      </c>
      <c r="F255" s="4290" t="s">
        <v>5134</v>
      </c>
    </row>
    <row r="256" spans="1:6">
      <c r="A256" s="4287">
        <v>92</v>
      </c>
      <c r="B256" s="4287" t="s">
        <v>4674</v>
      </c>
      <c r="C256" s="4288" t="s">
        <v>5135</v>
      </c>
      <c r="D256" s="4289">
        <v>27.4</v>
      </c>
      <c r="E256" s="4290" t="s">
        <v>5050</v>
      </c>
      <c r="F256" s="4290" t="s">
        <v>4830</v>
      </c>
    </row>
    <row r="257" spans="1:6">
      <c r="A257" s="4287">
        <v>190</v>
      </c>
      <c r="B257" s="4287" t="s">
        <v>4674</v>
      </c>
      <c r="C257" s="4288" t="s">
        <v>5136</v>
      </c>
      <c r="D257" s="4289">
        <v>27.25</v>
      </c>
      <c r="E257" s="4290" t="s">
        <v>4662</v>
      </c>
      <c r="F257" s="4290" t="s">
        <v>5137</v>
      </c>
    </row>
    <row r="258" spans="1:6">
      <c r="A258" s="4287">
        <v>8</v>
      </c>
      <c r="B258" s="4287" t="s">
        <v>4987</v>
      </c>
      <c r="C258" s="4288" t="s">
        <v>4751</v>
      </c>
      <c r="D258" s="4289">
        <v>26.95</v>
      </c>
      <c r="E258" s="4290" t="s">
        <v>5026</v>
      </c>
      <c r="F258" s="4290" t="s">
        <v>5138</v>
      </c>
    </row>
    <row r="259" spans="1:6">
      <c r="A259" s="4287">
        <v>9</v>
      </c>
      <c r="B259" s="4287" t="s">
        <v>4987</v>
      </c>
      <c r="C259" s="4288" t="s">
        <v>4852</v>
      </c>
      <c r="D259" s="4289">
        <v>26.75</v>
      </c>
      <c r="E259" s="4290" t="s">
        <v>5139</v>
      </c>
      <c r="F259" s="4290" t="s">
        <v>5140</v>
      </c>
    </row>
    <row r="260" spans="1:6">
      <c r="A260" s="4287">
        <v>1</v>
      </c>
      <c r="B260" s="4287" t="s">
        <v>4987</v>
      </c>
      <c r="C260" s="4288" t="s">
        <v>4807</v>
      </c>
      <c r="D260" s="4289">
        <v>26.43</v>
      </c>
      <c r="E260" s="4290" t="s">
        <v>5141</v>
      </c>
      <c r="F260" s="4290" t="s">
        <v>4666</v>
      </c>
    </row>
    <row r="261" spans="1:6">
      <c r="A261" s="4287">
        <v>203</v>
      </c>
      <c r="B261" s="4287" t="s">
        <v>4674</v>
      </c>
      <c r="C261" s="4288" t="s">
        <v>5142</v>
      </c>
      <c r="D261" s="4289">
        <v>26.32</v>
      </c>
      <c r="E261" s="4290" t="s">
        <v>4889</v>
      </c>
      <c r="F261" s="4290" t="s">
        <v>4730</v>
      </c>
    </row>
    <row r="262" spans="1:6">
      <c r="A262" s="4287">
        <v>208</v>
      </c>
      <c r="B262" s="4287" t="s">
        <v>4674</v>
      </c>
      <c r="C262" s="4288" t="s">
        <v>5143</v>
      </c>
      <c r="D262" s="4289">
        <v>25.65</v>
      </c>
      <c r="E262" s="4290" t="s">
        <v>5144</v>
      </c>
      <c r="F262" s="4290" t="s">
        <v>4778</v>
      </c>
    </row>
    <row r="263" spans="1:6">
      <c r="A263" s="4287">
        <v>322</v>
      </c>
      <c r="B263" s="4287" t="s">
        <v>4674</v>
      </c>
      <c r="C263" s="4288" t="s">
        <v>4989</v>
      </c>
      <c r="D263" s="4289">
        <v>25.65</v>
      </c>
      <c r="E263" s="4290" t="s">
        <v>5145</v>
      </c>
      <c r="F263" s="4290" t="s">
        <v>5146</v>
      </c>
    </row>
    <row r="264" spans="1:6">
      <c r="A264" s="4287">
        <v>340</v>
      </c>
      <c r="B264" s="4287" t="s">
        <v>4674</v>
      </c>
      <c r="C264" s="4288" t="s">
        <v>5147</v>
      </c>
      <c r="D264" s="4289">
        <v>24.9</v>
      </c>
      <c r="E264" s="4290" t="s">
        <v>4708</v>
      </c>
      <c r="F264" s="4290" t="s">
        <v>4785</v>
      </c>
    </row>
    <row r="265" spans="1:6">
      <c r="A265" s="4287">
        <v>124</v>
      </c>
      <c r="B265" s="4287" t="s">
        <v>4674</v>
      </c>
      <c r="C265" s="4288" t="s">
        <v>5148</v>
      </c>
      <c r="D265" s="4289">
        <v>24.38</v>
      </c>
      <c r="E265" s="4290" t="s">
        <v>4910</v>
      </c>
      <c r="F265" s="4290" t="s">
        <v>4778</v>
      </c>
    </row>
    <row r="266" spans="1:6">
      <c r="A266" s="4287">
        <v>115</v>
      </c>
      <c r="B266" s="4287" t="s">
        <v>5149</v>
      </c>
      <c r="C266" s="4288" t="s">
        <v>5070</v>
      </c>
      <c r="D266" s="4289">
        <v>24.08</v>
      </c>
      <c r="E266" s="4290" t="s">
        <v>4899</v>
      </c>
      <c r="F266" s="4290" t="s">
        <v>4934</v>
      </c>
    </row>
    <row r="267" spans="1:6">
      <c r="A267" s="4287">
        <v>5</v>
      </c>
      <c r="B267" s="4287" t="s">
        <v>4987</v>
      </c>
      <c r="C267" s="4288" t="s">
        <v>4774</v>
      </c>
      <c r="D267" s="4289">
        <v>23.08</v>
      </c>
      <c r="E267" s="4290" t="s">
        <v>5068</v>
      </c>
      <c r="F267" s="4290" t="s">
        <v>5069</v>
      </c>
    </row>
    <row r="268" spans="1:6">
      <c r="A268" s="4287">
        <v>65</v>
      </c>
      <c r="B268" s="4287" t="s">
        <v>4987</v>
      </c>
      <c r="C268" s="4288" t="s">
        <v>4856</v>
      </c>
      <c r="D268" s="4289">
        <v>22.01</v>
      </c>
      <c r="E268" s="4290" t="s">
        <v>5150</v>
      </c>
      <c r="F268" s="4290" t="s">
        <v>5151</v>
      </c>
    </row>
    <row r="269" spans="1:6">
      <c r="A269" s="4287">
        <v>332</v>
      </c>
      <c r="B269" s="4287" t="s">
        <v>4674</v>
      </c>
      <c r="C269" s="4288" t="s">
        <v>5152</v>
      </c>
      <c r="D269" s="4289">
        <v>21.42</v>
      </c>
      <c r="E269" s="4290" t="s">
        <v>4913</v>
      </c>
      <c r="F269" s="4290" t="s">
        <v>4833</v>
      </c>
    </row>
    <row r="270" spans="1:6">
      <c r="A270" s="4287">
        <v>352</v>
      </c>
      <c r="B270" s="4287" t="s">
        <v>5149</v>
      </c>
      <c r="C270" s="4288" t="s">
        <v>4852</v>
      </c>
      <c r="D270" s="4289">
        <v>21.28</v>
      </c>
      <c r="E270" s="4290" t="s">
        <v>4849</v>
      </c>
      <c r="F270" s="4290" t="s">
        <v>4669</v>
      </c>
    </row>
    <row r="271" spans="1:6">
      <c r="A271" s="4287">
        <v>120</v>
      </c>
      <c r="B271" s="4287" t="s">
        <v>4674</v>
      </c>
      <c r="C271" s="4288" t="s">
        <v>5153</v>
      </c>
      <c r="D271" s="4289">
        <v>21.17</v>
      </c>
      <c r="E271" s="4290" t="s">
        <v>4849</v>
      </c>
      <c r="F271" s="4290" t="s">
        <v>4738</v>
      </c>
    </row>
    <row r="272" spans="1:6">
      <c r="A272" s="4287">
        <v>323</v>
      </c>
      <c r="B272" s="4287" t="s">
        <v>4674</v>
      </c>
      <c r="C272" s="4288" t="s">
        <v>5154</v>
      </c>
      <c r="D272" s="4289">
        <v>20.7</v>
      </c>
      <c r="E272" s="4290" t="s">
        <v>4796</v>
      </c>
      <c r="F272" s="4290" t="s">
        <v>4830</v>
      </c>
    </row>
    <row r="273" spans="1:6">
      <c r="A273" s="4287">
        <v>74</v>
      </c>
      <c r="B273" s="4287" t="s">
        <v>4987</v>
      </c>
      <c r="C273" s="4288" t="s">
        <v>5047</v>
      </c>
      <c r="D273" s="4289">
        <v>20.39</v>
      </c>
      <c r="E273" s="4290" t="s">
        <v>5155</v>
      </c>
      <c r="F273" s="4290" t="s">
        <v>5156</v>
      </c>
    </row>
    <row r="274" spans="1:6">
      <c r="A274" s="4287">
        <v>271</v>
      </c>
      <c r="B274" s="4287" t="s">
        <v>4897</v>
      </c>
      <c r="C274" s="4288" t="s">
        <v>4869</v>
      </c>
      <c r="D274" s="4289">
        <v>20</v>
      </c>
      <c r="E274" s="4290" t="s">
        <v>5157</v>
      </c>
      <c r="F274" s="4290" t="s">
        <v>5158</v>
      </c>
    </row>
    <row r="275" spans="1:6">
      <c r="A275" s="4287">
        <v>212</v>
      </c>
      <c r="B275" s="4287" t="s">
        <v>5149</v>
      </c>
      <c r="C275" s="4288" t="s">
        <v>4994</v>
      </c>
      <c r="D275" s="4289">
        <v>19.98</v>
      </c>
      <c r="E275" s="4290" t="s">
        <v>4995</v>
      </c>
      <c r="F275" s="4290" t="s">
        <v>4996</v>
      </c>
    </row>
    <row r="276" spans="1:6">
      <c r="A276" s="4287">
        <v>333</v>
      </c>
      <c r="B276" s="4287" t="s">
        <v>4674</v>
      </c>
      <c r="C276" s="4288" t="s">
        <v>5159</v>
      </c>
      <c r="D276" s="4289">
        <v>19.739999999999998</v>
      </c>
      <c r="E276" s="4290" t="s">
        <v>4913</v>
      </c>
      <c r="F276" s="4290" t="s">
        <v>4833</v>
      </c>
    </row>
    <row r="277" spans="1:6">
      <c r="A277" s="4287">
        <v>354</v>
      </c>
      <c r="B277" s="4287" t="s">
        <v>4674</v>
      </c>
      <c r="C277" s="4288" t="s">
        <v>5160</v>
      </c>
      <c r="D277" s="4289">
        <v>19.739999999999998</v>
      </c>
      <c r="E277" s="4290" t="s">
        <v>4849</v>
      </c>
      <c r="F277" s="4290" t="s">
        <v>4738</v>
      </c>
    </row>
    <row r="278" spans="1:6">
      <c r="A278" s="4287">
        <v>46</v>
      </c>
      <c r="B278" s="4287" t="s">
        <v>4987</v>
      </c>
      <c r="C278" s="4288" t="s">
        <v>5161</v>
      </c>
      <c r="D278" s="4289">
        <v>19.39</v>
      </c>
      <c r="E278" s="4290" t="s">
        <v>4921</v>
      </c>
      <c r="F278" s="4290" t="s">
        <v>4672</v>
      </c>
    </row>
    <row r="279" spans="1:6">
      <c r="A279" s="4287">
        <v>223</v>
      </c>
      <c r="B279" s="4287" t="s">
        <v>4674</v>
      </c>
      <c r="C279" s="4288" t="s">
        <v>5162</v>
      </c>
      <c r="D279" s="4289">
        <v>19.170000000000002</v>
      </c>
      <c r="E279" s="4290" t="s">
        <v>5163</v>
      </c>
      <c r="F279" s="4290" t="s">
        <v>4833</v>
      </c>
    </row>
    <row r="280" spans="1:6">
      <c r="A280" s="4287">
        <v>339</v>
      </c>
      <c r="B280" s="4287" t="s">
        <v>4674</v>
      </c>
      <c r="C280" s="4288" t="s">
        <v>5164</v>
      </c>
      <c r="D280" s="4289">
        <v>18.21</v>
      </c>
      <c r="E280" s="4290" t="s">
        <v>5165</v>
      </c>
      <c r="F280" s="4290" t="s">
        <v>4785</v>
      </c>
    </row>
    <row r="281" spans="1:6">
      <c r="A281" s="4287">
        <v>129</v>
      </c>
      <c r="B281" s="4287" t="s">
        <v>4674</v>
      </c>
      <c r="C281" s="4288" t="s">
        <v>5166</v>
      </c>
      <c r="D281" s="4289">
        <v>18</v>
      </c>
      <c r="E281" s="4290" t="s">
        <v>4849</v>
      </c>
      <c r="F281" s="4290" t="s">
        <v>4738</v>
      </c>
    </row>
    <row r="282" spans="1:6">
      <c r="A282" s="4287">
        <v>4</v>
      </c>
      <c r="B282" s="4287" t="s">
        <v>4987</v>
      </c>
      <c r="C282" s="4288" t="s">
        <v>4786</v>
      </c>
      <c r="D282" s="4289">
        <v>17.440000000000001</v>
      </c>
      <c r="E282" s="4290" t="s">
        <v>4827</v>
      </c>
      <c r="F282" s="4290" t="s">
        <v>4703</v>
      </c>
    </row>
    <row r="283" spans="1:6">
      <c r="A283" s="4287">
        <v>21</v>
      </c>
      <c r="B283" s="4287" t="s">
        <v>4897</v>
      </c>
      <c r="C283" s="4288"/>
      <c r="D283" s="4289">
        <v>17</v>
      </c>
      <c r="E283" s="4290" t="s">
        <v>5167</v>
      </c>
      <c r="F283" s="4290" t="s">
        <v>5049</v>
      </c>
    </row>
    <row r="284" spans="1:6">
      <c r="A284" s="4287">
        <v>329</v>
      </c>
      <c r="B284" s="4287" t="s">
        <v>4674</v>
      </c>
      <c r="C284" s="4288" t="s">
        <v>5168</v>
      </c>
      <c r="D284" s="4289">
        <v>16.95</v>
      </c>
      <c r="E284" s="4290" t="s">
        <v>4870</v>
      </c>
      <c r="F284" s="4290" t="s">
        <v>4672</v>
      </c>
    </row>
    <row r="285" spans="1:6">
      <c r="A285" s="4287">
        <v>252</v>
      </c>
      <c r="B285" s="4287" t="s">
        <v>5149</v>
      </c>
      <c r="C285" s="4288" t="s">
        <v>4915</v>
      </c>
      <c r="D285" s="4289">
        <v>16.84</v>
      </c>
      <c r="E285" s="4290" t="s">
        <v>5169</v>
      </c>
      <c r="F285" s="4290" t="s">
        <v>4703</v>
      </c>
    </row>
    <row r="286" spans="1:6">
      <c r="A286" s="4287">
        <v>205</v>
      </c>
      <c r="B286" s="4287" t="s">
        <v>5149</v>
      </c>
      <c r="C286" s="4288" t="s">
        <v>5039</v>
      </c>
      <c r="D286" s="4289">
        <v>16.649999999999999</v>
      </c>
      <c r="E286" s="4290" t="s">
        <v>4899</v>
      </c>
      <c r="F286" s="4290" t="s">
        <v>4934</v>
      </c>
    </row>
    <row r="287" spans="1:6">
      <c r="A287" s="4287">
        <v>67</v>
      </c>
      <c r="B287" s="4287" t="s">
        <v>4987</v>
      </c>
      <c r="C287" s="4288" t="s">
        <v>4839</v>
      </c>
      <c r="D287" s="4289">
        <v>16.489999999999998</v>
      </c>
      <c r="E287" s="4290" t="s">
        <v>5170</v>
      </c>
      <c r="F287" s="4290" t="s">
        <v>4791</v>
      </c>
    </row>
    <row r="288" spans="1:6">
      <c r="A288" s="4287">
        <v>6</v>
      </c>
      <c r="B288" s="4287" t="s">
        <v>4987</v>
      </c>
      <c r="C288" s="4288" t="s">
        <v>4763</v>
      </c>
      <c r="D288" s="4289">
        <v>15.2</v>
      </c>
      <c r="E288" s="4290" t="s">
        <v>4889</v>
      </c>
      <c r="F288" s="4290" t="s">
        <v>4714</v>
      </c>
    </row>
    <row r="289" spans="1:6">
      <c r="A289" s="4287">
        <v>63</v>
      </c>
      <c r="B289" s="4287" t="s">
        <v>4987</v>
      </c>
      <c r="C289" s="4288" t="s">
        <v>4812</v>
      </c>
      <c r="D289" s="4289">
        <v>15.1</v>
      </c>
      <c r="E289" s="4290" t="s">
        <v>5171</v>
      </c>
      <c r="F289" s="4290" t="s">
        <v>5172</v>
      </c>
    </row>
    <row r="290" spans="1:6">
      <c r="A290" s="4287">
        <v>327</v>
      </c>
      <c r="B290" s="4287" t="s">
        <v>5149</v>
      </c>
      <c r="C290" s="4288" t="s">
        <v>5173</v>
      </c>
      <c r="D290" s="4289">
        <v>15.08</v>
      </c>
      <c r="E290" s="4290" t="s">
        <v>5050</v>
      </c>
      <c r="F290" s="4290" t="s">
        <v>4830</v>
      </c>
    </row>
    <row r="291" spans="1:6">
      <c r="A291" s="4287">
        <v>392</v>
      </c>
      <c r="B291" s="4287" t="s">
        <v>4987</v>
      </c>
      <c r="C291" s="4288" t="s">
        <v>4801</v>
      </c>
      <c r="D291" s="4289">
        <v>14.61</v>
      </c>
      <c r="E291" s="4290" t="s">
        <v>4849</v>
      </c>
      <c r="F291" s="4290" t="s">
        <v>4738</v>
      </c>
    </row>
    <row r="292" spans="1:6">
      <c r="A292" s="4287">
        <v>50</v>
      </c>
      <c r="B292" s="4287" t="s">
        <v>4987</v>
      </c>
      <c r="C292" s="4288" t="s">
        <v>5015</v>
      </c>
      <c r="D292" s="4289">
        <v>14.16</v>
      </c>
      <c r="E292" s="4290" t="s">
        <v>4813</v>
      </c>
      <c r="F292" s="4290" t="s">
        <v>5097</v>
      </c>
    </row>
    <row r="293" spans="1:6">
      <c r="A293" s="4287">
        <v>295</v>
      </c>
      <c r="B293" s="4287" t="s">
        <v>4897</v>
      </c>
      <c r="C293" s="4288" t="s">
        <v>5174</v>
      </c>
      <c r="D293" s="4289">
        <v>14</v>
      </c>
      <c r="E293" s="4290" t="s">
        <v>5175</v>
      </c>
      <c r="F293" s="4290" t="s">
        <v>5123</v>
      </c>
    </row>
    <row r="294" spans="1:6">
      <c r="A294" s="4287">
        <v>78</v>
      </c>
      <c r="B294" s="4287" t="s">
        <v>4897</v>
      </c>
      <c r="C294" s="4288"/>
      <c r="D294" s="4289">
        <v>13.68</v>
      </c>
      <c r="E294" s="4290" t="s">
        <v>4671</v>
      </c>
      <c r="F294" s="4290" t="s">
        <v>4672</v>
      </c>
    </row>
    <row r="295" spans="1:6">
      <c r="A295" s="4287">
        <v>66</v>
      </c>
      <c r="B295" s="4287" t="s">
        <v>4987</v>
      </c>
      <c r="C295" s="4288" t="s">
        <v>4759</v>
      </c>
      <c r="D295" s="4289">
        <v>13.47</v>
      </c>
      <c r="E295" s="4290" t="s">
        <v>4760</v>
      </c>
      <c r="F295" s="4290" t="s">
        <v>4761</v>
      </c>
    </row>
    <row r="296" spans="1:6">
      <c r="A296" s="4287">
        <v>389</v>
      </c>
      <c r="B296" s="4287" t="s">
        <v>4987</v>
      </c>
      <c r="C296" s="4288" t="s">
        <v>5135</v>
      </c>
      <c r="D296" s="4289">
        <v>13.43</v>
      </c>
      <c r="E296" s="4290" t="s">
        <v>5050</v>
      </c>
      <c r="F296" s="4290" t="s">
        <v>4830</v>
      </c>
    </row>
    <row r="297" spans="1:6">
      <c r="A297" s="4287">
        <v>64</v>
      </c>
      <c r="B297" s="4287" t="s">
        <v>4987</v>
      </c>
      <c r="C297" s="4288" t="s">
        <v>4904</v>
      </c>
      <c r="D297" s="4289">
        <v>13.09</v>
      </c>
      <c r="E297" s="4290" t="s">
        <v>4708</v>
      </c>
      <c r="F297" s="4290" t="s">
        <v>4785</v>
      </c>
    </row>
    <row r="298" spans="1:6">
      <c r="A298" s="4287">
        <v>180</v>
      </c>
      <c r="B298" s="4287" t="s">
        <v>4674</v>
      </c>
      <c r="C298" s="4288" t="s">
        <v>5161</v>
      </c>
      <c r="D298" s="4289">
        <v>12.98</v>
      </c>
      <c r="E298" s="4290" t="s">
        <v>4671</v>
      </c>
      <c r="F298" s="4290" t="s">
        <v>4866</v>
      </c>
    </row>
    <row r="299" spans="1:6">
      <c r="A299" s="4287">
        <v>187</v>
      </c>
      <c r="B299" s="4287" t="s">
        <v>4674</v>
      </c>
      <c r="C299" s="4288" t="s">
        <v>5176</v>
      </c>
      <c r="D299" s="4289">
        <v>12.97</v>
      </c>
      <c r="E299" s="4290" t="s">
        <v>4813</v>
      </c>
      <c r="F299" s="4290" t="s">
        <v>5097</v>
      </c>
    </row>
    <row r="300" spans="1:6">
      <c r="A300" s="4287">
        <v>97</v>
      </c>
      <c r="B300" s="4287" t="s">
        <v>4674</v>
      </c>
      <c r="C300" s="4288" t="s">
        <v>5177</v>
      </c>
      <c r="D300" s="4289">
        <v>12.8</v>
      </c>
      <c r="E300" s="4290" t="s">
        <v>5052</v>
      </c>
      <c r="F300" s="4290" t="s">
        <v>4791</v>
      </c>
    </row>
    <row r="301" spans="1:6">
      <c r="A301" s="4287">
        <v>7</v>
      </c>
      <c r="B301" s="4287" t="s">
        <v>4987</v>
      </c>
      <c r="C301" s="4288" t="s">
        <v>4739</v>
      </c>
      <c r="D301" s="4289">
        <v>12.63</v>
      </c>
      <c r="E301" s="4290" t="s">
        <v>4899</v>
      </c>
      <c r="F301" s="4290" t="s">
        <v>4934</v>
      </c>
    </row>
    <row r="302" spans="1:6">
      <c r="A302" s="4287">
        <v>309</v>
      </c>
      <c r="B302" s="4287" t="s">
        <v>4674</v>
      </c>
      <c r="C302" s="4288" t="s">
        <v>5178</v>
      </c>
      <c r="D302" s="4289">
        <v>12.5</v>
      </c>
      <c r="E302" s="4290" t="s">
        <v>5053</v>
      </c>
      <c r="F302" s="4290" t="s">
        <v>4703</v>
      </c>
    </row>
    <row r="303" spans="1:6">
      <c r="A303" s="4287">
        <v>128</v>
      </c>
      <c r="B303" s="4287" t="s">
        <v>4674</v>
      </c>
      <c r="C303" s="4288" t="s">
        <v>5179</v>
      </c>
      <c r="D303" s="4289">
        <v>12.39</v>
      </c>
      <c r="E303" s="4290" t="s">
        <v>4921</v>
      </c>
      <c r="F303" s="4290" t="s">
        <v>4672</v>
      </c>
    </row>
    <row r="304" spans="1:6">
      <c r="A304" s="4287">
        <v>181</v>
      </c>
      <c r="B304" s="4287" t="s">
        <v>5149</v>
      </c>
      <c r="C304" s="4288" t="s">
        <v>5124</v>
      </c>
      <c r="D304" s="4289">
        <v>12.3</v>
      </c>
      <c r="E304" s="4290" t="s">
        <v>5011</v>
      </c>
      <c r="F304" s="4290" t="s">
        <v>4703</v>
      </c>
    </row>
    <row r="305" spans="1:6">
      <c r="A305" s="4287">
        <v>59</v>
      </c>
      <c r="B305" s="4287" t="s">
        <v>4897</v>
      </c>
      <c r="C305" s="4288" t="s">
        <v>5180</v>
      </c>
      <c r="D305" s="4289">
        <v>12</v>
      </c>
      <c r="E305" s="4290" t="s">
        <v>4671</v>
      </c>
      <c r="F305" s="4290" t="s">
        <v>4778</v>
      </c>
    </row>
    <row r="306" spans="1:6">
      <c r="A306" s="4287">
        <v>325</v>
      </c>
      <c r="B306" s="4287" t="s">
        <v>4674</v>
      </c>
      <c r="C306" s="4288" t="s">
        <v>5181</v>
      </c>
      <c r="D306" s="4289">
        <v>12</v>
      </c>
      <c r="E306" s="4290" t="s">
        <v>5182</v>
      </c>
      <c r="F306" s="4290" t="s">
        <v>4830</v>
      </c>
    </row>
    <row r="307" spans="1:6">
      <c r="A307" s="4287">
        <v>294</v>
      </c>
      <c r="B307" s="4287" t="s">
        <v>4897</v>
      </c>
      <c r="C307" s="4288" t="s">
        <v>5183</v>
      </c>
      <c r="D307" s="4289">
        <v>11</v>
      </c>
      <c r="E307" s="4290" t="s">
        <v>5026</v>
      </c>
      <c r="F307" s="4290" t="s">
        <v>5138</v>
      </c>
    </row>
    <row r="308" spans="1:6">
      <c r="A308" s="4287">
        <v>342</v>
      </c>
      <c r="B308" s="4287" t="s">
        <v>4674</v>
      </c>
      <c r="C308" s="4288" t="s">
        <v>5184</v>
      </c>
      <c r="D308" s="4289">
        <v>10.8</v>
      </c>
      <c r="E308" s="4290" t="s">
        <v>4992</v>
      </c>
      <c r="F308" s="4290" t="s">
        <v>4833</v>
      </c>
    </row>
    <row r="309" spans="1:6">
      <c r="A309" s="4287">
        <v>45</v>
      </c>
      <c r="B309" s="4287" t="s">
        <v>4987</v>
      </c>
      <c r="C309" s="4288" t="s">
        <v>4986</v>
      </c>
      <c r="D309" s="4289">
        <v>10.18</v>
      </c>
      <c r="E309" s="4290" t="s">
        <v>4889</v>
      </c>
      <c r="F309" s="4290" t="s">
        <v>4833</v>
      </c>
    </row>
    <row r="310" spans="1:6">
      <c r="A310" s="4287">
        <v>264</v>
      </c>
      <c r="B310" s="4287" t="s">
        <v>4897</v>
      </c>
      <c r="C310" s="4288"/>
      <c r="D310" s="4289">
        <v>10</v>
      </c>
      <c r="E310" s="4290" t="s">
        <v>5185</v>
      </c>
      <c r="F310" s="4290" t="s">
        <v>5186</v>
      </c>
    </row>
    <row r="311" spans="1:6">
      <c r="A311" s="4287">
        <v>268</v>
      </c>
      <c r="B311" s="4287" t="s">
        <v>4897</v>
      </c>
      <c r="C311" s="4288"/>
      <c r="D311" s="4289">
        <v>9</v>
      </c>
      <c r="E311" s="4290" t="s">
        <v>4671</v>
      </c>
      <c r="F311" s="4290" t="s">
        <v>4672</v>
      </c>
    </row>
    <row r="312" spans="1:6">
      <c r="A312" s="4287">
        <v>95</v>
      </c>
      <c r="B312" s="4287" t="s">
        <v>4674</v>
      </c>
      <c r="C312" s="4288" t="s">
        <v>5187</v>
      </c>
      <c r="D312" s="4289">
        <v>8</v>
      </c>
      <c r="E312" s="4290" t="s">
        <v>4813</v>
      </c>
      <c r="F312" s="4290" t="s">
        <v>5097</v>
      </c>
    </row>
    <row r="313" spans="1:6">
      <c r="A313" s="4287">
        <v>117</v>
      </c>
      <c r="B313" s="4287" t="s">
        <v>4674</v>
      </c>
      <c r="C313" s="4288" t="s">
        <v>5188</v>
      </c>
      <c r="D313" s="4289">
        <v>8</v>
      </c>
      <c r="E313" s="4290" t="s">
        <v>5189</v>
      </c>
      <c r="F313" s="4290" t="s">
        <v>4934</v>
      </c>
    </row>
    <row r="314" spans="1:6">
      <c r="A314" s="4287">
        <v>189</v>
      </c>
      <c r="B314" s="4287" t="s">
        <v>4674</v>
      </c>
      <c r="C314" s="4288" t="s">
        <v>5190</v>
      </c>
      <c r="D314" s="4289">
        <v>8</v>
      </c>
      <c r="E314" s="4290" t="s">
        <v>5094</v>
      </c>
      <c r="F314" s="4290" t="s">
        <v>5097</v>
      </c>
    </row>
    <row r="315" spans="1:6">
      <c r="A315" s="4287">
        <v>273</v>
      </c>
      <c r="B315" s="4287" t="s">
        <v>4897</v>
      </c>
      <c r="C315" s="4288"/>
      <c r="D315" s="4289">
        <v>8</v>
      </c>
      <c r="E315" s="4290" t="s">
        <v>5191</v>
      </c>
      <c r="F315" s="4290" t="s">
        <v>5120</v>
      </c>
    </row>
    <row r="316" spans="1:6">
      <c r="A316" s="4287">
        <v>274</v>
      </c>
      <c r="B316" s="4287" t="s">
        <v>4897</v>
      </c>
      <c r="C316" s="4288" t="s">
        <v>5192</v>
      </c>
      <c r="D316" s="4289">
        <v>8</v>
      </c>
      <c r="E316" s="4290" t="s">
        <v>5068</v>
      </c>
      <c r="F316" s="4290" t="s">
        <v>4672</v>
      </c>
    </row>
    <row r="317" spans="1:6">
      <c r="A317" s="4287">
        <v>283</v>
      </c>
      <c r="B317" s="4287" t="s">
        <v>4897</v>
      </c>
      <c r="C317" s="4288" t="s">
        <v>5193</v>
      </c>
      <c r="D317" s="4289">
        <v>8</v>
      </c>
      <c r="E317" s="4290" t="s">
        <v>5194</v>
      </c>
      <c r="F317" s="4290" t="s">
        <v>5195</v>
      </c>
    </row>
    <row r="318" spans="1:6">
      <c r="A318" s="4287">
        <v>305</v>
      </c>
      <c r="B318" s="4287" t="s">
        <v>4897</v>
      </c>
      <c r="C318" s="4288" t="s">
        <v>5196</v>
      </c>
      <c r="D318" s="4289">
        <v>8</v>
      </c>
      <c r="E318" s="4290" t="s">
        <v>5197</v>
      </c>
      <c r="F318" s="4290" t="s">
        <v>5105</v>
      </c>
    </row>
    <row r="319" spans="1:6">
      <c r="A319" s="4287">
        <v>275</v>
      </c>
      <c r="B319" s="4287" t="s">
        <v>4897</v>
      </c>
      <c r="C319" s="4288"/>
      <c r="D319" s="4289">
        <v>7</v>
      </c>
      <c r="E319" s="4290" t="s">
        <v>5198</v>
      </c>
      <c r="F319" s="4290" t="s">
        <v>5199</v>
      </c>
    </row>
    <row r="320" spans="1:6">
      <c r="A320" s="4287">
        <v>130</v>
      </c>
      <c r="B320" s="4287" t="s">
        <v>4674</v>
      </c>
      <c r="C320" s="4288" t="s">
        <v>5200</v>
      </c>
      <c r="D320" s="4289">
        <v>6.91</v>
      </c>
      <c r="E320" s="4290" t="s">
        <v>4849</v>
      </c>
      <c r="F320" s="4290" t="s">
        <v>4738</v>
      </c>
    </row>
    <row r="321" spans="1:6">
      <c r="A321" s="4287">
        <v>284</v>
      </c>
      <c r="B321" s="4287" t="s">
        <v>4897</v>
      </c>
      <c r="C321" s="4288"/>
      <c r="D321" s="4289">
        <v>6.2</v>
      </c>
      <c r="E321" s="4290" t="s">
        <v>4910</v>
      </c>
      <c r="F321" s="4290" t="s">
        <v>4778</v>
      </c>
    </row>
    <row r="322" spans="1:6">
      <c r="A322" s="4287">
        <v>270</v>
      </c>
      <c r="B322" s="4287" t="s">
        <v>4897</v>
      </c>
      <c r="C322" s="4288" t="s">
        <v>5201</v>
      </c>
      <c r="D322" s="4289">
        <v>6</v>
      </c>
      <c r="E322" s="4290" t="s">
        <v>4671</v>
      </c>
      <c r="F322" s="4290" t="s">
        <v>4738</v>
      </c>
    </row>
    <row r="323" spans="1:6">
      <c r="A323" s="4287">
        <v>279</v>
      </c>
      <c r="B323" s="4287" t="s">
        <v>4897</v>
      </c>
      <c r="C323" s="4288"/>
      <c r="D323" s="4289">
        <v>6</v>
      </c>
      <c r="E323" s="4290" t="s">
        <v>5202</v>
      </c>
      <c r="F323" s="4290" t="s">
        <v>5203</v>
      </c>
    </row>
    <row r="324" spans="1:6">
      <c r="A324" s="4287">
        <v>288</v>
      </c>
      <c r="B324" s="4287" t="s">
        <v>4987</v>
      </c>
      <c r="C324" s="4288" t="s">
        <v>4795</v>
      </c>
      <c r="D324" s="4289">
        <v>5.21</v>
      </c>
      <c r="E324" s="4290" t="s">
        <v>5204</v>
      </c>
      <c r="F324" s="4290" t="s">
        <v>5205</v>
      </c>
    </row>
    <row r="325" spans="1:6">
      <c r="A325" s="4287">
        <v>277</v>
      </c>
      <c r="B325" s="4287" t="s">
        <v>4897</v>
      </c>
      <c r="C325" s="4288" t="s">
        <v>5206</v>
      </c>
      <c r="D325" s="4289">
        <v>3.39</v>
      </c>
      <c r="E325" s="4290" t="s">
        <v>5207</v>
      </c>
      <c r="F325" s="4290" t="s">
        <v>5208</v>
      </c>
    </row>
    <row r="326" spans="1:6">
      <c r="A326" s="4287">
        <v>23</v>
      </c>
      <c r="B326" s="4287" t="s">
        <v>4897</v>
      </c>
      <c r="C326" s="4288"/>
      <c r="D326" s="4289">
        <v>3</v>
      </c>
      <c r="E326" s="4290" t="s">
        <v>5209</v>
      </c>
      <c r="F326" s="4290" t="s">
        <v>5210</v>
      </c>
    </row>
    <row r="327" spans="1:6">
      <c r="A327" s="4287">
        <v>71</v>
      </c>
      <c r="B327" s="4287" t="s">
        <v>4897</v>
      </c>
      <c r="C327" s="4288"/>
      <c r="D327" s="4289">
        <v>2</v>
      </c>
      <c r="E327" s="4290" t="s">
        <v>5211</v>
      </c>
      <c r="F327" s="4290" t="s">
        <v>5212</v>
      </c>
    </row>
    <row r="328" spans="1:6">
      <c r="A328" s="4287">
        <v>172</v>
      </c>
      <c r="B328" s="4287" t="s">
        <v>5149</v>
      </c>
      <c r="C328" s="4288" t="s">
        <v>4812</v>
      </c>
      <c r="D328" s="4289">
        <v>2</v>
      </c>
      <c r="E328" s="4290" t="s">
        <v>4671</v>
      </c>
      <c r="F328" s="4290" t="s">
        <v>4866</v>
      </c>
    </row>
    <row r="329" spans="1:6">
      <c r="A329" s="4287">
        <v>282</v>
      </c>
      <c r="B329" s="4287" t="s">
        <v>4897</v>
      </c>
      <c r="C329" s="4288"/>
      <c r="D329" s="4289">
        <v>2</v>
      </c>
      <c r="E329" s="4290" t="s">
        <v>5213</v>
      </c>
      <c r="F329" s="4290" t="s">
        <v>5214</v>
      </c>
    </row>
    <row r="330" spans="1:6">
      <c r="A330" s="4287">
        <v>293</v>
      </c>
      <c r="B330" s="4287" t="s">
        <v>4897</v>
      </c>
      <c r="C330" s="4288"/>
      <c r="D330" s="4289">
        <v>2</v>
      </c>
      <c r="E330" s="4290" t="s">
        <v>5068</v>
      </c>
      <c r="F330" s="4290" t="s">
        <v>5069</v>
      </c>
    </row>
    <row r="331" spans="1:6">
      <c r="A331" s="4287">
        <v>297</v>
      </c>
      <c r="B331" s="4287" t="s">
        <v>4897</v>
      </c>
      <c r="C331" s="4288"/>
      <c r="D331" s="4289">
        <v>2</v>
      </c>
      <c r="E331" s="4290" t="s">
        <v>5215</v>
      </c>
      <c r="F331" s="4290" t="s">
        <v>5216</v>
      </c>
    </row>
    <row r="332" spans="1:6">
      <c r="A332" s="4287">
        <v>276</v>
      </c>
      <c r="B332" s="4287" t="s">
        <v>4897</v>
      </c>
      <c r="C332" s="4288"/>
      <c r="D332" s="4289">
        <v>1.75</v>
      </c>
      <c r="E332" s="4290" t="s">
        <v>5217</v>
      </c>
      <c r="F332" s="4290" t="s">
        <v>5218</v>
      </c>
    </row>
    <row r="333" spans="1:6">
      <c r="A333" s="4287">
        <v>280</v>
      </c>
      <c r="B333" s="4287" t="s">
        <v>4897</v>
      </c>
      <c r="C333" s="4288"/>
      <c r="D333" s="4289">
        <v>1.6</v>
      </c>
      <c r="E333" s="4290" t="s">
        <v>5219</v>
      </c>
      <c r="F333" s="4290" t="s">
        <v>5220</v>
      </c>
    </row>
    <row r="334" spans="1:6">
      <c r="A334" s="4287">
        <v>285</v>
      </c>
      <c r="B334" s="4287" t="s">
        <v>4897</v>
      </c>
      <c r="C334" s="4288"/>
      <c r="D334" s="4289">
        <v>1.2</v>
      </c>
      <c r="E334" s="4290" t="s">
        <v>4910</v>
      </c>
      <c r="F334" s="4290" t="s">
        <v>4778</v>
      </c>
    </row>
    <row r="335" spans="1:6">
      <c r="A335" s="4287">
        <v>73</v>
      </c>
      <c r="B335" s="4287" t="s">
        <v>5221</v>
      </c>
      <c r="C335" s="4288" t="s">
        <v>4828</v>
      </c>
      <c r="D335" s="4289">
        <v>1</v>
      </c>
      <c r="E335" s="4290" t="s">
        <v>5050</v>
      </c>
      <c r="F335" s="4290" t="s">
        <v>4830</v>
      </c>
    </row>
    <row r="336" spans="1:6">
      <c r="A336" s="4287">
        <v>298</v>
      </c>
      <c r="B336" s="4287" t="s">
        <v>5222</v>
      </c>
      <c r="C336" s="4288" t="s">
        <v>4748</v>
      </c>
      <c r="D336" s="4289">
        <v>1</v>
      </c>
      <c r="E336" s="4290" t="s">
        <v>4749</v>
      </c>
      <c r="F336" s="4290" t="s">
        <v>4750</v>
      </c>
    </row>
    <row r="337" spans="1:6">
      <c r="A337" s="4287">
        <v>10</v>
      </c>
      <c r="B337" s="4287" t="s">
        <v>5222</v>
      </c>
      <c r="C337" s="4288" t="s">
        <v>4774</v>
      </c>
      <c r="D337" s="4289"/>
      <c r="E337" s="4290" t="s">
        <v>5204</v>
      </c>
      <c r="F337" s="4290" t="s">
        <v>5223</v>
      </c>
    </row>
    <row r="338" spans="1:6">
      <c r="A338" s="4287">
        <v>11</v>
      </c>
      <c r="B338" s="4287" t="s">
        <v>5222</v>
      </c>
      <c r="C338" s="4288" t="s">
        <v>4795</v>
      </c>
      <c r="D338" s="4289"/>
      <c r="E338" s="4290" t="s">
        <v>5224</v>
      </c>
      <c r="F338" s="4290" t="s">
        <v>4703</v>
      </c>
    </row>
    <row r="339" spans="1:6">
      <c r="A339" s="4287">
        <v>12</v>
      </c>
      <c r="B339" s="4287" t="s">
        <v>5222</v>
      </c>
      <c r="C339" s="4288" t="s">
        <v>4710</v>
      </c>
      <c r="D339" s="4289"/>
      <c r="E339" s="4290" t="s">
        <v>4827</v>
      </c>
      <c r="F339" s="4290" t="s">
        <v>4778</v>
      </c>
    </row>
    <row r="340" spans="1:6">
      <c r="A340" s="4287">
        <v>13</v>
      </c>
      <c r="B340" s="4287" t="s">
        <v>5222</v>
      </c>
      <c r="C340" s="4288" t="s">
        <v>4710</v>
      </c>
      <c r="D340" s="4289"/>
      <c r="E340" s="4290" t="s">
        <v>4827</v>
      </c>
      <c r="F340" s="4290" t="s">
        <v>4778</v>
      </c>
    </row>
    <row r="341" spans="1:6">
      <c r="A341" s="4287">
        <v>14</v>
      </c>
      <c r="B341" s="4287" t="s">
        <v>5222</v>
      </c>
      <c r="C341" s="4288" t="s">
        <v>4825</v>
      </c>
      <c r="D341" s="4289"/>
      <c r="E341" s="4290" t="s">
        <v>5197</v>
      </c>
      <c r="F341" s="4290" t="s">
        <v>5225</v>
      </c>
    </row>
    <row r="342" spans="1:6">
      <c r="A342" s="4287">
        <v>15</v>
      </c>
      <c r="B342" s="4287" t="s">
        <v>5222</v>
      </c>
      <c r="C342" s="4288" t="s">
        <v>4774</v>
      </c>
      <c r="D342" s="4289"/>
      <c r="E342" s="4290" t="s">
        <v>5197</v>
      </c>
      <c r="F342" s="4290" t="s">
        <v>4830</v>
      </c>
    </row>
    <row r="343" spans="1:6">
      <c r="A343" s="4287">
        <v>16</v>
      </c>
      <c r="B343" s="4287" t="s">
        <v>5222</v>
      </c>
      <c r="C343" s="4288" t="s">
        <v>4685</v>
      </c>
      <c r="D343" s="4289"/>
      <c r="E343" s="4290" t="s">
        <v>5226</v>
      </c>
      <c r="F343" s="4290" t="s">
        <v>5227</v>
      </c>
    </row>
    <row r="344" spans="1:6">
      <c r="A344" s="4287">
        <v>17</v>
      </c>
      <c r="B344" s="4287" t="s">
        <v>5222</v>
      </c>
      <c r="C344" s="4288" t="s">
        <v>4786</v>
      </c>
      <c r="D344" s="4289"/>
      <c r="E344" s="4290" t="s">
        <v>4849</v>
      </c>
      <c r="F344" s="4290" t="s">
        <v>4738</v>
      </c>
    </row>
    <row r="345" spans="1:6">
      <c r="A345" s="4287">
        <v>18</v>
      </c>
      <c r="B345" s="4287" t="s">
        <v>5222</v>
      </c>
      <c r="C345" s="4288" t="s">
        <v>4786</v>
      </c>
      <c r="D345" s="4289"/>
      <c r="E345" s="4290" t="s">
        <v>5228</v>
      </c>
      <c r="F345" s="4290" t="s">
        <v>5229</v>
      </c>
    </row>
    <row r="346" spans="1:6">
      <c r="A346" s="4287">
        <v>19</v>
      </c>
      <c r="B346" s="4287" t="s">
        <v>5222</v>
      </c>
      <c r="C346" s="4288" t="s">
        <v>4685</v>
      </c>
      <c r="D346" s="4289"/>
      <c r="E346" s="4290" t="s">
        <v>4957</v>
      </c>
      <c r="F346" s="4290" t="s">
        <v>4914</v>
      </c>
    </row>
    <row r="347" spans="1:6">
      <c r="A347" s="4287">
        <v>20</v>
      </c>
      <c r="B347" s="4287" t="s">
        <v>5222</v>
      </c>
      <c r="C347" s="4288" t="s">
        <v>5230</v>
      </c>
      <c r="D347" s="4289"/>
      <c r="E347" s="4290" t="s">
        <v>4976</v>
      </c>
      <c r="F347" s="4290" t="s">
        <v>4666</v>
      </c>
    </row>
    <row r="348" spans="1:6">
      <c r="A348" s="4287">
        <v>25</v>
      </c>
      <c r="B348" s="4287" t="s">
        <v>5231</v>
      </c>
      <c r="C348" s="4288"/>
      <c r="D348" s="4289"/>
      <c r="E348" s="4290" t="s">
        <v>4671</v>
      </c>
      <c r="F348" s="4290" t="s">
        <v>4866</v>
      </c>
    </row>
    <row r="349" spans="1:6">
      <c r="A349" s="4287">
        <v>26</v>
      </c>
      <c r="B349" s="4287" t="s">
        <v>5232</v>
      </c>
      <c r="C349" s="4288"/>
      <c r="D349" s="4289"/>
      <c r="E349" s="4290" t="s">
        <v>5233</v>
      </c>
      <c r="F349" s="4290" t="s">
        <v>4830</v>
      </c>
    </row>
    <row r="350" spans="1:6">
      <c r="A350" s="4287">
        <v>27</v>
      </c>
      <c r="B350" s="4287" t="s">
        <v>5232</v>
      </c>
      <c r="C350" s="4288"/>
      <c r="D350" s="4289"/>
      <c r="E350" s="4290" t="s">
        <v>5233</v>
      </c>
      <c r="F350" s="4290" t="s">
        <v>4830</v>
      </c>
    </row>
    <row r="351" spans="1:6">
      <c r="A351" s="4287">
        <v>28</v>
      </c>
      <c r="B351" s="4287" t="s">
        <v>5232</v>
      </c>
      <c r="C351" s="4288"/>
      <c r="D351" s="4289"/>
      <c r="E351" s="4290" t="s">
        <v>5233</v>
      </c>
      <c r="F351" s="4290" t="s">
        <v>4830</v>
      </c>
    </row>
    <row r="352" spans="1:6">
      <c r="A352" s="4287">
        <v>29</v>
      </c>
      <c r="B352" s="4287" t="s">
        <v>5232</v>
      </c>
      <c r="C352" s="4288"/>
      <c r="D352" s="4289"/>
      <c r="E352" s="4290" t="s">
        <v>5233</v>
      </c>
      <c r="F352" s="4290" t="s">
        <v>4830</v>
      </c>
    </row>
    <row r="353" spans="1:6">
      <c r="A353" s="4287">
        <v>30</v>
      </c>
      <c r="B353" s="4287" t="s">
        <v>5232</v>
      </c>
      <c r="C353" s="4288"/>
      <c r="D353" s="4289"/>
      <c r="E353" s="4290" t="s">
        <v>5233</v>
      </c>
      <c r="F353" s="4290" t="s">
        <v>4830</v>
      </c>
    </row>
    <row r="354" spans="1:6">
      <c r="A354" s="4287">
        <v>31</v>
      </c>
      <c r="B354" s="4287" t="s">
        <v>5232</v>
      </c>
      <c r="C354" s="4288"/>
      <c r="D354" s="4289"/>
      <c r="E354" s="4290" t="s">
        <v>5233</v>
      </c>
      <c r="F354" s="4290" t="s">
        <v>4830</v>
      </c>
    </row>
    <row r="355" spans="1:6">
      <c r="A355" s="4287">
        <v>32</v>
      </c>
      <c r="B355" s="4287" t="s">
        <v>5232</v>
      </c>
      <c r="C355" s="4288"/>
      <c r="D355" s="4289"/>
      <c r="E355" s="4290" t="s">
        <v>5233</v>
      </c>
      <c r="F355" s="4290" t="s">
        <v>4830</v>
      </c>
    </row>
    <row r="356" spans="1:6">
      <c r="A356" s="4287">
        <v>33</v>
      </c>
      <c r="B356" s="4287" t="s">
        <v>5234</v>
      </c>
      <c r="C356" s="4288"/>
      <c r="D356" s="4289"/>
      <c r="E356" s="4290" t="s">
        <v>5128</v>
      </c>
      <c r="F356" s="4290" t="s">
        <v>5069</v>
      </c>
    </row>
    <row r="357" spans="1:6">
      <c r="A357" s="4287">
        <v>34</v>
      </c>
      <c r="B357" s="4287" t="s">
        <v>5231</v>
      </c>
      <c r="C357" s="4288"/>
      <c r="D357" s="4289"/>
      <c r="E357" s="4290" t="s">
        <v>4671</v>
      </c>
      <c r="F357" s="4290" t="s">
        <v>4866</v>
      </c>
    </row>
    <row r="358" spans="1:6">
      <c r="A358" s="4287">
        <v>35</v>
      </c>
      <c r="B358" s="4287" t="s">
        <v>5234</v>
      </c>
      <c r="C358" s="4288"/>
      <c r="D358" s="4289"/>
      <c r="E358" s="4290" t="s">
        <v>5235</v>
      </c>
      <c r="F358" s="4290" t="s">
        <v>5236</v>
      </c>
    </row>
    <row r="359" spans="1:6">
      <c r="A359" s="4287">
        <v>36</v>
      </c>
      <c r="B359" s="4287" t="s">
        <v>5234</v>
      </c>
      <c r="C359" s="4288"/>
      <c r="D359" s="4289"/>
      <c r="E359" s="4290" t="s">
        <v>5237</v>
      </c>
      <c r="F359" s="4290" t="s">
        <v>5238</v>
      </c>
    </row>
    <row r="360" spans="1:6">
      <c r="A360" s="4287">
        <v>37</v>
      </c>
      <c r="B360" s="4287" t="s">
        <v>5234</v>
      </c>
      <c r="C360" s="4288"/>
      <c r="D360" s="4289"/>
      <c r="E360" s="4290" t="s">
        <v>5094</v>
      </c>
      <c r="F360" s="4290" t="s">
        <v>4934</v>
      </c>
    </row>
    <row r="361" spans="1:6">
      <c r="A361" s="4287">
        <v>38</v>
      </c>
      <c r="B361" s="4287" t="s">
        <v>5234</v>
      </c>
      <c r="C361" s="4288"/>
      <c r="D361" s="4289"/>
      <c r="E361" s="4290" t="s">
        <v>5219</v>
      </c>
      <c r="F361" s="4290" t="s">
        <v>4934</v>
      </c>
    </row>
    <row r="362" spans="1:6">
      <c r="A362" s="4287">
        <v>39</v>
      </c>
      <c r="B362" s="4287" t="s">
        <v>5234</v>
      </c>
      <c r="C362" s="4288"/>
      <c r="D362" s="4289"/>
      <c r="E362" s="4290" t="s">
        <v>5239</v>
      </c>
      <c r="F362" s="4290" t="s">
        <v>5138</v>
      </c>
    </row>
    <row r="363" spans="1:6">
      <c r="A363" s="4287">
        <v>40</v>
      </c>
      <c r="B363" s="4287" t="s">
        <v>5234</v>
      </c>
      <c r="C363" s="4288"/>
      <c r="D363" s="4289"/>
      <c r="E363" s="4290" t="s">
        <v>5239</v>
      </c>
      <c r="F363" s="4290" t="s">
        <v>5138</v>
      </c>
    </row>
    <row r="364" spans="1:6">
      <c r="A364" s="4287">
        <v>41</v>
      </c>
      <c r="B364" s="4287" t="s">
        <v>5234</v>
      </c>
      <c r="C364" s="4288"/>
      <c r="D364" s="4289"/>
      <c r="E364" s="4290" t="s">
        <v>5239</v>
      </c>
      <c r="F364" s="4290" t="s">
        <v>5138</v>
      </c>
    </row>
    <row r="365" spans="1:6">
      <c r="A365" s="4287">
        <v>42</v>
      </c>
      <c r="B365" s="4287" t="s">
        <v>5234</v>
      </c>
      <c r="C365" s="4288"/>
      <c r="D365" s="4289"/>
      <c r="E365" s="4290" t="s">
        <v>5240</v>
      </c>
      <c r="F365" s="4290" t="s">
        <v>5241</v>
      </c>
    </row>
    <row r="366" spans="1:6">
      <c r="A366" s="4287">
        <v>43</v>
      </c>
      <c r="B366" s="4287" t="s">
        <v>5234</v>
      </c>
      <c r="C366" s="4288"/>
      <c r="D366" s="4289"/>
      <c r="E366" s="4290" t="s">
        <v>5242</v>
      </c>
      <c r="F366" s="4290" t="s">
        <v>5243</v>
      </c>
    </row>
    <row r="367" spans="1:6">
      <c r="A367" s="4287">
        <v>48</v>
      </c>
      <c r="B367" s="4287" t="s">
        <v>5222</v>
      </c>
      <c r="C367" s="4288" t="s">
        <v>4864</v>
      </c>
      <c r="D367" s="4289"/>
      <c r="E367" s="4290" t="s">
        <v>4708</v>
      </c>
      <c r="F367" s="4290" t="s">
        <v>4785</v>
      </c>
    </row>
    <row r="368" spans="1:6">
      <c r="A368" s="4287">
        <v>52</v>
      </c>
      <c r="B368" s="4287" t="s">
        <v>5222</v>
      </c>
      <c r="C368" s="4288" t="s">
        <v>4676</v>
      </c>
      <c r="D368" s="4289"/>
      <c r="E368" s="4290" t="s">
        <v>5204</v>
      </c>
      <c r="F368" s="4290" t="s">
        <v>5205</v>
      </c>
    </row>
    <row r="369" spans="1:6">
      <c r="A369" s="4287">
        <v>53</v>
      </c>
      <c r="B369" s="4287" t="s">
        <v>5222</v>
      </c>
      <c r="C369" s="4288" t="s">
        <v>4676</v>
      </c>
      <c r="D369" s="4289"/>
      <c r="E369" s="4290" t="s">
        <v>5204</v>
      </c>
      <c r="F369" s="4290" t="s">
        <v>5205</v>
      </c>
    </row>
    <row r="370" spans="1:6">
      <c r="A370" s="4287">
        <v>54</v>
      </c>
      <c r="B370" s="4287" t="s">
        <v>5222</v>
      </c>
      <c r="C370" s="4288" t="s">
        <v>4682</v>
      </c>
      <c r="D370" s="4289"/>
      <c r="E370" s="4290" t="s">
        <v>5244</v>
      </c>
      <c r="F370" s="4290" t="s">
        <v>5245</v>
      </c>
    </row>
    <row r="371" spans="1:6">
      <c r="A371" s="4287">
        <v>58</v>
      </c>
      <c r="B371" s="4287" t="s">
        <v>5222</v>
      </c>
      <c r="C371" s="4288" t="s">
        <v>4935</v>
      </c>
      <c r="D371" s="4289"/>
      <c r="E371" s="4290" t="s">
        <v>4671</v>
      </c>
      <c r="F371" s="4290" t="s">
        <v>4833</v>
      </c>
    </row>
    <row r="372" spans="1:6">
      <c r="A372" s="4287">
        <v>68</v>
      </c>
      <c r="B372" s="4287" t="s">
        <v>5222</v>
      </c>
      <c r="C372" s="4288" t="s">
        <v>4917</v>
      </c>
      <c r="D372" s="4289"/>
      <c r="E372" s="4290" t="s">
        <v>4813</v>
      </c>
      <c r="F372" s="4290" t="s">
        <v>5097</v>
      </c>
    </row>
    <row r="373" spans="1:6">
      <c r="A373" s="4287">
        <v>69</v>
      </c>
      <c r="B373" s="4287" t="s">
        <v>5222</v>
      </c>
      <c r="C373" s="4288" t="s">
        <v>5086</v>
      </c>
      <c r="D373" s="4289"/>
      <c r="E373" s="4290" t="s">
        <v>4708</v>
      </c>
      <c r="F373" s="4290" t="s">
        <v>4785</v>
      </c>
    </row>
    <row r="374" spans="1:6">
      <c r="A374" s="4287">
        <v>72</v>
      </c>
      <c r="B374" s="4287" t="s">
        <v>5231</v>
      </c>
      <c r="C374" s="4288"/>
      <c r="D374" s="4289"/>
      <c r="E374" s="4290" t="s">
        <v>5246</v>
      </c>
      <c r="F374" s="4290" t="s">
        <v>4666</v>
      </c>
    </row>
    <row r="375" spans="1:6">
      <c r="A375" s="4287">
        <v>75</v>
      </c>
      <c r="B375" s="4287" t="s">
        <v>5222</v>
      </c>
      <c r="C375" s="4288" t="s">
        <v>5051</v>
      </c>
      <c r="D375" s="4289"/>
      <c r="E375" s="4290" t="s">
        <v>5247</v>
      </c>
      <c r="F375" s="4290" t="s">
        <v>5248</v>
      </c>
    </row>
    <row r="376" spans="1:6">
      <c r="A376" s="4287">
        <v>76</v>
      </c>
      <c r="B376" s="4287" t="s">
        <v>5222</v>
      </c>
      <c r="C376" s="4288" t="s">
        <v>4693</v>
      </c>
      <c r="D376" s="4289"/>
      <c r="E376" s="4290" t="s">
        <v>4863</v>
      </c>
      <c r="F376" s="4290" t="s">
        <v>5058</v>
      </c>
    </row>
    <row r="377" spans="1:6">
      <c r="A377" s="4287">
        <v>77</v>
      </c>
      <c r="B377" s="4287" t="s">
        <v>5222</v>
      </c>
      <c r="C377" s="4288" t="s">
        <v>4693</v>
      </c>
      <c r="D377" s="4289"/>
      <c r="E377" s="4290" t="s">
        <v>4863</v>
      </c>
      <c r="F377" s="4290" t="s">
        <v>5058</v>
      </c>
    </row>
    <row r="378" spans="1:6">
      <c r="A378" s="4287">
        <v>260</v>
      </c>
      <c r="B378" s="4287" t="s">
        <v>5222</v>
      </c>
      <c r="C378" s="4288" t="s">
        <v>4693</v>
      </c>
      <c r="D378" s="4289"/>
      <c r="E378" s="4290" t="s">
        <v>4708</v>
      </c>
      <c r="F378" s="4290" t="s">
        <v>4785</v>
      </c>
    </row>
    <row r="379" spans="1:6">
      <c r="A379" s="4287">
        <v>261</v>
      </c>
      <c r="B379" s="4287" t="s">
        <v>5222</v>
      </c>
      <c r="C379" s="4288" t="s">
        <v>5096</v>
      </c>
      <c r="D379" s="4289"/>
      <c r="E379" s="4290" t="s">
        <v>5249</v>
      </c>
      <c r="F379" s="4290" t="s">
        <v>5054</v>
      </c>
    </row>
    <row r="380" spans="1:6">
      <c r="A380" s="4287">
        <v>262</v>
      </c>
      <c r="B380" s="4287" t="s">
        <v>5222</v>
      </c>
      <c r="C380" s="4288"/>
      <c r="D380" s="4289"/>
      <c r="E380" s="4290" t="s">
        <v>5250</v>
      </c>
      <c r="F380" s="4290" t="s">
        <v>4929</v>
      </c>
    </row>
    <row r="381" spans="1:6">
      <c r="A381" s="4287">
        <v>265</v>
      </c>
      <c r="B381" s="4287" t="s">
        <v>5231</v>
      </c>
      <c r="C381" s="4288"/>
      <c r="D381" s="4289"/>
      <c r="E381" s="4290" t="s">
        <v>4916</v>
      </c>
      <c r="F381" s="4290" t="s">
        <v>5251</v>
      </c>
    </row>
    <row r="382" spans="1:6">
      <c r="A382" s="4287">
        <v>266</v>
      </c>
      <c r="B382" s="4287" t="s">
        <v>5222</v>
      </c>
      <c r="C382" s="4288" t="s">
        <v>4693</v>
      </c>
      <c r="D382" s="4289"/>
      <c r="E382" s="4290" t="s">
        <v>5252</v>
      </c>
      <c r="F382" s="4290" t="s">
        <v>5253</v>
      </c>
    </row>
    <row r="383" spans="1:6">
      <c r="A383" s="4287">
        <v>286</v>
      </c>
      <c r="B383" s="4287" t="s">
        <v>5231</v>
      </c>
      <c r="C383" s="4288"/>
      <c r="D383" s="4289"/>
      <c r="E383" s="4290" t="s">
        <v>5254</v>
      </c>
      <c r="F383" s="4290" t="s">
        <v>5255</v>
      </c>
    </row>
    <row r="384" spans="1:6">
      <c r="A384" s="4287">
        <v>287</v>
      </c>
      <c r="B384" s="4287" t="s">
        <v>5234</v>
      </c>
      <c r="C384" s="4288"/>
      <c r="D384" s="4289"/>
      <c r="E384" s="4290" t="s">
        <v>5256</v>
      </c>
      <c r="F384" s="4290" t="s">
        <v>4785</v>
      </c>
    </row>
    <row r="385" spans="1:6">
      <c r="A385" s="4287">
        <v>289</v>
      </c>
      <c r="B385" s="4287" t="s">
        <v>5222</v>
      </c>
      <c r="C385" s="4288" t="s">
        <v>5087</v>
      </c>
      <c r="D385" s="4289"/>
      <c r="E385" s="4290" t="s">
        <v>5068</v>
      </c>
      <c r="F385" s="4290" t="s">
        <v>4672</v>
      </c>
    </row>
    <row r="386" spans="1:6">
      <c r="A386" s="4287">
        <v>290</v>
      </c>
      <c r="B386" s="4287" t="s">
        <v>5222</v>
      </c>
      <c r="C386" s="4288" t="s">
        <v>4698</v>
      </c>
      <c r="D386" s="4289"/>
      <c r="E386" s="4290" t="s">
        <v>4910</v>
      </c>
      <c r="F386" s="4290" t="s">
        <v>4778</v>
      </c>
    </row>
    <row r="387" spans="1:6">
      <c r="A387" s="4287">
        <v>291</v>
      </c>
      <c r="B387" s="4287" t="s">
        <v>5222</v>
      </c>
      <c r="C387" s="4288" t="s">
        <v>4759</v>
      </c>
      <c r="D387" s="4289"/>
      <c r="E387" s="4290" t="s">
        <v>4910</v>
      </c>
      <c r="F387" s="4290" t="s">
        <v>4778</v>
      </c>
    </row>
    <row r="388" spans="1:6">
      <c r="A388" s="4287">
        <v>296</v>
      </c>
      <c r="B388" s="4287" t="s">
        <v>5232</v>
      </c>
      <c r="C388" s="4288"/>
      <c r="D388" s="4289"/>
      <c r="E388" s="4290" t="s">
        <v>5233</v>
      </c>
      <c r="F388" s="4290" t="s">
        <v>4830</v>
      </c>
    </row>
    <row r="389" spans="1:6">
      <c r="A389" s="4287">
        <v>300</v>
      </c>
      <c r="B389" s="4287" t="s">
        <v>5222</v>
      </c>
      <c r="C389" s="4288" t="s">
        <v>4780</v>
      </c>
      <c r="D389" s="4289"/>
      <c r="E389" s="4290" t="s">
        <v>5257</v>
      </c>
      <c r="F389" s="4290" t="s">
        <v>5258</v>
      </c>
    </row>
    <row r="390" spans="1:6">
      <c r="A390" s="4287">
        <v>301</v>
      </c>
      <c r="B390" s="4287" t="s">
        <v>5222</v>
      </c>
      <c r="C390" s="4288"/>
      <c r="D390" s="4289"/>
      <c r="E390" s="4290" t="s">
        <v>5246</v>
      </c>
      <c r="F390" s="4290" t="s">
        <v>5259</v>
      </c>
    </row>
    <row r="391" spans="1:6">
      <c r="A391" s="4287">
        <v>302</v>
      </c>
      <c r="B391" s="4287" t="s">
        <v>5222</v>
      </c>
      <c r="C391" s="4288" t="s">
        <v>4701</v>
      </c>
      <c r="D391" s="4289"/>
      <c r="E391" s="4290" t="s">
        <v>5260</v>
      </c>
      <c r="F391" s="4290" t="s">
        <v>5127</v>
      </c>
    </row>
    <row r="392" spans="1:6">
      <c r="A392" s="4287">
        <v>303</v>
      </c>
      <c r="B392" s="4287" t="s">
        <v>5222</v>
      </c>
      <c r="C392" s="4288" t="s">
        <v>4701</v>
      </c>
      <c r="D392" s="4289"/>
      <c r="E392" s="4290" t="s">
        <v>5145</v>
      </c>
      <c r="F392" s="4290" t="s">
        <v>5146</v>
      </c>
    </row>
    <row r="393" spans="1:6">
      <c r="A393" s="4287">
        <v>304</v>
      </c>
      <c r="B393" s="4287" t="s">
        <v>5222</v>
      </c>
      <c r="C393" s="4288"/>
      <c r="D393" s="4289"/>
      <c r="E393" s="4290" t="s">
        <v>5261</v>
      </c>
      <c r="F393" s="4290" t="s">
        <v>5262</v>
      </c>
    </row>
    <row r="394" spans="1:6">
      <c r="A394" s="4287">
        <v>306</v>
      </c>
      <c r="B394" s="4287" t="s">
        <v>5232</v>
      </c>
      <c r="C394" s="4288"/>
      <c r="D394" s="4289"/>
      <c r="E394" s="4290" t="s">
        <v>5233</v>
      </c>
      <c r="F394" s="4290" t="s">
        <v>4672</v>
      </c>
    </row>
    <row r="395" spans="1:6">
      <c r="A395" s="4287">
        <v>307</v>
      </c>
      <c r="B395" s="4287" t="s">
        <v>5232</v>
      </c>
      <c r="C395" s="4288"/>
      <c r="D395" s="4289"/>
      <c r="E395" s="4290" t="s">
        <v>5204</v>
      </c>
      <c r="F395" s="4290" t="s">
        <v>4672</v>
      </c>
    </row>
    <row r="396" spans="1:6">
      <c r="A396" s="4287">
        <v>393</v>
      </c>
      <c r="B396" s="4287" t="s">
        <v>5222</v>
      </c>
      <c r="C396" s="4288" t="s">
        <v>4961</v>
      </c>
      <c r="D396" s="4289"/>
      <c r="E396" s="4290" t="s">
        <v>5263</v>
      </c>
      <c r="F396" s="4290" t="s">
        <v>5264</v>
      </c>
    </row>
    <row r="397" spans="1:6">
      <c r="A397" s="4287">
        <v>394</v>
      </c>
      <c r="B397" s="4287" t="s">
        <v>5222</v>
      </c>
      <c r="C397" s="4288" t="s">
        <v>4856</v>
      </c>
      <c r="D397" s="4289"/>
      <c r="E397" s="4290" t="s">
        <v>5052</v>
      </c>
      <c r="F397" s="4290" t="s">
        <v>4689</v>
      </c>
    </row>
    <row r="398" spans="1:6">
      <c r="A398" s="4287">
        <v>395</v>
      </c>
      <c r="B398" s="4287" t="s">
        <v>5222</v>
      </c>
      <c r="C398" s="4288" t="s">
        <v>4817</v>
      </c>
      <c r="D398" s="4289"/>
      <c r="E398" s="4290" t="s">
        <v>5265</v>
      </c>
      <c r="F398" s="4290" t="s">
        <v>5158</v>
      </c>
    </row>
    <row r="399" spans="1:6">
      <c r="A399" s="4287">
        <v>396</v>
      </c>
      <c r="B399" s="4287" t="s">
        <v>5222</v>
      </c>
      <c r="C399" s="4288" t="s">
        <v>5023</v>
      </c>
      <c r="D399" s="4289"/>
      <c r="E399" s="4290" t="s">
        <v>4921</v>
      </c>
      <c r="F399" s="4290" t="s">
        <v>4672</v>
      </c>
    </row>
    <row r="400" spans="1:6">
      <c r="A400" s="4287">
        <v>397</v>
      </c>
      <c r="B400" s="4287" t="s">
        <v>5222</v>
      </c>
      <c r="C400" s="4288"/>
      <c r="D400" s="4289"/>
      <c r="E400" s="4290" t="s">
        <v>5249</v>
      </c>
      <c r="F400" s="4290" t="s">
        <v>5054</v>
      </c>
    </row>
  </sheetData>
  <autoFilter ref="A2:F2" xr:uid="{00000000-0009-0000-0000-000005000000}">
    <sortState xmlns:xlrd2="http://schemas.microsoft.com/office/spreadsheetml/2017/richdata2" ref="A3:F400">
      <sortCondition descending="1" ref="D2"/>
    </sortState>
  </autoFilter>
  <mergeCells count="1">
    <mergeCell ref="A1:F1"/>
  </mergeCells>
  <phoneticPr fontId="135" type="noConversion"/>
  <pageMargins left="0.7" right="0.7" top="0.75" bottom="0.75" header="0.3" footer="0.3"/>
  <pageSetup paperSize="9" orientation="portrait" horizontalDpi="4294967294"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6" sqref="C6 C9 F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t="s">
        <v>660</v>
      </c>
      <c r="C1" s="3306" t="s">
        <v>4484</v>
      </c>
      <c r="D1" s="93"/>
      <c r="E1" s="93"/>
      <c r="F1" s="93"/>
      <c r="G1" s="756">
        <f>MATCH(B1,'数据-取费表'!A6:A16,0)+5</f>
        <v>6</v>
      </c>
    </row>
    <row r="2" spans="1:9" s="95" customFormat="1" ht="15.75">
      <c r="A2" s="96" t="s">
        <v>1431</v>
      </c>
      <c r="B2" s="2504">
        <f ca="1">IF(C1="含税",E2+C33,E2+C32)</f>
        <v>260462</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21712</v>
      </c>
      <c r="C3" s="94" t="s">
        <v>1434</v>
      </c>
      <c r="D3" s="94"/>
      <c r="E3" s="2492"/>
      <c r="F3" s="94"/>
      <c r="G3" s="94"/>
    </row>
    <row r="4" spans="1:9" s="95" customFormat="1" ht="16.5" thickBot="1">
      <c r="A4" s="2549" t="s">
        <v>3321</v>
      </c>
      <c r="B4" s="2550" t="s">
        <v>3322</v>
      </c>
      <c r="C4" s="2489" t="s">
        <v>3943</v>
      </c>
      <c r="D4" s="2525" t="s">
        <v>3327</v>
      </c>
      <c r="E4" s="2526" t="s">
        <v>3328</v>
      </c>
      <c r="F4" s="2526" t="s">
        <v>3329</v>
      </c>
      <c r="G4" s="2490" t="s">
        <v>3323</v>
      </c>
    </row>
    <row r="5" spans="1:9" s="103" customFormat="1" ht="15.75">
      <c r="A5" s="2527" t="s">
        <v>3320</v>
      </c>
      <c r="B5" s="2528" t="s">
        <v>3324</v>
      </c>
      <c r="C5" s="2502">
        <f ca="1">ROUND((C6+C9+C21+C24+C25+C28)/(1-F22-C26-C29),0)</f>
        <v>255238</v>
      </c>
      <c r="D5" s="2529"/>
      <c r="E5" s="2529"/>
      <c r="F5" s="2529"/>
      <c r="G5" s="2681" t="s">
        <v>3463</v>
      </c>
    </row>
    <row r="6" spans="1:9" s="2515" customFormat="1" ht="15">
      <c r="A6" s="2494" t="s">
        <v>3330</v>
      </c>
      <c r="B6" s="2553" t="s">
        <v>3331</v>
      </c>
      <c r="C6" s="2530">
        <f>C7+C8</f>
        <v>101267</v>
      </c>
      <c r="D6" s="2493"/>
      <c r="E6" s="2493"/>
      <c r="F6" s="2493"/>
      <c r="G6" s="2531"/>
    </row>
    <row r="7" spans="1:9" s="109" customFormat="1">
      <c r="A7" s="2532" t="s">
        <v>1441</v>
      </c>
      <c r="B7" s="2554" t="s">
        <v>1442</v>
      </c>
      <c r="C7" s="3002">
        <f>'土地比较法-住宅、综合'!B2</f>
        <v>98270</v>
      </c>
      <c r="D7" s="2533"/>
      <c r="E7" s="2534"/>
      <c r="F7" s="2534"/>
      <c r="G7" s="156"/>
    </row>
    <row r="8" spans="1:9" s="109" customFormat="1">
      <c r="A8" s="2532" t="s">
        <v>1443</v>
      </c>
      <c r="B8" s="2554" t="s">
        <v>1444</v>
      </c>
      <c r="C8" s="2503">
        <f>ROUND(C7*F8,0)</f>
        <v>2997</v>
      </c>
      <c r="D8" s="144"/>
      <c r="E8" s="2534"/>
      <c r="F8" s="2535">
        <f>IF(项目基本情况!B8="出让",0,'数据-取费表'!B49+'数据-取费表'!B50)</f>
        <v>3.0499999999999999E-2</v>
      </c>
      <c r="G8" s="156"/>
    </row>
    <row r="9" spans="1:9" s="2515" customFormat="1" ht="15">
      <c r="A9" s="2536" t="s">
        <v>336</v>
      </c>
      <c r="B9" s="2555" t="s">
        <v>3279</v>
      </c>
      <c r="C9" s="2516">
        <f ca="1">C10+C11+C12+C13+C19+C20</f>
        <v>82055</v>
      </c>
      <c r="D9" s="2537"/>
      <c r="E9" s="2538"/>
      <c r="F9" s="2539"/>
      <c r="G9" s="2540"/>
      <c r="I9" s="109"/>
    </row>
    <row r="10" spans="1:9" s="109" customFormat="1">
      <c r="A10" s="2556" t="s">
        <v>344</v>
      </c>
      <c r="B10" s="2557" t="s">
        <v>3314</v>
      </c>
      <c r="C10" s="2503">
        <f ca="1">IF(B1="",IF(F10=100%,'数据-取费表'!M16,'数据-取费表'!O16),IF(F10=100%,INDIRECT("'数据-取费表'!m"&amp;$G$1)+INDIRECT("'数据-取费表'!t"&amp;$G$1),INDIRECT("'数据-取费表'!o"&amp;$G$1)+INDIRECT("'数据-取费表'!aq"&amp;$G$1)))</f>
        <v>71978</v>
      </c>
      <c r="D10" s="2533"/>
      <c r="E10" s="144"/>
      <c r="F10" s="2541">
        <f ca="1">IF('数据-取费表'!B24=0,1,IF(B1="",'数据-取费表'!N16,INDIRECT("'数据-取费表'!n"&amp;$G$1)))</f>
        <v>1</v>
      </c>
      <c r="G10" s="156" t="s">
        <v>1467</v>
      </c>
    </row>
    <row r="11" spans="1:9" s="109" customFormat="1">
      <c r="A11" s="2556" t="s">
        <v>349</v>
      </c>
      <c r="B11" s="2557" t="s">
        <v>3315</v>
      </c>
      <c r="C11" s="2503">
        <f ca="1">ROUND(C10*F11,0)</f>
        <v>3599</v>
      </c>
      <c r="D11" s="144"/>
      <c r="E11" s="144"/>
      <c r="F11" s="2514">
        <f>'数据-取费表'!B33</f>
        <v>0.05</v>
      </c>
      <c r="G11" s="3391" t="s">
        <v>3667</v>
      </c>
    </row>
    <row r="12" spans="1:9" s="109" customFormat="1">
      <c r="A12" s="2556" t="s">
        <v>350</v>
      </c>
      <c r="B12" s="2557" t="s">
        <v>3316</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7" t="s">
        <v>3985</v>
      </c>
    </row>
    <row r="13" spans="1:9" s="109" customFormat="1">
      <c r="A13" s="2556" t="s">
        <v>3280</v>
      </c>
      <c r="B13" s="2557" t="s">
        <v>3317</v>
      </c>
      <c r="C13" s="2503">
        <f ca="1">C14+C17+C18</f>
        <v>5758</v>
      </c>
      <c r="D13" s="144"/>
      <c r="E13" s="2534"/>
      <c r="F13" s="2535"/>
      <c r="G13" s="156"/>
    </row>
    <row r="14" spans="1:9" s="118" customFormat="1">
      <c r="A14" s="2487" t="s">
        <v>3281</v>
      </c>
      <c r="B14" s="2558" t="s">
        <v>3313</v>
      </c>
      <c r="C14" s="2503">
        <f ca="1">IF(G14="已包含在土地购买价格中","0",IF(B1="",'数据-取费表'!B29,IF(G15="全部缴纳",C15+C16,H15)))</f>
        <v>2399</v>
      </c>
      <c r="D14" s="2542"/>
      <c r="E14" s="144"/>
      <c r="F14" s="2535"/>
      <c r="G14" s="1338" t="s">
        <v>4490</v>
      </c>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160</v>
      </c>
      <c r="F15" s="2535"/>
      <c r="G15" s="1339" t="s">
        <v>4491</v>
      </c>
      <c r="H15" s="762"/>
      <c r="I15" s="1340" t="s">
        <v>1448</v>
      </c>
    </row>
    <row r="16" spans="1:9" s="109" customFormat="1">
      <c r="A16" s="2559" t="s">
        <v>354</v>
      </c>
      <c r="B16" s="2560" t="s">
        <v>1449</v>
      </c>
      <c r="C16" s="2543">
        <f ca="1">ROUND(D16*E16/10000,0)</f>
        <v>2399</v>
      </c>
      <c r="D16" s="2543">
        <f ca="1">IF(B1="",'数据-汇总表'!E6,IF(INDIRECT("'数据-取费表'!c"&amp;$G$1)="住宅",INDIRECT("'数据-取费表'!s"&amp;$G$1),INDIRECT("'数据-取费表'!k"&amp;$G$1)+INDIRECT("'数据-取费表'!s"&amp;$G$1)))</f>
        <v>119963.53</v>
      </c>
      <c r="E16" s="2543">
        <f>'数据-取费表'!B28</f>
        <v>200</v>
      </c>
      <c r="F16" s="2535"/>
      <c r="G16" s="121"/>
    </row>
    <row r="17" spans="1:7" s="109" customFormat="1">
      <c r="A17" s="2487" t="s">
        <v>3282</v>
      </c>
      <c r="B17" s="2561" t="s">
        <v>3287</v>
      </c>
      <c r="C17" s="2503" t="str">
        <f>IF(G17="已包含在土地取得成本中","0",ROUND(D17*E17/10000,0))</f>
        <v>0</v>
      </c>
      <c r="D17" s="2544">
        <f ca="1">D15+D16</f>
        <v>119963.53</v>
      </c>
      <c r="E17" s="2544">
        <f>'数据-取费表'!B31</f>
        <v>126</v>
      </c>
      <c r="F17" s="2511"/>
      <c r="G17" s="1338" t="s">
        <v>4492</v>
      </c>
    </row>
    <row r="18" spans="1:7" s="109" customFormat="1">
      <c r="A18" s="2562" t="s">
        <v>3283</v>
      </c>
      <c r="B18" s="2561" t="s">
        <v>1472</v>
      </c>
      <c r="C18" s="2503">
        <f ca="1">ROUND(E18*D18*F10/10000,0)</f>
        <v>3359</v>
      </c>
      <c r="D18" s="2503">
        <f ca="1">D17</f>
        <v>119963.53</v>
      </c>
      <c r="E18" s="2503">
        <f>'数据-取费表'!B35</f>
        <v>280</v>
      </c>
      <c r="F18" s="2514"/>
      <c r="G18" s="156" t="str">
        <f ca="1">IF(F10=100%,"","按工程进度计取")</f>
        <v/>
      </c>
    </row>
    <row r="19" spans="1:7" s="109" customFormat="1">
      <c r="A19" s="2556" t="s">
        <v>352</v>
      </c>
      <c r="B19" s="2557" t="s">
        <v>3318</v>
      </c>
      <c r="C19" s="2503">
        <f ca="1">ROUND(C10*F19,0)</f>
        <v>720</v>
      </c>
      <c r="D19" s="144"/>
      <c r="E19" s="144"/>
      <c r="F19" s="2514">
        <f>'数据-取费表'!B36</f>
        <v>0.01</v>
      </c>
      <c r="G19" s="156" t="s">
        <v>1469</v>
      </c>
    </row>
    <row r="20" spans="1:7" s="109" customFormat="1">
      <c r="A20" s="2556" t="s">
        <v>3284</v>
      </c>
      <c r="B20" s="2557" t="s">
        <v>3319</v>
      </c>
      <c r="C20" s="2503">
        <f ca="1">ROUND(C10*F20,0)</f>
        <v>0</v>
      </c>
      <c r="D20" s="2545"/>
      <c r="E20" s="140"/>
      <c r="F20" s="2514">
        <f>'数据-取费表'!B37</f>
        <v>0</v>
      </c>
      <c r="G20" s="156" t="s">
        <v>1469</v>
      </c>
    </row>
    <row r="21" spans="1:7" s="2515" customFormat="1" ht="15">
      <c r="A21" s="2494" t="s">
        <v>3332</v>
      </c>
      <c r="B21" s="2553" t="s">
        <v>3333</v>
      </c>
      <c r="C21" s="2516">
        <f ca="1">ROUND((C6+C9)*F21,0)</f>
        <v>9166</v>
      </c>
      <c r="D21" s="2517"/>
      <c r="E21" s="2517"/>
      <c r="F21" s="2521">
        <f>'数据-取费表'!B38</f>
        <v>0.05</v>
      </c>
      <c r="G21" s="2518" t="s">
        <v>3334</v>
      </c>
    </row>
    <row r="22" spans="1:7" s="2515" customFormat="1" ht="15">
      <c r="A22" s="2494" t="s">
        <v>3335</v>
      </c>
      <c r="B22" s="2553" t="s">
        <v>3336</v>
      </c>
      <c r="C22" s="2519" t="str">
        <f>F22&amp;"V"</f>
        <v>0.03V</v>
      </c>
      <c r="D22" s="296"/>
      <c r="E22" s="2517"/>
      <c r="F22" s="2521">
        <f>'数据-取费表'!B39</f>
        <v>0.03</v>
      </c>
      <c r="G22" s="3507" t="s">
        <v>3979</v>
      </c>
    </row>
    <row r="23" spans="1:7" s="2515" customFormat="1" ht="15">
      <c r="A23" s="2494" t="s">
        <v>3337</v>
      </c>
      <c r="B23" s="2555" t="s">
        <v>3288</v>
      </c>
      <c r="C23" s="2495" t="str">
        <f ca="1">SUM(C24:C25)&amp;"+"&amp;C26&amp;"V"</f>
        <v>14681+0.0015V</v>
      </c>
      <c r="D23" s="2520"/>
      <c r="E23" s="296"/>
      <c r="F23" s="2521">
        <f ca="1">'数据-取费表'!B41</f>
        <v>3.2500000000000001E-2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10198</v>
      </c>
      <c r="D24" s="133"/>
      <c r="E24" s="133"/>
      <c r="F24" s="2510"/>
      <c r="G24" s="3887" t="s">
        <v>3980</v>
      </c>
    </row>
    <row r="25" spans="1:7" s="109" customFormat="1">
      <c r="A25" s="2563" t="s">
        <v>1453</v>
      </c>
      <c r="B25" s="2561" t="s">
        <v>3289</v>
      </c>
      <c r="C25" s="2509">
        <f ca="1">ROUND(IF('数据-取费表'!B22&lt;=1,(C9+C21)*F23*'数据-取费表'!B23/2,(C9+C21)*(POWER((1+F23),'数据-取费表'!B23/2)-1)),0)</f>
        <v>4483</v>
      </c>
      <c r="D25" s="133"/>
      <c r="E25" s="133"/>
      <c r="F25" s="2510"/>
      <c r="G25" s="3887" t="s">
        <v>3981</v>
      </c>
    </row>
    <row r="26" spans="1:7" s="109" customFormat="1">
      <c r="A26" s="2563" t="s">
        <v>348</v>
      </c>
      <c r="B26" s="2561" t="s">
        <v>1454</v>
      </c>
      <c r="C26" s="2506">
        <f ca="1">ROUND(IF('数据-取费表'!B22&lt;=1,F22*F23*'数据-取费表'!B23/2,F22*(POWER((1+F23),'数据-取费表'!B23/2)-1)),4)</f>
        <v>1.5E-3</v>
      </c>
      <c r="D26" s="133"/>
      <c r="E26" s="136"/>
      <c r="F26" s="2510"/>
      <c r="G26" s="4200" t="s">
        <v>3982</v>
      </c>
    </row>
    <row r="27" spans="1:7" s="2515" customFormat="1" ht="15">
      <c r="A27" s="2494" t="s">
        <v>3338</v>
      </c>
      <c r="B27" s="2555" t="s">
        <v>3290</v>
      </c>
      <c r="C27" s="2522" t="str">
        <f ca="1">C28&amp;"+"&amp;C29&amp;"V"</f>
        <v>38498+0.006V</v>
      </c>
      <c r="D27" s="2520"/>
      <c r="E27" s="296"/>
      <c r="F27" s="2523">
        <f ca="1">IF(B1="",'数据-取费表'!Q16,INDIRECT("'数据-取费表'!q"&amp;$G$1))</f>
        <v>0.2</v>
      </c>
      <c r="G27" s="2518" t="s">
        <v>3987</v>
      </c>
    </row>
    <row r="28" spans="1:7" s="109" customFormat="1">
      <c r="A28" s="2556" t="s">
        <v>344</v>
      </c>
      <c r="B28" s="2561" t="s">
        <v>1459</v>
      </c>
      <c r="C28" s="2488">
        <f ca="1">ROUND(C6*F27*'数据-取费表'!B23/'数据-取费表'!B22+(C9+C21)*F27,0)</f>
        <v>38498</v>
      </c>
      <c r="D28" s="130"/>
      <c r="E28" s="131"/>
      <c r="F28" s="2511"/>
      <c r="G28" s="3013" t="str">
        <f ca="1">IF(F10=100%,"","其中：土地取得成本产生的利润按已建工期计算")</f>
        <v/>
      </c>
    </row>
    <row r="29" spans="1:7" s="109" customFormat="1">
      <c r="A29" s="2556" t="s">
        <v>345</v>
      </c>
      <c r="B29" s="2561" t="s">
        <v>1460</v>
      </c>
      <c r="C29" s="2506">
        <f ca="1">ROUND(F22*F27,4)</f>
        <v>6.0000000000000001E-3</v>
      </c>
      <c r="D29" s="130"/>
      <c r="E29" s="131"/>
      <c r="F29" s="2511"/>
      <c r="G29" s="142"/>
    </row>
    <row r="30" spans="1:7" s="2515" customFormat="1" ht="15">
      <c r="A30" s="2494" t="s">
        <v>3339</v>
      </c>
      <c r="B30" s="2553" t="s">
        <v>3340</v>
      </c>
      <c r="C30" s="2516">
        <v>0</v>
      </c>
      <c r="D30" s="296"/>
      <c r="E30" s="2496"/>
      <c r="F30" s="2521"/>
      <c r="G30" s="2524" t="s">
        <v>3291</v>
      </c>
    </row>
    <row r="31" spans="1:7" s="109" customFormat="1" ht="15.75">
      <c r="A31" s="2564">
        <v>2</v>
      </c>
      <c r="B31" s="2565" t="s">
        <v>3292</v>
      </c>
      <c r="C31" s="2507">
        <f ca="1">C57</f>
        <v>16282</v>
      </c>
      <c r="D31" s="2498"/>
      <c r="E31" s="2498"/>
      <c r="F31" s="2512">
        <f>IF('数据-取费表'!B24=0,'数据-取费表'!N16,1)</f>
        <v>0.85</v>
      </c>
      <c r="G31" s="2499" t="s">
        <v>3801</v>
      </c>
    </row>
    <row r="32" spans="1:7" s="109" customFormat="1" ht="15.75">
      <c r="A32" s="2486" t="s">
        <v>3293</v>
      </c>
      <c r="B32" s="2485" t="s">
        <v>3294</v>
      </c>
      <c r="C32" s="2507">
        <f ca="1">C5-C31</f>
        <v>238956</v>
      </c>
      <c r="D32" s="2498"/>
      <c r="E32" s="2498"/>
      <c r="F32" s="2497"/>
      <c r="G32" s="2500" t="s">
        <v>3325</v>
      </c>
    </row>
    <row r="33" spans="1:7" s="109" customFormat="1" ht="16.5" thickBot="1">
      <c r="A33" s="2566">
        <v>4</v>
      </c>
      <c r="B33" s="2567" t="s">
        <v>3326</v>
      </c>
      <c r="C33" s="2508">
        <f ca="1">ROUND(C32*(1+F33),0)</f>
        <v>260462</v>
      </c>
      <c r="D33" s="2501"/>
      <c r="E33" s="2501"/>
      <c r="F33" s="2513">
        <f>IF(G33="其他类型公式—成本价值×（1+9%）",9%,3%)</f>
        <v>0.09</v>
      </c>
      <c r="G33" s="3508" t="s">
        <v>3676</v>
      </c>
    </row>
    <row r="34" spans="1:7" s="118" customFormat="1"/>
    <row r="35" spans="1:7" s="109" customFormat="1"/>
    <row r="36" spans="1:7" s="109" customFormat="1"/>
    <row r="37" spans="1:7" s="109" customFormat="1"/>
    <row r="38" spans="1:7" ht="15.75" thickBot="1">
      <c r="A38" s="2752" t="s">
        <v>3295</v>
      </c>
      <c r="B38" s="2753"/>
      <c r="C38" s="2753"/>
      <c r="D38" s="2753"/>
      <c r="E38" s="2753"/>
      <c r="F38" s="2753"/>
      <c r="G38" s="2754"/>
    </row>
    <row r="39" spans="1:7" ht="15.75" thickBot="1">
      <c r="A39" s="2755" t="s">
        <v>3321</v>
      </c>
      <c r="B39" s="2756" t="s">
        <v>3322</v>
      </c>
      <c r="C39" s="2757" t="s">
        <v>3943</v>
      </c>
      <c r="D39" s="2758" t="s">
        <v>3445</v>
      </c>
      <c r="E39" s="2759" t="s">
        <v>3446</v>
      </c>
      <c r="F39" s="2759" t="s">
        <v>3447</v>
      </c>
      <c r="G39" s="2760" t="s">
        <v>3323</v>
      </c>
    </row>
    <row r="40" spans="1:7" ht="15">
      <c r="A40" s="2613" t="s">
        <v>3448</v>
      </c>
      <c r="B40" s="2762" t="s">
        <v>3296</v>
      </c>
      <c r="C40" s="2763">
        <f ca="1">SUM(C41:C46)</f>
        <v>79656</v>
      </c>
      <c r="D40" s="2761"/>
      <c r="E40" s="2761"/>
      <c r="F40" s="2761"/>
      <c r="G40" s="3959"/>
    </row>
    <row r="41" spans="1:7" ht="15.75">
      <c r="A41" s="2548" t="s">
        <v>3297</v>
      </c>
      <c r="B41" s="2612" t="str">
        <f t="shared" ref="B41:C43" si="0">B10</f>
        <v xml:space="preserve">  建安费用</v>
      </c>
      <c r="C41" s="2483">
        <f t="shared" ca="1" si="0"/>
        <v>71978</v>
      </c>
      <c r="D41" s="2478"/>
      <c r="E41" s="2478"/>
      <c r="F41" s="2479"/>
      <c r="G41" s="3960"/>
    </row>
    <row r="42" spans="1:7" ht="15.75">
      <c r="A42" s="2548" t="s">
        <v>3298</v>
      </c>
      <c r="B42" s="2612" t="str">
        <f t="shared" si="0"/>
        <v xml:space="preserve">  前期费用</v>
      </c>
      <c r="C42" s="2483">
        <f t="shared" ca="1" si="0"/>
        <v>3599</v>
      </c>
      <c r="D42" s="2478"/>
      <c r="E42" s="2478"/>
      <c r="F42" s="2479"/>
      <c r="G42" s="3960"/>
    </row>
    <row r="43" spans="1:7" ht="15.75">
      <c r="A43" s="2548" t="s">
        <v>3362</v>
      </c>
      <c r="B43" s="2552" t="str">
        <f t="shared" si="0"/>
        <v xml:space="preserve">  公共配套设施费用</v>
      </c>
      <c r="C43" s="2483">
        <f t="shared" ca="1" si="0"/>
        <v>0</v>
      </c>
      <c r="D43" s="2478"/>
      <c r="E43" s="2478"/>
      <c r="F43" s="2479"/>
      <c r="G43" s="3960"/>
    </row>
    <row r="44" spans="1:7" ht="15.75">
      <c r="A44" s="2548" t="s">
        <v>3280</v>
      </c>
      <c r="B44" s="2552" t="str">
        <f>B18</f>
        <v>红线内市政费用</v>
      </c>
      <c r="C44" s="2483">
        <f ca="1">C18</f>
        <v>3359</v>
      </c>
      <c r="D44" s="2478"/>
      <c r="E44" s="2478"/>
      <c r="F44" s="2479"/>
      <c r="G44" s="3960"/>
    </row>
    <row r="45" spans="1:7" ht="15.75">
      <c r="A45" s="2563" t="s">
        <v>3299</v>
      </c>
      <c r="B45" s="2558" t="str">
        <f>B19</f>
        <v xml:space="preserve">  其他工程费</v>
      </c>
      <c r="C45" s="2488">
        <f ca="1">C19</f>
        <v>720</v>
      </c>
      <c r="D45" s="2611"/>
      <c r="E45" s="2611"/>
      <c r="F45" s="2491"/>
      <c r="G45" s="3961"/>
    </row>
    <row r="46" spans="1:7" ht="15.75">
      <c r="A46" s="2563" t="s">
        <v>3361</v>
      </c>
      <c r="B46" s="2558" t="s">
        <v>3300</v>
      </c>
      <c r="C46" s="2488">
        <f ca="1">C20</f>
        <v>0</v>
      </c>
      <c r="D46" s="2611"/>
      <c r="E46" s="2611"/>
      <c r="F46" s="2491"/>
      <c r="G46" s="3961"/>
    </row>
    <row r="47" spans="1:7" ht="15">
      <c r="A47" s="2613" t="s">
        <v>3449</v>
      </c>
      <c r="B47" s="2614" t="s">
        <v>3450</v>
      </c>
      <c r="C47" s="2615">
        <f ca="1">ROUND(C40*F47,0)</f>
        <v>3983</v>
      </c>
      <c r="D47" s="2616"/>
      <c r="E47" s="2616"/>
      <c r="F47" s="2617">
        <f>F21</f>
        <v>0.05</v>
      </c>
      <c r="G47" s="2618" t="s">
        <v>3451</v>
      </c>
    </row>
    <row r="48" spans="1:7" ht="15">
      <c r="A48" s="2613" t="s">
        <v>3452</v>
      </c>
      <c r="B48" s="2614" t="s">
        <v>3453</v>
      </c>
      <c r="C48" s="2619" t="str">
        <f>F48&amp;"V建1"</f>
        <v>0.03V建1</v>
      </c>
      <c r="D48" s="2616"/>
      <c r="E48" s="2616"/>
      <c r="F48" s="2617">
        <f>F22</f>
        <v>0.03</v>
      </c>
      <c r="G48" s="4201" t="s">
        <v>3983</v>
      </c>
    </row>
    <row r="49" spans="1:7" ht="15">
      <c r="A49" s="2613" t="s">
        <v>3454</v>
      </c>
      <c r="B49" s="2620" t="s">
        <v>3360</v>
      </c>
      <c r="C49" s="2516" t="str">
        <f ca="1">C50&amp;"+"&amp;C51&amp;"V建1"</f>
        <v>4110+0.0015V建1</v>
      </c>
      <c r="D49" s="296"/>
      <c r="E49" s="296"/>
      <c r="F49" s="2629">
        <f ca="1">F23</f>
        <v>3.2500000000000001E-2</v>
      </c>
      <c r="G49" s="3962" t="str">
        <f>IF('数据-取费表'!B22&lt;=1,"单利计息","复利计息")</f>
        <v>复利计息</v>
      </c>
    </row>
    <row r="50" spans="1:7">
      <c r="A50" s="2548" t="s">
        <v>3297</v>
      </c>
      <c r="B50" s="2551" t="s">
        <v>3364</v>
      </c>
      <c r="C50" s="2632">
        <f ca="1">ROUND(IF('数据-取费表'!B22&lt;=1,(C40+C47)*F49*'数据-取费表'!B22/2,(C40+C47)*(POWER((1+F49),'数据-取费表'!B22/2)-1)),0)</f>
        <v>4110</v>
      </c>
      <c r="D50" s="1011"/>
      <c r="E50" s="1011"/>
      <c r="F50" s="994"/>
      <c r="G50" s="4543" t="str">
        <f ca="1">IF(F10=100%,"建设期均匀投入","已建工期均匀投入")</f>
        <v>建设期均匀投入</v>
      </c>
    </row>
    <row r="51" spans="1:7">
      <c r="A51" s="2548" t="s">
        <v>3298</v>
      </c>
      <c r="B51" s="2552" t="s">
        <v>3303</v>
      </c>
      <c r="C51" s="2633">
        <f ca="1">ROUND(IF('数据-取费表'!B22&lt;=1,F48*F23*'数据-取费表'!B22/2,F48*(POWER((1+F23),'数据-取费表'!B22/2)-1)),4)</f>
        <v>1.5E-3</v>
      </c>
      <c r="D51" s="1011"/>
      <c r="E51" s="1011"/>
      <c r="F51" s="994"/>
      <c r="G51" s="4544"/>
    </row>
    <row r="52" spans="1:7" ht="15">
      <c r="A52" s="2613" t="s">
        <v>3455</v>
      </c>
      <c r="B52" s="2622" t="s">
        <v>3304</v>
      </c>
      <c r="C52" s="2623" t="str">
        <f ca="1">C53&amp;"+"&amp;C54&amp;"V建1"</f>
        <v>16728+0.006V建1</v>
      </c>
      <c r="D52" s="2624"/>
      <c r="E52" s="2616"/>
      <c r="F52" s="2625">
        <f ca="1">F27</f>
        <v>0.2</v>
      </c>
      <c r="G52" s="2626" t="s">
        <v>3456</v>
      </c>
    </row>
    <row r="53" spans="1:7">
      <c r="A53" s="2548" t="s">
        <v>3301</v>
      </c>
      <c r="B53" s="2551" t="s">
        <v>3305</v>
      </c>
      <c r="C53" s="2483">
        <f ca="1">ROUND((C40+C47)*F27,0)</f>
        <v>16728</v>
      </c>
      <c r="D53" s="2484"/>
      <c r="E53" s="2480"/>
      <c r="F53" s="2481"/>
      <c r="G53" s="2482"/>
    </row>
    <row r="54" spans="1:7">
      <c r="A54" s="2548" t="s">
        <v>3302</v>
      </c>
      <c r="B54" s="2551" t="s">
        <v>3306</v>
      </c>
      <c r="C54" s="2547">
        <f ca="1">ROUND(F48*F27,4)</f>
        <v>6.0000000000000001E-3</v>
      </c>
      <c r="D54" s="2484"/>
      <c r="E54" s="2480"/>
      <c r="F54" s="2481"/>
      <c r="G54" s="2482"/>
    </row>
    <row r="55" spans="1:7" ht="15">
      <c r="A55" s="2494" t="s">
        <v>3457</v>
      </c>
      <c r="B55" s="2631" t="s">
        <v>3458</v>
      </c>
      <c r="C55" s="3963">
        <v>0</v>
      </c>
      <c r="D55" s="2520"/>
      <c r="E55" s="296"/>
      <c r="F55" s="2621"/>
      <c r="G55" s="2628" t="s">
        <v>3309</v>
      </c>
    </row>
    <row r="56" spans="1:7" ht="16.5">
      <c r="A56" s="2494" t="s">
        <v>3462</v>
      </c>
      <c r="B56" s="2627" t="s">
        <v>3459</v>
      </c>
      <c r="C56" s="2516">
        <f ca="1">ROUND((C40+C47+C50+C53)/(1-F48-C51-C54),0)</f>
        <v>108548</v>
      </c>
      <c r="D56" s="296"/>
      <c r="E56" s="296"/>
      <c r="F56" s="2629"/>
      <c r="G56" s="2628" t="s">
        <v>3310</v>
      </c>
    </row>
    <row r="57" spans="1:7" ht="15">
      <c r="A57" s="2494" t="s">
        <v>3426</v>
      </c>
      <c r="B57" s="2630" t="s">
        <v>3307</v>
      </c>
      <c r="C57" s="2516">
        <f ca="1">ROUND(C56*(1-F57),0)</f>
        <v>16282</v>
      </c>
      <c r="D57" s="296"/>
      <c r="E57" s="296"/>
      <c r="F57" s="2629">
        <f>F31</f>
        <v>0.85</v>
      </c>
      <c r="G57" s="2628" t="s">
        <v>3311</v>
      </c>
    </row>
    <row r="58" spans="1:7" ht="16.5">
      <c r="A58" s="2494" t="s">
        <v>3460</v>
      </c>
      <c r="B58" s="2627" t="s">
        <v>3461</v>
      </c>
      <c r="C58" s="2516">
        <f ca="1">C56-C57</f>
        <v>92266</v>
      </c>
      <c r="D58" s="296"/>
      <c r="E58" s="296"/>
      <c r="F58" s="2629"/>
      <c r="G58" s="2628" t="s">
        <v>3312</v>
      </c>
    </row>
    <row r="59" spans="1:7" ht="15.75" thickBot="1">
      <c r="A59" s="3964" t="s">
        <v>3363</v>
      </c>
      <c r="B59" s="3965" t="s">
        <v>3308</v>
      </c>
      <c r="C59" s="3966">
        <f ca="1">ROUND(C58*(1+F59),0)</f>
        <v>100570</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0.61399999999999999</v>
      </c>
    </row>
    <row r="64" spans="1:7" ht="21" customHeight="1">
      <c r="B64" s="55" t="s">
        <v>788</v>
      </c>
      <c r="C64" s="4036">
        <f ca="1">ROUND(C58/C32,3)</f>
        <v>0.38600000000000001</v>
      </c>
      <c r="D64" s="164" t="s">
        <v>3365</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c r="D1" s="1341" t="s">
        <v>1499</v>
      </c>
      <c r="E1" s="93"/>
      <c r="F1" s="93"/>
      <c r="G1" s="756">
        <f>MATCH(B1,'数据-取费表'!A6:A16,0)+5</f>
        <v>7</v>
      </c>
      <c r="H1" s="3001" t="str">
        <f>IF(ISERROR(FIND("住宅",B1)),"非住宅","住宅")</f>
        <v>非住宅</v>
      </c>
    </row>
    <row r="2" spans="1:10" s="95" customFormat="1" ht="15.75">
      <c r="A2" s="96" t="s">
        <v>1431</v>
      </c>
      <c r="B2" s="3651">
        <f ca="1">ROUND(D3/10000,4)</f>
        <v>94325.173599999995</v>
      </c>
      <c r="C2" s="94" t="s">
        <v>1432</v>
      </c>
      <c r="D2" s="1335" t="s">
        <v>41</v>
      </c>
      <c r="E2" s="2491">
        <f ca="1">IF(D2="——",0,SUMIF(INDIRECT("'"&amp;G2&amp;"'"&amp;"!A:A"),"承租人权益价值",INDIRECT("'"&amp;G2&amp;"'"&amp;"!c:c")))</f>
        <v>0</v>
      </c>
      <c r="F2" s="1336" t="s">
        <v>1432</v>
      </c>
      <c r="G2" s="1337"/>
    </row>
    <row r="3" spans="1:10" s="95" customFormat="1" ht="16.5" thickBot="1">
      <c r="A3" s="98" t="s">
        <v>672</v>
      </c>
      <c r="B3" s="2505">
        <f ca="1">ROUND(D3/(IF(B1="",'数据-汇总表'!E3,INDIRECT("'数据-取费表'!k"&amp;$G$1))),0)</f>
        <v>7863</v>
      </c>
      <c r="C3" s="94" t="s">
        <v>1434</v>
      </c>
      <c r="D3" s="94">
        <f ca="1">IF(C1="含税",E2+C33,E2+C32)</f>
        <v>943251736</v>
      </c>
      <c r="E3" s="2492"/>
      <c r="F3" s="94"/>
      <c r="G3" s="94"/>
    </row>
    <row r="4" spans="1:10" s="95" customFormat="1" ht="16.5" thickBot="1">
      <c r="A4" s="2549" t="s">
        <v>3321</v>
      </c>
      <c r="B4" s="2550" t="s">
        <v>3322</v>
      </c>
      <c r="C4" s="2489" t="s">
        <v>3943</v>
      </c>
      <c r="D4" s="2525" t="s">
        <v>3327</v>
      </c>
      <c r="E4" s="2526" t="s">
        <v>3328</v>
      </c>
      <c r="F4" s="2526" t="s">
        <v>3329</v>
      </c>
      <c r="G4" s="2490" t="s">
        <v>3323</v>
      </c>
    </row>
    <row r="5" spans="1:10" s="103" customFormat="1" ht="15.75">
      <c r="A5" s="2527" t="s">
        <v>3320</v>
      </c>
      <c r="B5" s="2528" t="s">
        <v>3324</v>
      </c>
      <c r="C5" s="2502">
        <f ca="1">ROUND((C6+C9+C21+C24+C25+C28)/(1-F22-C26-C29),0)</f>
        <v>1106072442</v>
      </c>
      <c r="D5" s="2529"/>
      <c r="E5" s="2529"/>
      <c r="F5" s="2529"/>
      <c r="G5" s="2681" t="s">
        <v>3463</v>
      </c>
      <c r="J5" s="95"/>
    </row>
    <row r="6" spans="1:10" s="2515" customFormat="1" ht="15">
      <c r="A6" s="2494" t="s">
        <v>3330</v>
      </c>
      <c r="B6" s="2553" t="s">
        <v>3331</v>
      </c>
      <c r="C6" s="2530">
        <f>C7+C8</f>
        <v>0</v>
      </c>
      <c r="D6" s="2493"/>
      <c r="E6" s="2493"/>
      <c r="F6" s="2493"/>
      <c r="G6" s="2531"/>
      <c r="J6" s="95"/>
    </row>
    <row r="7" spans="1:10" s="109" customFormat="1" ht="15">
      <c r="A7" s="2532" t="s">
        <v>344</v>
      </c>
      <c r="B7" s="2554" t="s">
        <v>1442</v>
      </c>
      <c r="C7" s="3002"/>
      <c r="D7" s="2533"/>
      <c r="E7" s="2534"/>
      <c r="F7" s="2534"/>
      <c r="G7" s="156"/>
      <c r="J7" s="95"/>
    </row>
    <row r="8" spans="1:10" s="109" customFormat="1" ht="15">
      <c r="A8" s="2532" t="s">
        <v>345</v>
      </c>
      <c r="B8" s="2554" t="s">
        <v>1444</v>
      </c>
      <c r="C8" s="2503">
        <f>ROUND(C7*F8,0)</f>
        <v>0</v>
      </c>
      <c r="D8" s="144"/>
      <c r="E8" s="2534"/>
      <c r="F8" s="2535">
        <f>IF(项目基本情况!B8="出让",0,'数据-取费表'!B49+'数据-取费表'!B50)</f>
        <v>3.0499999999999999E-2</v>
      </c>
      <c r="G8" s="156"/>
      <c r="J8" s="95"/>
    </row>
    <row r="9" spans="1:10" s="2515" customFormat="1" ht="15">
      <c r="A9" s="2536" t="s">
        <v>336</v>
      </c>
      <c r="B9" s="2555" t="s">
        <v>3279</v>
      </c>
      <c r="C9" s="2516">
        <f ca="1">C10+C11+C12+C13+C19+C20</f>
        <v>811675643</v>
      </c>
      <c r="D9" s="2537"/>
      <c r="E9" s="2538"/>
      <c r="F9" s="2539"/>
      <c r="G9" s="2540"/>
      <c r="J9" s="95"/>
    </row>
    <row r="10" spans="1:10" s="109" customFormat="1" ht="15">
      <c r="A10" s="2556" t="s">
        <v>344</v>
      </c>
      <c r="B10" s="2557" t="s">
        <v>3314</v>
      </c>
      <c r="C10" s="2503">
        <f ca="1">ROUND(IF(B1="",SUMPRODUCT('数据-取费表'!K6:K14,'数据-取费表'!L6:L14),INDIRECT("'数据-取费表'!l"&amp;$G$1)*INDIRECT("'数据-取费表'!k"&amp;$G$1)+'数据-取费表'!L14*INDIRECT("'数据-取费表'!S"&amp;$G$1)),0)</f>
        <v>719781180</v>
      </c>
      <c r="D10" s="2533"/>
      <c r="E10" s="144"/>
      <c r="F10" s="2541">
        <f ca="1">IF('数据-取费表'!B24=0,1,IF(B1="",'数据-取费表'!N16,INDIRECT("'数据-取费表'!n"&amp;$G$1)))</f>
        <v>1</v>
      </c>
      <c r="G10" s="156" t="s">
        <v>1467</v>
      </c>
      <c r="J10" s="95"/>
    </row>
    <row r="11" spans="1:10" s="109" customFormat="1" ht="15">
      <c r="A11" s="2556" t="s">
        <v>349</v>
      </c>
      <c r="B11" s="2557" t="s">
        <v>3315</v>
      </c>
      <c r="C11" s="2503">
        <f ca="1">ROUND(C10*F11,0)</f>
        <v>35989059</v>
      </c>
      <c r="D11" s="144"/>
      <c r="E11" s="144"/>
      <c r="F11" s="2514">
        <f>'数据-取费表'!B33</f>
        <v>0.05</v>
      </c>
      <c r="G11" s="156" t="s">
        <v>1469</v>
      </c>
      <c r="J11" s="95"/>
    </row>
    <row r="12" spans="1:10" s="109" customFormat="1" ht="15">
      <c r="A12" s="2556" t="s">
        <v>350</v>
      </c>
      <c r="B12" s="2557" t="s">
        <v>3316</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7" t="s">
        <v>3986</v>
      </c>
      <c r="J12" s="95"/>
    </row>
    <row r="13" spans="1:10" s="109" customFormat="1" ht="15">
      <c r="A13" s="2556" t="s">
        <v>3280</v>
      </c>
      <c r="B13" s="2557" t="s">
        <v>3317</v>
      </c>
      <c r="C13" s="2503">
        <f ca="1">C14+C17+C18</f>
        <v>48707592</v>
      </c>
      <c r="D13" s="144"/>
      <c r="E13" s="2534"/>
      <c r="F13" s="2535"/>
      <c r="G13" s="156"/>
      <c r="J13" s="95"/>
    </row>
    <row r="14" spans="1:10" s="118" customFormat="1" ht="15">
      <c r="A14" s="2487" t="s">
        <v>3281</v>
      </c>
      <c r="B14" s="2558" t="s">
        <v>3313</v>
      </c>
      <c r="C14" s="2503">
        <f ca="1">IF(G14="已包含在土地购买价格中","0",IF(B1="",'数据-取费表'!B29,IF(G15="全部缴纳",C15+C16,H15)))</f>
        <v>2399</v>
      </c>
      <c r="D14" s="2542"/>
      <c r="E14" s="144"/>
      <c r="F14" s="2535"/>
      <c r="G14" s="1338"/>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160</v>
      </c>
      <c r="F15" s="2535"/>
      <c r="G15" s="1339"/>
      <c r="H15" s="762"/>
      <c r="I15" s="1340" t="s">
        <v>1448</v>
      </c>
      <c r="J15" s="95"/>
    </row>
    <row r="16" spans="1:10" s="109" customFormat="1" ht="15">
      <c r="A16" s="2559" t="s">
        <v>354</v>
      </c>
      <c r="B16" s="2560" t="s">
        <v>1449</v>
      </c>
      <c r="C16" s="2543">
        <f ca="1">ROUND(D16*E16,0)</f>
        <v>23992706</v>
      </c>
      <c r="D16" s="2543">
        <f ca="1">IF(B1="",'数据-汇总表'!E6,IF(INDIRECT("'数据-取费表'!c"&amp;$G$1)="住宅",INDIRECT("'数据-取费表'!s"&amp;$G$1),INDIRECT("'数据-取费表'!k"&amp;$G$1)+INDIRECT("'数据-取费表'!s"&amp;$G$1)))</f>
        <v>119963.53</v>
      </c>
      <c r="E16" s="2543">
        <f>'数据-取费表'!B28</f>
        <v>200</v>
      </c>
      <c r="F16" s="2535"/>
      <c r="G16" s="121"/>
      <c r="J16" s="95"/>
    </row>
    <row r="17" spans="1:10" s="109" customFormat="1" ht="15">
      <c r="A17" s="2487" t="s">
        <v>3282</v>
      </c>
      <c r="B17" s="2561" t="s">
        <v>3287</v>
      </c>
      <c r="C17" s="2503">
        <f ca="1">IF(G17="已包含在土地取得成本中","0",ROUND(D17*E17,0))</f>
        <v>15115405</v>
      </c>
      <c r="D17" s="2544">
        <f ca="1">D15+D16</f>
        <v>119963.53</v>
      </c>
      <c r="E17" s="2544">
        <f>'数据-取费表'!B31</f>
        <v>126</v>
      </c>
      <c r="F17" s="2511"/>
      <c r="G17" s="1338"/>
      <c r="J17" s="95"/>
    </row>
    <row r="18" spans="1:10" s="109" customFormat="1" ht="15">
      <c r="A18" s="2562" t="s">
        <v>3283</v>
      </c>
      <c r="B18" s="2561" t="s">
        <v>1472</v>
      </c>
      <c r="C18" s="2503">
        <f ca="1">ROUND(E18*D18*F10,0)</f>
        <v>33589788</v>
      </c>
      <c r="D18" s="2503">
        <f ca="1">D17</f>
        <v>119963.53</v>
      </c>
      <c r="E18" s="2503">
        <f>'数据-取费表'!B35</f>
        <v>280</v>
      </c>
      <c r="F18" s="2514"/>
      <c r="G18" s="156" t="str">
        <f ca="1">IF(F10=100%,"","按工程进度计取")</f>
        <v/>
      </c>
      <c r="J18" s="95"/>
    </row>
    <row r="19" spans="1:10" s="109" customFormat="1" ht="15">
      <c r="A19" s="2556" t="s">
        <v>352</v>
      </c>
      <c r="B19" s="2557" t="s">
        <v>3318</v>
      </c>
      <c r="C19" s="2503">
        <f ca="1">ROUND(C10*F19,0)</f>
        <v>7197812</v>
      </c>
      <c r="D19" s="144"/>
      <c r="E19" s="144"/>
      <c r="F19" s="2514">
        <f>'数据-取费表'!B36</f>
        <v>0.01</v>
      </c>
      <c r="G19" s="156" t="s">
        <v>1469</v>
      </c>
      <c r="J19" s="95"/>
    </row>
    <row r="20" spans="1:10" s="109" customFormat="1" ht="15">
      <c r="A20" s="2556" t="s">
        <v>3284</v>
      </c>
      <c r="B20" s="2557" t="s">
        <v>3319</v>
      </c>
      <c r="C20" s="2503">
        <f ca="1">ROUND(C10*F20,0)</f>
        <v>0</v>
      </c>
      <c r="D20" s="2545"/>
      <c r="E20" s="140"/>
      <c r="F20" s="2514">
        <f>'数据-取费表'!B37</f>
        <v>0</v>
      </c>
      <c r="G20" s="156" t="s">
        <v>1469</v>
      </c>
      <c r="J20" s="95"/>
    </row>
    <row r="21" spans="1:10" s="2515" customFormat="1" ht="15">
      <c r="A21" s="2494" t="s">
        <v>3332</v>
      </c>
      <c r="B21" s="2553" t="s">
        <v>3333</v>
      </c>
      <c r="C21" s="2516">
        <f ca="1">ROUND((C6+C9)*F21,0)</f>
        <v>40583782</v>
      </c>
      <c r="D21" s="2517"/>
      <c r="E21" s="2517"/>
      <c r="F21" s="2521">
        <f>'数据-取费表'!B38</f>
        <v>0.05</v>
      </c>
      <c r="G21" s="2518" t="s">
        <v>3334</v>
      </c>
      <c r="J21" s="95"/>
    </row>
    <row r="22" spans="1:10" s="2515" customFormat="1" ht="15">
      <c r="A22" s="2494" t="s">
        <v>3335</v>
      </c>
      <c r="B22" s="2553" t="s">
        <v>3336</v>
      </c>
      <c r="C22" s="2519" t="str">
        <f>F22&amp;"V"</f>
        <v>0.03V</v>
      </c>
      <c r="D22" s="296"/>
      <c r="E22" s="2517"/>
      <c r="F22" s="2521">
        <f>'数据-取费表'!B39</f>
        <v>0.03</v>
      </c>
      <c r="G22" s="3507" t="s">
        <v>3979</v>
      </c>
      <c r="J22" s="95"/>
    </row>
    <row r="23" spans="1:10" s="2515" customFormat="1" ht="15">
      <c r="A23" s="2494" t="s">
        <v>3337</v>
      </c>
      <c r="B23" s="2555" t="s">
        <v>3288</v>
      </c>
      <c r="C23" s="2495" t="str">
        <f ca="1">SUM(C24:C25)&amp;"+"&amp;C26&amp;"V"</f>
        <v>41883415+0.0015V</v>
      </c>
      <c r="D23" s="2520"/>
      <c r="E23" s="296"/>
      <c r="F23" s="2521">
        <f ca="1">'数据-取费表'!B41</f>
        <v>3.2500000000000001E-2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0</v>
      </c>
      <c r="D24" s="133"/>
      <c r="E24" s="133"/>
      <c r="F24" s="2510"/>
      <c r="G24" s="3887" t="s">
        <v>3980</v>
      </c>
      <c r="J24" s="95"/>
    </row>
    <row r="25" spans="1:10" s="109" customFormat="1" ht="15">
      <c r="A25" s="2563" t="s">
        <v>345</v>
      </c>
      <c r="B25" s="2561" t="s">
        <v>3289</v>
      </c>
      <c r="C25" s="2509">
        <f ca="1">ROUND(IF('数据-取费表'!B22&lt;=1,(C9+C21)*F23*'数据-取费表'!B23/2,(C9+C21)*(POWER((1+F23),'数据-取费表'!B23/2)-1)),0)</f>
        <v>41883415</v>
      </c>
      <c r="D25" s="133"/>
      <c r="E25" s="133"/>
      <c r="F25" s="2510"/>
      <c r="G25" s="3887" t="s">
        <v>3981</v>
      </c>
      <c r="J25" s="95"/>
    </row>
    <row r="26" spans="1:10" s="109" customFormat="1" ht="15">
      <c r="A26" s="2563" t="s">
        <v>348</v>
      </c>
      <c r="B26" s="2561" t="s">
        <v>1454</v>
      </c>
      <c r="C26" s="2506">
        <f ca="1">ROUND(IF('数据-取费表'!B22&lt;=1,F22*F23*'数据-取费表'!B23/2,F22*(POWER((1+F23),'数据-取费表'!B23/2)-1)),4)</f>
        <v>1.5E-3</v>
      </c>
      <c r="D26" s="133"/>
      <c r="E26" s="136"/>
      <c r="F26" s="2510"/>
      <c r="G26" s="4200" t="s">
        <v>3982</v>
      </c>
      <c r="J26" s="95"/>
    </row>
    <row r="27" spans="1:10" s="2515" customFormat="1" ht="15">
      <c r="A27" s="2494" t="s">
        <v>3338</v>
      </c>
      <c r="B27" s="2555" t="s">
        <v>3290</v>
      </c>
      <c r="C27" s="2522" t="str">
        <f ca="1">C28&amp;"+"&amp;C29&amp;"V"</f>
        <v>170451885+0.006V</v>
      </c>
      <c r="D27" s="2520"/>
      <c r="E27" s="296"/>
      <c r="F27" s="2523">
        <f ca="1">IF(B1="",'数据-取费表'!Q16,INDIRECT("'数据-取费表'!q"&amp;$G$1))</f>
        <v>0.2</v>
      </c>
      <c r="G27" s="2518" t="s">
        <v>3988</v>
      </c>
      <c r="J27" s="95"/>
    </row>
    <row r="28" spans="1:10" s="109" customFormat="1" ht="15">
      <c r="A28" s="2556" t="s">
        <v>344</v>
      </c>
      <c r="B28" s="2561" t="s">
        <v>1459</v>
      </c>
      <c r="C28" s="2488">
        <f ca="1">ROUND(C6*F27*'数据-取费表'!B23/'数据-取费表'!B22+(C9+C21)*F27,0)</f>
        <v>170451885</v>
      </c>
      <c r="D28" s="130"/>
      <c r="E28" s="131"/>
      <c r="F28" s="2511"/>
      <c r="G28" s="142" t="str">
        <f ca="1">IF(F10=100%,"","其中：土地取得成本产生的利润按已建工期计算")</f>
        <v/>
      </c>
      <c r="J28" s="95"/>
    </row>
    <row r="29" spans="1:10" s="109" customFormat="1" ht="15">
      <c r="A29" s="2556" t="s">
        <v>345</v>
      </c>
      <c r="B29" s="2561" t="s">
        <v>1460</v>
      </c>
      <c r="C29" s="2506">
        <f ca="1">ROUND(F22*F27,4)</f>
        <v>6.0000000000000001E-3</v>
      </c>
      <c r="D29" s="130"/>
      <c r="E29" s="131"/>
      <c r="F29" s="2511"/>
      <c r="G29" s="142"/>
      <c r="J29" s="95"/>
    </row>
    <row r="30" spans="1:10" s="2515" customFormat="1" ht="15">
      <c r="A30" s="2494" t="s">
        <v>3339</v>
      </c>
      <c r="B30" s="2553" t="s">
        <v>3340</v>
      </c>
      <c r="C30" s="2516">
        <v>0</v>
      </c>
      <c r="D30" s="296"/>
      <c r="E30" s="2496"/>
      <c r="F30" s="2521"/>
      <c r="G30" s="2524" t="s">
        <v>3291</v>
      </c>
      <c r="J30" s="95"/>
    </row>
    <row r="31" spans="1:10" s="109" customFormat="1" ht="15.75">
      <c r="A31" s="2564">
        <v>2</v>
      </c>
      <c r="B31" s="2565" t="s">
        <v>3292</v>
      </c>
      <c r="C31" s="2507">
        <f ca="1">C57</f>
        <v>162820706</v>
      </c>
      <c r="D31" s="2498"/>
      <c r="E31" s="2498"/>
      <c r="F31" s="2512">
        <f>IF('数据-取费表'!B24=0,'数据-取费表'!N16,1)</f>
        <v>0.85</v>
      </c>
      <c r="G31" s="2499" t="s">
        <v>3800</v>
      </c>
      <c r="J31" s="95"/>
    </row>
    <row r="32" spans="1:10" s="109" customFormat="1" ht="15.75">
      <c r="A32" s="2486" t="s">
        <v>3293</v>
      </c>
      <c r="B32" s="2485" t="s">
        <v>3294</v>
      </c>
      <c r="C32" s="2507">
        <f ca="1">C5-C31</f>
        <v>943251736</v>
      </c>
      <c r="D32" s="2498"/>
      <c r="E32" s="2498"/>
      <c r="F32" s="2497"/>
      <c r="G32" s="2500" t="s">
        <v>3325</v>
      </c>
      <c r="J32" s="95"/>
    </row>
    <row r="33" spans="1:10" s="109" customFormat="1" ht="16.5" thickBot="1">
      <c r="A33" s="2566">
        <v>4</v>
      </c>
      <c r="B33" s="2567" t="s">
        <v>3326</v>
      </c>
      <c r="C33" s="2508">
        <f ca="1">ROUND(C32*(1+F33),0)</f>
        <v>1028144392</v>
      </c>
      <c r="D33" s="2501"/>
      <c r="E33" s="2501"/>
      <c r="F33" s="2513">
        <f>IF(G33="其他类型公式—成本价值×（1+9%）",9%,3%)</f>
        <v>0.09</v>
      </c>
      <c r="G33" s="3508" t="s">
        <v>3676</v>
      </c>
      <c r="J33" s="95"/>
    </row>
    <row r="34" spans="1:10" s="118" customFormat="1" ht="15">
      <c r="J34" s="95"/>
    </row>
    <row r="35" spans="1:10" s="109" customFormat="1"/>
    <row r="36" spans="1:10" s="109" customFormat="1"/>
    <row r="37" spans="1:10" s="109" customFormat="1"/>
    <row r="38" spans="1:10" ht="15.75" thickBot="1">
      <c r="A38" s="2752" t="s">
        <v>3295</v>
      </c>
      <c r="B38" s="2753"/>
      <c r="C38" s="2753"/>
      <c r="D38" s="2753"/>
      <c r="E38" s="2753"/>
      <c r="F38" s="2753"/>
      <c r="G38" s="2754"/>
    </row>
    <row r="39" spans="1:10" ht="15.75" thickBot="1">
      <c r="A39" s="4085" t="s">
        <v>3321</v>
      </c>
      <c r="B39" s="2755" t="s">
        <v>3322</v>
      </c>
      <c r="C39" s="2757" t="s">
        <v>3943</v>
      </c>
      <c r="D39" s="2758" t="s">
        <v>3445</v>
      </c>
      <c r="E39" s="2759" t="s">
        <v>3446</v>
      </c>
      <c r="F39" s="2759" t="s">
        <v>3447</v>
      </c>
      <c r="G39" s="2760" t="s">
        <v>3323</v>
      </c>
    </row>
    <row r="40" spans="1:10" ht="15">
      <c r="A40" s="2614" t="s">
        <v>3448</v>
      </c>
      <c r="B40" s="4090" t="s">
        <v>3296</v>
      </c>
      <c r="C40" s="2763">
        <f ca="1">SUM(C41:C46)</f>
        <v>796557839</v>
      </c>
      <c r="D40" s="2761"/>
      <c r="E40" s="2761"/>
      <c r="F40" s="2761"/>
      <c r="G40" s="3959"/>
    </row>
    <row r="41" spans="1:10" ht="15.75">
      <c r="A41" s="4086" t="s">
        <v>3297</v>
      </c>
      <c r="B41" s="4091" t="str">
        <f t="shared" ref="B41:C43" si="0">B10</f>
        <v xml:space="preserve">  建安费用</v>
      </c>
      <c r="C41" s="2483">
        <f t="shared" ca="1" si="0"/>
        <v>719781180</v>
      </c>
      <c r="D41" s="2478"/>
      <c r="E41" s="2478"/>
      <c r="F41" s="2479"/>
      <c r="G41" s="3960"/>
    </row>
    <row r="42" spans="1:10" ht="15.75">
      <c r="A42" s="4086" t="s">
        <v>3298</v>
      </c>
      <c r="B42" s="4091" t="str">
        <f t="shared" si="0"/>
        <v xml:space="preserve">  前期费用</v>
      </c>
      <c r="C42" s="2483">
        <f t="shared" ca="1" si="0"/>
        <v>35989059</v>
      </c>
      <c r="D42" s="2478"/>
      <c r="E42" s="2478"/>
      <c r="F42" s="2479"/>
      <c r="G42" s="3960"/>
    </row>
    <row r="43" spans="1:10" ht="15.75">
      <c r="A43" s="4086" t="s">
        <v>3362</v>
      </c>
      <c r="B43" s="4092" t="str">
        <f t="shared" si="0"/>
        <v xml:space="preserve">  公共配套设施费用</v>
      </c>
      <c r="C43" s="2483">
        <f t="shared" ca="1" si="0"/>
        <v>0</v>
      </c>
      <c r="D43" s="2478"/>
      <c r="E43" s="2478"/>
      <c r="F43" s="2479"/>
      <c r="G43" s="3960"/>
    </row>
    <row r="44" spans="1:10" ht="15.75">
      <c r="A44" s="4086" t="s">
        <v>3280</v>
      </c>
      <c r="B44" s="4092" t="str">
        <f>B18</f>
        <v>红线内市政费用</v>
      </c>
      <c r="C44" s="2483">
        <f ca="1">C18</f>
        <v>33589788</v>
      </c>
      <c r="D44" s="2478"/>
      <c r="E44" s="2478"/>
      <c r="F44" s="2479"/>
      <c r="G44" s="3960"/>
    </row>
    <row r="45" spans="1:10" ht="15.75">
      <c r="A45" s="4087" t="s">
        <v>3299</v>
      </c>
      <c r="B45" s="4093" t="str">
        <f>B19</f>
        <v xml:space="preserve">  其他工程费</v>
      </c>
      <c r="C45" s="2488">
        <f ca="1">C19</f>
        <v>7197812</v>
      </c>
      <c r="D45" s="2611"/>
      <c r="E45" s="2611"/>
      <c r="F45" s="2491"/>
      <c r="G45" s="3961"/>
    </row>
    <row r="46" spans="1:10" ht="15.75">
      <c r="A46" s="4087" t="s">
        <v>3361</v>
      </c>
      <c r="B46" s="4093" t="s">
        <v>3300</v>
      </c>
      <c r="C46" s="2488">
        <f ca="1">C20</f>
        <v>0</v>
      </c>
      <c r="D46" s="2611"/>
      <c r="E46" s="2611"/>
      <c r="F46" s="2491"/>
      <c r="G46" s="3961"/>
    </row>
    <row r="47" spans="1:10" ht="15">
      <c r="A47" s="4088" t="s">
        <v>3449</v>
      </c>
      <c r="B47" s="4088" t="s">
        <v>3450</v>
      </c>
      <c r="C47" s="2615">
        <f ca="1">ROUND(C40*F47,0)</f>
        <v>39827892</v>
      </c>
      <c r="D47" s="2616"/>
      <c r="E47" s="2616"/>
      <c r="F47" s="2617">
        <f>F21</f>
        <v>0.05</v>
      </c>
      <c r="G47" s="2618" t="s">
        <v>3451</v>
      </c>
    </row>
    <row r="48" spans="1:10" ht="15">
      <c r="A48" s="4088" t="s">
        <v>3452</v>
      </c>
      <c r="B48" s="4088" t="s">
        <v>3453</v>
      </c>
      <c r="C48" s="2619" t="str">
        <f>F48&amp;"V建1"</f>
        <v>0.03V建1</v>
      </c>
      <c r="D48" s="2616"/>
      <c r="E48" s="2616"/>
      <c r="F48" s="2617">
        <f>F22</f>
        <v>0.03</v>
      </c>
      <c r="G48" s="4201" t="s">
        <v>3983</v>
      </c>
    </row>
    <row r="49" spans="1:7" ht="15">
      <c r="A49" s="4088" t="s">
        <v>3454</v>
      </c>
      <c r="B49" s="4094" t="s">
        <v>3360</v>
      </c>
      <c r="C49" s="2516" t="str">
        <f ca="1">C50&amp;"+"&amp;C51&amp;"V建1"</f>
        <v>41103319+0.0015V建1</v>
      </c>
      <c r="D49" s="296"/>
      <c r="E49" s="296"/>
      <c r="F49" s="2621">
        <f ca="1">F23</f>
        <v>3.2500000000000001E-2</v>
      </c>
      <c r="G49" s="3962" t="str">
        <f>IF('数据-取费表'!B22&lt;=1,"单利计息","复利计息")</f>
        <v>复利计息</v>
      </c>
    </row>
    <row r="50" spans="1:7">
      <c r="A50" s="4086" t="s">
        <v>3297</v>
      </c>
      <c r="B50" s="4095" t="s">
        <v>3364</v>
      </c>
      <c r="C50" s="2632">
        <f ca="1">ROUND(IF('数据-取费表'!B22&lt;=1,(C40+C47)*F49*'数据-取费表'!B22/2,(C40+C47)*(POWER((1+F49),'数据-取费表'!B22/2)-1)),0)</f>
        <v>41103319</v>
      </c>
      <c r="D50" s="1011"/>
      <c r="E50" s="1011"/>
      <c r="F50" s="994"/>
      <c r="G50" s="4543" t="str">
        <f ca="1">IF(F10=100%,"建设期均匀投入","已建工期均匀投入")</f>
        <v>建设期均匀投入</v>
      </c>
    </row>
    <row r="51" spans="1:7">
      <c r="A51" s="4086" t="s">
        <v>3298</v>
      </c>
      <c r="B51" s="4092" t="s">
        <v>3303</v>
      </c>
      <c r="C51" s="2633">
        <f ca="1">ROUND(IF('数据-取费表'!B22&lt;=1,F48*F23*'数据-取费表'!B22/2,F48*(POWER((1+F23),'数据-取费表'!B22/2)-1)),4)</f>
        <v>1.5E-3</v>
      </c>
      <c r="D51" s="1011"/>
      <c r="E51" s="1011"/>
      <c r="F51" s="994"/>
      <c r="G51" s="4544"/>
    </row>
    <row r="52" spans="1:7" ht="15">
      <c r="A52" s="4088" t="s">
        <v>3455</v>
      </c>
      <c r="B52" s="2752" t="s">
        <v>3304</v>
      </c>
      <c r="C52" s="2623" t="str">
        <f ca="1">C53&amp;"+"&amp;C54&amp;"V建1"</f>
        <v>167277146+0.006V建1</v>
      </c>
      <c r="D52" s="2624"/>
      <c r="E52" s="2616"/>
      <c r="F52" s="2625">
        <f ca="1">F27</f>
        <v>0.2</v>
      </c>
      <c r="G52" s="2626" t="s">
        <v>3456</v>
      </c>
    </row>
    <row r="53" spans="1:7">
      <c r="A53" s="4086" t="s">
        <v>3297</v>
      </c>
      <c r="B53" s="4095" t="s">
        <v>3305</v>
      </c>
      <c r="C53" s="2483">
        <f ca="1">ROUND((C40+C47)*F27,0)</f>
        <v>167277146</v>
      </c>
      <c r="D53" s="2484"/>
      <c r="E53" s="2480"/>
      <c r="F53" s="2481"/>
      <c r="G53" s="2482"/>
    </row>
    <row r="54" spans="1:7">
      <c r="A54" s="4086" t="s">
        <v>3298</v>
      </c>
      <c r="B54" s="4095" t="s">
        <v>3306</v>
      </c>
      <c r="C54" s="2547">
        <f ca="1">ROUND(F48*F27,4)</f>
        <v>6.0000000000000001E-3</v>
      </c>
      <c r="D54" s="2484"/>
      <c r="E54" s="2480"/>
      <c r="F54" s="2481"/>
      <c r="G54" s="2482"/>
    </row>
    <row r="55" spans="1:7" ht="15">
      <c r="A55" s="4089" t="s">
        <v>3457</v>
      </c>
      <c r="B55" s="2494" t="s">
        <v>3458</v>
      </c>
      <c r="C55" s="3963">
        <v>0</v>
      </c>
      <c r="D55" s="2520"/>
      <c r="E55" s="296"/>
      <c r="F55" s="2621"/>
      <c r="G55" s="2628" t="s">
        <v>3309</v>
      </c>
    </row>
    <row r="56" spans="1:7" ht="16.5">
      <c r="A56" s="4089" t="s">
        <v>3462</v>
      </c>
      <c r="B56" s="4089" t="s">
        <v>3459</v>
      </c>
      <c r="C56" s="2516">
        <f ca="1">ROUND((C40+C47+C50+C53)/(1-F48-C51-C54),0)</f>
        <v>1085471372</v>
      </c>
      <c r="D56" s="296"/>
      <c r="E56" s="296"/>
      <c r="F56" s="2629"/>
      <c r="G56" s="2628" t="s">
        <v>3310</v>
      </c>
    </row>
    <row r="57" spans="1:7" ht="15">
      <c r="A57" s="4089" t="s">
        <v>3426</v>
      </c>
      <c r="B57" s="4096" t="s">
        <v>3292</v>
      </c>
      <c r="C57" s="2516">
        <f ca="1">ROUND(C56*(1-F57),0)</f>
        <v>162820706</v>
      </c>
      <c r="D57" s="296"/>
      <c r="E57" s="296"/>
      <c r="F57" s="2629">
        <f>F31</f>
        <v>0.85</v>
      </c>
      <c r="G57" s="2628" t="s">
        <v>3311</v>
      </c>
    </row>
    <row r="58" spans="1:7" ht="16.5">
      <c r="A58" s="4089" t="s">
        <v>3460</v>
      </c>
      <c r="B58" s="4089" t="s">
        <v>3461</v>
      </c>
      <c r="C58" s="2516">
        <f ca="1">C56-C57</f>
        <v>922650666</v>
      </c>
      <c r="D58" s="296"/>
      <c r="E58" s="296"/>
      <c r="F58" s="2629"/>
      <c r="G58" s="2628" t="s">
        <v>3312</v>
      </c>
    </row>
    <row r="59" spans="1:7" ht="15.75" thickBot="1">
      <c r="A59" s="2627" t="s">
        <v>3363</v>
      </c>
      <c r="B59" s="4097" t="s">
        <v>3308</v>
      </c>
      <c r="C59" s="3966">
        <f ca="1">ROUND(C58*(1+F59),0)</f>
        <v>1005689226</v>
      </c>
      <c r="D59" s="3967"/>
      <c r="E59" s="3967"/>
      <c r="F59" s="3968">
        <f>F33</f>
        <v>0.09</v>
      </c>
      <c r="G59" s="3969" t="s">
        <v>3984</v>
      </c>
    </row>
    <row r="60" spans="1:7" ht="14.25">
      <c r="A60" s="2476"/>
      <c r="B60" s="2477"/>
    </row>
    <row r="62" spans="1:7" ht="21" customHeight="1">
      <c r="B62" s="2546" t="s">
        <v>1498</v>
      </c>
      <c r="C62" s="166"/>
    </row>
    <row r="63" spans="1:7" ht="21" customHeight="1">
      <c r="B63" s="55" t="s">
        <v>787</v>
      </c>
      <c r="C63" s="4035">
        <f ca="1">1-C64</f>
        <v>2.200000000000002E-2</v>
      </c>
    </row>
    <row r="64" spans="1:7" ht="21" customHeight="1">
      <c r="B64" s="55" t="s">
        <v>788</v>
      </c>
      <c r="C64" s="4036">
        <f ca="1">ROUND(C58/C32,3)</f>
        <v>0.97799999999999998</v>
      </c>
      <c r="D64" s="164" t="s">
        <v>3365</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100788.5141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8402</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44623316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23992706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23992706</v>
      </c>
      <c r="D10" s="538">
        <f ca="1">IF(B1="",'数据-汇总表'!E6,IF(INDIRECT("'数据-取费表'!c"&amp;$G$1)="住宅",INDIRECT("'数据-取费表'!s"&amp;$G$1),INDIRECT("'数据-取费表'!k"&amp;$G$1)+INDIRECT("'数据-取费表'!s"&amp;$G$1)))</f>
        <v>119963.53</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15115405</v>
      </c>
      <c r="D19" s="107">
        <f ca="1">D9+D10</f>
        <v>119963.53</v>
      </c>
      <c r="E19" s="106">
        <f>'数据-取费表'!B31</f>
        <v>126</v>
      </c>
      <c r="F19" s="126"/>
      <c r="G19" s="1338"/>
    </row>
    <row r="20" spans="1:7" s="109" customFormat="1" ht="13.5" customHeight="1">
      <c r="A20" s="150" t="s">
        <v>1510</v>
      </c>
      <c r="B20" s="105" t="s">
        <v>1511</v>
      </c>
      <c r="C20" s="127">
        <f ca="1">ROUND((C5+C19)*F20,0)</f>
        <v>2986936</v>
      </c>
      <c r="D20" s="127"/>
      <c r="E20" s="127"/>
      <c r="F20" s="128">
        <f>'数据-取费表'!B38</f>
        <v>0.05</v>
      </c>
      <c r="G20" s="129" t="s">
        <v>1512</v>
      </c>
    </row>
    <row r="21" spans="1:7" s="109" customFormat="1" ht="13.5" customHeight="1">
      <c r="A21" s="150" t="s">
        <v>1513</v>
      </c>
      <c r="B21" s="105" t="s">
        <v>1514</v>
      </c>
      <c r="C21" s="130">
        <f>F21</f>
        <v>0.03</v>
      </c>
      <c r="D21" s="131" t="s">
        <v>1515</v>
      </c>
      <c r="E21" s="127"/>
      <c r="F21" s="128">
        <f>'数据-取费表'!B39</f>
        <v>0.03</v>
      </c>
      <c r="G21" s="129" t="s">
        <v>1516</v>
      </c>
    </row>
    <row r="22" spans="1:7" s="109" customFormat="1" ht="13.5" customHeight="1">
      <c r="A22" s="150" t="s">
        <v>1517</v>
      </c>
      <c r="B22" s="105" t="s">
        <v>1518</v>
      </c>
      <c r="C22" s="127">
        <f ca="1">ROUND(SUM(C23:C25),0)</f>
        <v>6162663</v>
      </c>
      <c r="D22" s="130">
        <f ca="1">C26</f>
        <v>1.5E-3</v>
      </c>
      <c r="E22" s="131" t="s">
        <v>1515</v>
      </c>
      <c r="F22" s="132">
        <f ca="1">'数据-取费表'!B41</f>
        <v>3.2500000000000001E-2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4493705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1522168</v>
      </c>
      <c r="D24" s="133"/>
      <c r="E24" s="133"/>
      <c r="F24" s="134"/>
      <c r="G24" s="135" t="s">
        <v>1522</v>
      </c>
    </row>
    <row r="25" spans="1:7" s="109" customFormat="1" ht="24">
      <c r="A25" s="513" t="s">
        <v>1445</v>
      </c>
      <c r="B25" s="110" t="s">
        <v>1523</v>
      </c>
      <c r="C25" s="133">
        <f ca="1">ROUND(IF('数据-取费表'!B22&lt;=1,C20*F22*'数据-取费表'!B22/2,C20*(POWER((1+F22),'数据-取费表'!B22/2)-1)),0)</f>
        <v>146790</v>
      </c>
      <c r="D25" s="133"/>
      <c r="E25" s="136"/>
      <c r="F25" s="134"/>
      <c r="G25" s="137" t="s">
        <v>1524</v>
      </c>
    </row>
    <row r="26" spans="1:7" s="109" customFormat="1">
      <c r="A26" s="513" t="s">
        <v>348</v>
      </c>
      <c r="B26" s="110" t="s">
        <v>1454</v>
      </c>
      <c r="C26" s="133">
        <f ca="1">ROUND(IF('数据-取费表'!B22&lt;=1,F21*F22*'数据-取费表'!B22/2,F21*(POWER((1+F22),'数据-取费表'!B22/2)-1)),4)</f>
        <v>1.5E-3</v>
      </c>
      <c r="D26" s="133"/>
      <c r="E26" s="136"/>
      <c r="F26" s="134"/>
      <c r="G26" s="138"/>
    </row>
    <row r="27" spans="1:7" s="109" customFormat="1" ht="24.75">
      <c r="A27" s="150" t="s">
        <v>1455</v>
      </c>
      <c r="B27" s="139" t="s">
        <v>1456</v>
      </c>
      <c r="C27" s="140">
        <f ca="1">C28</f>
        <v>12545131</v>
      </c>
      <c r="D27" s="130">
        <f ca="1">C29</f>
        <v>6.0000000000000001E-3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12545131</v>
      </c>
      <c r="D28" s="130"/>
      <c r="E28" s="131"/>
      <c r="F28" s="141"/>
      <c r="G28" s="142"/>
    </row>
    <row r="29" spans="1:7" s="109" customFormat="1" ht="13.5" customHeight="1">
      <c r="A29" s="513" t="s">
        <v>345</v>
      </c>
      <c r="B29" s="143" t="s">
        <v>1460</v>
      </c>
      <c r="C29" s="133">
        <f ca="1">ROUND(C21*F27,4)</f>
        <v>6.0000000000000001E-3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84658957</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796557839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719781180</v>
      </c>
      <c r="D34" s="112"/>
      <c r="E34" s="115"/>
      <c r="F34" s="152"/>
      <c r="G34" s="114"/>
    </row>
    <row r="35" spans="1:7" ht="13.5" customHeight="1">
      <c r="A35" s="513" t="s">
        <v>349</v>
      </c>
      <c r="B35" s="110" t="s">
        <v>1468</v>
      </c>
      <c r="C35" s="115">
        <f ca="1">ROUND(C34*F35,0)</f>
        <v>35989059</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33589788</v>
      </c>
      <c r="D37" s="112">
        <f ca="1">D19</f>
        <v>119963.53</v>
      </c>
      <c r="E37" s="144">
        <f>'数据-取费表'!B35</f>
        <v>280</v>
      </c>
      <c r="F37" s="154"/>
      <c r="G37" s="156"/>
    </row>
    <row r="38" spans="1:7" ht="13.5" customHeight="1">
      <c r="A38" s="513" t="s">
        <v>352</v>
      </c>
      <c r="B38" s="110" t="s">
        <v>1473</v>
      </c>
      <c r="C38" s="115">
        <f ca="1">ROUND(C34*F38,0)</f>
        <v>7197812</v>
      </c>
      <c r="D38" s="115"/>
      <c r="E38" s="115"/>
      <c r="F38" s="154">
        <f>'数据-取费表'!B36</f>
        <v>0.01</v>
      </c>
      <c r="G38" s="114" t="s">
        <v>1469</v>
      </c>
    </row>
    <row r="39" spans="1:7" s="109" customFormat="1" ht="13.5" customHeight="1">
      <c r="A39" s="150" t="s">
        <v>1474</v>
      </c>
      <c r="B39" s="105" t="s">
        <v>1475</v>
      </c>
      <c r="C39" s="127">
        <f ca="1">ROUND(C33*F20,0)</f>
        <v>39827892</v>
      </c>
      <c r="D39" s="127"/>
      <c r="E39" s="127"/>
      <c r="F39" s="128">
        <f>F20</f>
        <v>0.05</v>
      </c>
      <c r="G39" s="129" t="s">
        <v>1476</v>
      </c>
    </row>
    <row r="40" spans="1:7" s="109" customFormat="1" ht="13.5" customHeight="1">
      <c r="A40" s="150" t="s">
        <v>1477</v>
      </c>
      <c r="B40" s="105" t="s">
        <v>1478</v>
      </c>
      <c r="C40" s="130">
        <f>F21</f>
        <v>0.03</v>
      </c>
      <c r="D40" s="131" t="s">
        <v>1479</v>
      </c>
      <c r="E40" s="127"/>
      <c r="F40" s="128">
        <f>F21</f>
        <v>0.03</v>
      </c>
      <c r="G40" s="129" t="s">
        <v>1480</v>
      </c>
    </row>
    <row r="41" spans="1:7" s="109" customFormat="1" ht="13.5" customHeight="1">
      <c r="A41" s="150" t="s">
        <v>1481</v>
      </c>
      <c r="B41" s="105" t="s">
        <v>1482</v>
      </c>
      <c r="C41" s="127">
        <f ca="1">ROUND(SUM(C42:C43),0)</f>
        <v>41103319</v>
      </c>
      <c r="D41" s="130">
        <f ca="1">C44</f>
        <v>1.5E-3</v>
      </c>
      <c r="E41" s="131" t="s">
        <v>1479</v>
      </c>
      <c r="F41" s="132">
        <f ca="1">F22</f>
        <v>3.2500000000000001E-2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39146018</v>
      </c>
      <c r="D42" s="133"/>
      <c r="E42" s="133"/>
      <c r="F42" s="134"/>
      <c r="G42" s="4543" t="s">
        <v>1527</v>
      </c>
    </row>
    <row r="43" spans="1:7" ht="13.5" customHeight="1">
      <c r="A43" s="513" t="s">
        <v>345</v>
      </c>
      <c r="B43" s="110" t="s">
        <v>1484</v>
      </c>
      <c r="C43" s="133">
        <f ca="1">ROUND(IF('数据-取费表'!B22&lt;=1,C39*F22*'数据-取费表'!B20/2,C39*(POWER((1+F22),'数据-取费表'!B20/2)-1)),0)</f>
        <v>1957301</v>
      </c>
      <c r="D43" s="133"/>
      <c r="E43" s="133"/>
      <c r="F43" s="134"/>
      <c r="G43" s="4545"/>
    </row>
    <row r="44" spans="1:7" ht="13.5" customHeight="1">
      <c r="A44" s="513" t="s">
        <v>346</v>
      </c>
      <c r="B44" s="110" t="s">
        <v>1485</v>
      </c>
      <c r="C44" s="133">
        <f ca="1">ROUND(IF('数据-取费表'!B22&lt;=1,C40*F22*'数据-取费表'!B20/2,C40*(POWER((1+F22),'数据-取费表'!B20/2)-1)),4)</f>
        <v>1.5E-3</v>
      </c>
      <c r="D44" s="133"/>
      <c r="E44" s="133"/>
      <c r="F44" s="134"/>
      <c r="G44" s="4544"/>
    </row>
    <row r="45" spans="1:7" s="109" customFormat="1" ht="13.5" customHeight="1">
      <c r="A45" s="150" t="s">
        <v>1486</v>
      </c>
      <c r="B45" s="139" t="s">
        <v>1456</v>
      </c>
      <c r="C45" s="140">
        <f ca="1">C46</f>
        <v>167277146</v>
      </c>
      <c r="D45" s="130">
        <f ca="1">C47</f>
        <v>6.0000000000000001E-3</v>
      </c>
      <c r="E45" s="131" t="s">
        <v>1479</v>
      </c>
      <c r="F45" s="141">
        <f ca="1">F27</f>
        <v>0.2</v>
      </c>
      <c r="G45" s="142" t="s">
        <v>1487</v>
      </c>
    </row>
    <row r="46" spans="1:7" s="109" customFormat="1" ht="13.5" customHeight="1">
      <c r="A46" s="513" t="s">
        <v>344</v>
      </c>
      <c r="B46" s="143" t="s">
        <v>1488</v>
      </c>
      <c r="C46" s="144">
        <f ca="1">ROUND((C33+C39)*F27,0)</f>
        <v>167277146</v>
      </c>
      <c r="D46" s="158"/>
      <c r="E46" s="131"/>
      <c r="F46" s="141"/>
      <c r="G46" s="142"/>
    </row>
    <row r="47" spans="1:7" s="109" customFormat="1" ht="13.5" customHeight="1">
      <c r="A47" s="513" t="s">
        <v>345</v>
      </c>
      <c r="B47" s="143" t="s">
        <v>1489</v>
      </c>
      <c r="C47" s="133">
        <f ca="1">ROUND(C40*F27,4)</f>
        <v>6.0000000000000001E-3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1086148452</v>
      </c>
      <c r="D49" s="127"/>
      <c r="E49" s="127"/>
      <c r="F49" s="159"/>
      <c r="G49" s="129" t="s">
        <v>1492</v>
      </c>
    </row>
    <row r="50" spans="1:7" s="153" customFormat="1">
      <c r="A50" s="150" t="s">
        <v>1493</v>
      </c>
      <c r="B50" s="105" t="s">
        <v>1494</v>
      </c>
      <c r="C50" s="127"/>
      <c r="D50" s="127"/>
      <c r="E50" s="127"/>
      <c r="F50" s="159">
        <f>IF('数据-取费表'!B24=0,'数据-取费表'!N16,1)</f>
        <v>0.85</v>
      </c>
      <c r="G50" s="142"/>
    </row>
    <row r="51" spans="1:7" ht="16.5" customHeight="1">
      <c r="A51" s="150" t="s">
        <v>1495</v>
      </c>
      <c r="B51" s="105" t="s">
        <v>1529</v>
      </c>
      <c r="C51" s="127">
        <f ca="1">ROUND(C49*F50,0)</f>
        <v>923226184</v>
      </c>
      <c r="D51" s="127"/>
      <c r="E51" s="127"/>
      <c r="F51" s="159"/>
      <c r="G51" s="129" t="s">
        <v>1496</v>
      </c>
    </row>
    <row r="52" spans="1:7" s="103" customFormat="1" ht="16.5" thickBot="1">
      <c r="A52" s="160" t="s">
        <v>1497</v>
      </c>
      <c r="B52" s="161"/>
      <c r="C52" s="162">
        <f ca="1">C31+C51</f>
        <v>1007885141</v>
      </c>
      <c r="D52" s="161"/>
      <c r="E52" s="161"/>
      <c r="F52" s="161"/>
      <c r="G52" s="163"/>
    </row>
    <row r="55" spans="1:7" ht="15">
      <c r="B55" s="165" t="s">
        <v>1498</v>
      </c>
      <c r="C55" s="166"/>
    </row>
    <row r="56" spans="1:7">
      <c r="B56" s="168" t="s">
        <v>787</v>
      </c>
      <c r="C56" s="170">
        <f ca="1">1-C57</f>
        <v>8.3999999999999964E-2</v>
      </c>
    </row>
    <row r="57" spans="1:7">
      <c r="B57" s="168" t="s">
        <v>788</v>
      </c>
      <c r="C57" s="169">
        <f ca="1">ROUND(C51/C52,3)</f>
        <v>0.91600000000000004</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85" zoomScaleNormal="85" zoomScaleSheetLayoutView="100" workbookViewId="0">
      <selection activeCell="D12" sqref="D12"/>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660</v>
      </c>
      <c r="D1" s="914" t="s">
        <v>41</v>
      </c>
      <c r="E1" s="915" t="s">
        <v>665</v>
      </c>
      <c r="F1" s="3394">
        <f ca="1">J62</f>
        <v>25.64</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f ca="1">IF(D2="含税",ROUND((C28+J31+L55)*(1+F31),0),C28+J31+L55)</f>
        <v>260302</v>
      </c>
      <c r="C2" s="932" t="s">
        <v>790</v>
      </c>
      <c r="D2" s="3305" t="s">
        <v>4484</v>
      </c>
      <c r="E2" s="937"/>
      <c r="F2" s="938"/>
      <c r="G2" s="1965"/>
      <c r="H2" s="1955"/>
      <c r="I2" s="1955"/>
      <c r="J2" s="1955"/>
      <c r="K2" s="1956"/>
      <c r="L2" s="1955"/>
      <c r="M2" s="1955"/>
    </row>
    <row r="3" spans="1:37" ht="18" customHeight="1" thickBot="1">
      <c r="A3" s="939" t="s">
        <v>791</v>
      </c>
      <c r="B3" s="2736">
        <f ca="1">IF(ISERROR(B2*10000/F32),0,ROUND(B2*10000/F32,0))</f>
        <v>21698</v>
      </c>
      <c r="C3" s="932" t="s">
        <v>792</v>
      </c>
      <c r="D3" s="932"/>
      <c r="E3" s="937"/>
      <c r="F3" s="938"/>
      <c r="G3" s="1965"/>
      <c r="H3" s="467" t="s">
        <v>860</v>
      </c>
      <c r="I3" s="933"/>
      <c r="J3" s="933"/>
      <c r="K3" s="934"/>
      <c r="L3" s="933"/>
      <c r="M3" s="933"/>
    </row>
    <row r="4" spans="1:37" s="118" customFormat="1" ht="18" customHeight="1">
      <c r="A4" s="2705" t="s">
        <v>3869</v>
      </c>
      <c r="B4" s="2706" t="s">
        <v>3870</v>
      </c>
      <c r="C4" s="3545" t="s">
        <v>3808</v>
      </c>
      <c r="D4" s="2706" t="s">
        <v>3871</v>
      </c>
      <c r="E4" s="3975" t="s">
        <v>3872</v>
      </c>
      <c r="F4" s="3976"/>
      <c r="G4" s="3977"/>
      <c r="H4" s="2705" t="s">
        <v>3869</v>
      </c>
      <c r="I4" s="2706" t="s">
        <v>3870</v>
      </c>
      <c r="J4" s="3545" t="s">
        <v>3808</v>
      </c>
      <c r="K4" s="2706" t="s">
        <v>3871</v>
      </c>
      <c r="L4" s="3975" t="s">
        <v>3872</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3395</v>
      </c>
      <c r="C5" s="4069">
        <f ca="1">ROUND(C6+C10+C12,0)</f>
        <v>16813</v>
      </c>
      <c r="D5" s="3978" t="s">
        <v>3875</v>
      </c>
      <c r="E5" s="3979"/>
      <c r="F5" s="3980"/>
      <c r="G5" s="3977"/>
      <c r="H5" s="183">
        <v>1</v>
      </c>
      <c r="I5" s="3889" t="s">
        <v>3395</v>
      </c>
      <c r="J5" s="4069">
        <f ca="1">ROUND(J6+J10+J12,0)</f>
        <v>0</v>
      </c>
      <c r="K5" s="3978" t="s">
        <v>3875</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3831">
        <f ca="1">C7-C9</f>
        <v>16792.400000000001</v>
      </c>
      <c r="D6" s="2697" t="s">
        <v>3790</v>
      </c>
      <c r="E6" s="2695" t="s">
        <v>3393</v>
      </c>
      <c r="F6" s="3010">
        <f ca="1">INDIRECT("'数据-取费表'!u"&amp;$G$1)</f>
        <v>4.93</v>
      </c>
      <c r="G6" s="935"/>
      <c r="H6" s="707" t="s">
        <v>392</v>
      </c>
      <c r="I6" s="2696" t="s">
        <v>3786</v>
      </c>
      <c r="J6" s="4063">
        <f ca="1">J7-J9</f>
        <v>0</v>
      </c>
      <c r="K6" s="2697" t="s">
        <v>3790</v>
      </c>
      <c r="L6" s="2695" t="s">
        <v>3393</v>
      </c>
      <c r="M6" s="3010">
        <f ca="1">INDIRECT("'数据-取费表'!z"&amp;$G$1)</f>
        <v>0</v>
      </c>
    </row>
    <row r="7" spans="1:37" ht="18" customHeight="1">
      <c r="A7" s="4546" t="s">
        <v>391</v>
      </c>
      <c r="B7" s="4549" t="s">
        <v>3784</v>
      </c>
      <c r="C7" s="4554">
        <f ca="1">ROUND(F6*F7*F8/10000,2)</f>
        <v>18658.22</v>
      </c>
      <c r="D7" s="4548" t="s">
        <v>3464</v>
      </c>
      <c r="E7" s="714" t="s">
        <v>682</v>
      </c>
      <c r="F7" s="2743">
        <f ca="1">IF(INDIRECT("'数据-取费表'!ah"&amp;$G$1)="",INDIRECT("'数据-取费表'!k"&amp;$G$1),INDIRECT("'数据-取费表'!ah"&amp;$G$1))</f>
        <v>103688.47</v>
      </c>
      <c r="G7" s="935"/>
      <c r="H7" s="4546" t="s">
        <v>391</v>
      </c>
      <c r="I7" s="4549" t="s">
        <v>3784</v>
      </c>
      <c r="J7" s="4551">
        <f ca="1">ROUND(M6*M8*M7/10000,2)</f>
        <v>0</v>
      </c>
      <c r="K7" s="4548" t="s">
        <v>3464</v>
      </c>
      <c r="L7" s="186" t="s">
        <v>682</v>
      </c>
      <c r="M7" s="2743">
        <f ca="1">F7</f>
        <v>103688.47</v>
      </c>
    </row>
    <row r="8" spans="1:37" ht="18" customHeight="1">
      <c r="A8" s="4547"/>
      <c r="B8" s="4550"/>
      <c r="C8" s="4554"/>
      <c r="D8" s="4548"/>
      <c r="E8" s="186" t="str">
        <f ca="1">IF(F8=1,"年",IF(F8=12,"月","天"))</f>
        <v>天</v>
      </c>
      <c r="F8" s="3395">
        <f ca="1">INDIRECT("'数据-取费表'!ai"&amp;$G$1)</f>
        <v>365</v>
      </c>
      <c r="G8" s="935"/>
      <c r="H8" s="4547"/>
      <c r="I8" s="4550"/>
      <c r="J8" s="4551"/>
      <c r="K8" s="4548"/>
      <c r="L8" s="186" t="str">
        <f ca="1">IF(M8=1,"年",IF(M8=12,"月","天"))</f>
        <v>天</v>
      </c>
      <c r="M8" s="3395">
        <f ca="1">INDIRECT("'数据-取费表'!ai"&amp;$G$1)</f>
        <v>365</v>
      </c>
    </row>
    <row r="9" spans="1:37" ht="18" customHeight="1">
      <c r="A9" s="2682" t="s">
        <v>3394</v>
      </c>
      <c r="B9" s="4062" t="s">
        <v>3785</v>
      </c>
      <c r="C9" s="4061">
        <f ca="1">ROUND(C7*F9,2)</f>
        <v>1865.82</v>
      </c>
      <c r="D9" s="2697" t="s">
        <v>3789</v>
      </c>
      <c r="E9" s="186" t="s">
        <v>684</v>
      </c>
      <c r="F9" s="2749">
        <f ca="1">INDIRECT("'数据-取费表'!w"&amp;$G$1)</f>
        <v>0.1</v>
      </c>
      <c r="G9" s="935"/>
      <c r="H9" s="2682" t="s">
        <v>3394</v>
      </c>
      <c r="I9" s="4062" t="s">
        <v>3785</v>
      </c>
      <c r="J9" s="4063">
        <f ca="1">ROUND(J7*M9,2)</f>
        <v>0</v>
      </c>
      <c r="K9" s="2697" t="s">
        <v>3789</v>
      </c>
      <c r="L9" s="197" t="s">
        <v>684</v>
      </c>
      <c r="M9" s="2811">
        <f ca="1">INDIRECT("'数据-取费表'!ab"&amp;$G$1)</f>
        <v>0</v>
      </c>
    </row>
    <row r="10" spans="1:37" ht="18" customHeight="1">
      <c r="A10" s="707" t="s">
        <v>396</v>
      </c>
      <c r="B10" s="917" t="s">
        <v>685</v>
      </c>
      <c r="C10" s="4063">
        <f ca="1">ROUND(IF(F10="押一",C6/12*F11,IF(F10="押二",C6/12*2*F11,IF(F10="押三",C6/12*3*F11,C11*F11))),2)</f>
        <v>20.99</v>
      </c>
      <c r="D10" s="59" t="s">
        <v>2019</v>
      </c>
      <c r="E10" s="197" t="s">
        <v>686</v>
      </c>
      <c r="F10" s="2745" t="s">
        <v>4485</v>
      </c>
      <c r="G10" s="935"/>
      <c r="H10" s="707" t="s">
        <v>396</v>
      </c>
      <c r="I10" s="917" t="s">
        <v>685</v>
      </c>
      <c r="J10" s="4064">
        <f ca="1">ROUND(IF(M10="押一",J6/12*M11,IF(M10="押二",J6/12*2*M11,IF(M10="押三",J6/12*3*M11,J11*M11))),2)</f>
        <v>0</v>
      </c>
      <c r="K10" s="59" t="s">
        <v>2018</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3669</v>
      </c>
      <c r="B13" s="717" t="s">
        <v>3876</v>
      </c>
      <c r="C13" s="3829">
        <f ca="1">ROUND(C14+C22+C24+C26,0)</f>
        <v>2811</v>
      </c>
      <c r="D13" s="3981" t="s">
        <v>3877</v>
      </c>
      <c r="E13" s="3982"/>
      <c r="F13" s="3980"/>
      <c r="G13" s="3977"/>
      <c r="H13" s="716" t="s">
        <v>3669</v>
      </c>
      <c r="I13" s="717" t="s">
        <v>3876</v>
      </c>
      <c r="J13" s="3829">
        <f ca="1">ROUND(J14+J22+J24+J26,0)</f>
        <v>1131</v>
      </c>
      <c r="K13" s="3983" t="s">
        <v>3878</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3960</v>
      </c>
      <c r="C14" s="4063">
        <f ca="1">ROUND(IF(AND(项目基本情况!B11="自然人",项目基本情况!B10="北京市",M56="住宅"),C6*F14,C15+C19+C20),2)</f>
        <v>2165.37</v>
      </c>
      <c r="D14" s="900" t="s">
        <v>3438</v>
      </c>
      <c r="E14" s="900" t="str">
        <f>IF(M56="非住宅","","综合税率")</f>
        <v/>
      </c>
      <c r="F14" s="3813" t="str">
        <f>IF(M56="非住宅","",IF(F6*F7*F8/12/(1+'数据-取费表'!F30)&gt;100000,4%,2.5%))</f>
        <v/>
      </c>
      <c r="G14" s="935"/>
      <c r="H14" s="658" t="s">
        <v>392</v>
      </c>
      <c r="I14" s="2695" t="s">
        <v>3960</v>
      </c>
      <c r="J14" s="4063">
        <f ca="1">ROUND(IF(AND(项目基本情况!B11="自然人",项目基本情况!B10="北京市",M56="住宅"),J6*M14/(1+'数据-取费表'!C43),J15+J19+J20),2)</f>
        <v>913.53</v>
      </c>
      <c r="K14" s="2722" t="s">
        <v>3437</v>
      </c>
      <c r="L14" s="900" t="str">
        <f>E14</f>
        <v/>
      </c>
      <c r="M14" s="3813" t="str">
        <f>IF(M56="非住宅","",IF(M6*M7*M8/12/(1+'数据-取费表'!F30)&gt;100000,4%,2.5%))</f>
        <v/>
      </c>
    </row>
    <row r="15" spans="1:37" s="946" customFormat="1" ht="18" customHeight="1">
      <c r="A15" s="2682" t="s">
        <v>3396</v>
      </c>
      <c r="B15" s="2695" t="s">
        <v>3956</v>
      </c>
      <c r="C15" s="4063">
        <f ca="1">C18</f>
        <v>146.61000000000001</v>
      </c>
      <c r="D15" s="2413" t="s">
        <v>3965</v>
      </c>
      <c r="E15" s="4066"/>
      <c r="F15" s="4098"/>
      <c r="G15" s="945"/>
      <c r="H15" s="2682" t="s">
        <v>391</v>
      </c>
      <c r="I15" s="2695" t="s">
        <v>3956</v>
      </c>
      <c r="J15" s="4063">
        <f ca="1">J18</f>
        <v>-1.95</v>
      </c>
      <c r="K15" s="2413" t="s">
        <v>3955</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702">
        <f ca="1">ROUND(C6*F16,2)</f>
        <v>1511.32</v>
      </c>
      <c r="D16" s="994" t="s">
        <v>3847</v>
      </c>
      <c r="E16" s="2703" t="s">
        <v>3399</v>
      </c>
      <c r="F16" s="2747">
        <v>0.09</v>
      </c>
      <c r="G16" s="935"/>
      <c r="H16" s="2487" t="s">
        <v>3281</v>
      </c>
      <c r="I16" s="2699" t="s">
        <v>3397</v>
      </c>
      <c r="J16" s="2702">
        <f ca="1">ROUND(J6*M16,2)</f>
        <v>0</v>
      </c>
      <c r="K16" s="3955" t="s">
        <v>3853</v>
      </c>
      <c r="L16" s="2703" t="s">
        <v>3399</v>
      </c>
      <c r="M16" s="2747">
        <v>0.09</v>
      </c>
    </row>
    <row r="17" spans="1:37" s="946" customFormat="1" ht="18" customHeight="1">
      <c r="A17" s="2487" t="s">
        <v>3282</v>
      </c>
      <c r="B17" s="2699" t="s">
        <v>3398</v>
      </c>
      <c r="C17" s="2723">
        <f ca="1">ROUND(C22*F16+((C24+C26)*F17),2)</f>
        <v>45.25</v>
      </c>
      <c r="D17" s="3954" t="s">
        <v>3848</v>
      </c>
      <c r="E17" s="2704"/>
      <c r="F17" s="2747">
        <v>0.06</v>
      </c>
      <c r="G17" s="945"/>
      <c r="H17" s="2487" t="s">
        <v>3282</v>
      </c>
      <c r="I17" s="2699" t="s">
        <v>3398</v>
      </c>
      <c r="J17" s="2723">
        <f ca="1">ROUND(J22*M16+((J24+J26)*M17),2)</f>
        <v>19.54</v>
      </c>
      <c r="K17" s="3954" t="s">
        <v>3848</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3974</v>
      </c>
      <c r="C18" s="2723">
        <f ca="1">ROUND((C16-C17)*F18,2)</f>
        <v>146.61000000000001</v>
      </c>
      <c r="D18" s="2722" t="s">
        <v>3975</v>
      </c>
      <c r="E18" s="186" t="s">
        <v>3976</v>
      </c>
      <c r="F18" s="2747">
        <f>'数据-取费表'!B44</f>
        <v>0.1</v>
      </c>
      <c r="G18" s="945"/>
      <c r="H18" s="2487" t="s">
        <v>3953</v>
      </c>
      <c r="I18" s="2699" t="s">
        <v>3952</v>
      </c>
      <c r="J18" s="2723">
        <f ca="1">ROUND((J16-J17)*M18,2)</f>
        <v>-1.95</v>
      </c>
      <c r="K18" s="2722" t="s">
        <v>3975</v>
      </c>
      <c r="L18" s="186" t="s">
        <v>3976</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3961</v>
      </c>
      <c r="C19" s="4063">
        <f ca="1">IF(AND(项目基本情况!B11="自然人",M56="住宅"),"——",IF(D19="按不含税租金收入（有效毛租金收入）计税",ROUND(C6*F19,2),IF(D19="按房产原值计税",ROUND(C51*F19*0.7,2),INDIRECT("'数据-取费表'!Aj"&amp;$G$1))))</f>
        <v>2015.09</v>
      </c>
      <c r="D19" s="2698" t="s">
        <v>4486</v>
      </c>
      <c r="E19" s="186" t="s">
        <v>697</v>
      </c>
      <c r="F19" s="2747">
        <f>IF(D19="按票据","——",IF(D19="按不含税租金收入（有效毛租金收入）计税",'数据-取费表'!B52,'数据-取费表'!B51))</f>
        <v>0.12</v>
      </c>
      <c r="G19" s="945"/>
      <c r="H19" s="2682" t="s">
        <v>393</v>
      </c>
      <c r="I19" s="2695" t="s">
        <v>3962</v>
      </c>
      <c r="J19" s="4063">
        <f ca="1">IF(K19="按不含税租金收入（有效毛租金收入）计税",ROUND(J6*M19,2),ROUND(C51*M19*0.7,2))</f>
        <v>911.81</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927" t="s">
        <v>3958</v>
      </c>
      <c r="C20" s="4064">
        <f ca="1">IF(AND(项目基本情况!B11="自然人",M56="住宅"),"——",ROUND(F20*F21/10000,2))</f>
        <v>3.67</v>
      </c>
      <c r="D20" s="207" t="s">
        <v>716</v>
      </c>
      <c r="E20" s="186" t="s">
        <v>717</v>
      </c>
      <c r="F20" s="2748">
        <f>'数据-取费表'!B53</f>
        <v>1.5</v>
      </c>
      <c r="G20" s="935"/>
      <c r="H20" s="4067" t="s">
        <v>666</v>
      </c>
      <c r="I20" s="927" t="s">
        <v>3958</v>
      </c>
      <c r="J20" s="4064">
        <f ca="1">ROUND(M20*M21/10000,2)</f>
        <v>3.67</v>
      </c>
      <c r="K20" s="207" t="s">
        <v>716</v>
      </c>
      <c r="L20" s="186" t="s">
        <v>717</v>
      </c>
      <c r="M20" s="2748">
        <f>'数据-取费表'!B53</f>
        <v>1.5</v>
      </c>
    </row>
    <row r="21" spans="1:37" s="946" customFormat="1" ht="18" customHeight="1">
      <c r="A21" s="209"/>
      <c r="B21" s="738"/>
      <c r="C21" s="4065"/>
      <c r="D21" s="210"/>
      <c r="E21" s="186" t="s">
        <v>721</v>
      </c>
      <c r="F21" s="2743">
        <f ca="1">INDIRECT("'数据-取费表'!r"&amp;$G$1)</f>
        <v>24498.84</v>
      </c>
      <c r="G21" s="945"/>
      <c r="H21" s="209"/>
      <c r="I21" s="195"/>
      <c r="J21" s="4065"/>
      <c r="K21" s="210"/>
      <c r="L21" s="186" t="s">
        <v>721</v>
      </c>
      <c r="M21" s="2743">
        <f ca="1">INDIRECT("'数据-取费表'!r"&amp;$G$1)</f>
        <v>24498.84</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36">
        <f ca="1">ROUND(C51*F22,2)</f>
        <v>217.1</v>
      </c>
      <c r="D22" s="1776" t="s">
        <v>3809</v>
      </c>
      <c r="E22" s="186" t="s">
        <v>697</v>
      </c>
      <c r="F22" s="2749">
        <f ca="1">INDIRECT("'数据-取费表'!Ak"&amp;$G$1)</f>
        <v>2E-3</v>
      </c>
      <c r="G22" s="945"/>
      <c r="H22" s="3835" t="s">
        <v>396</v>
      </c>
      <c r="I22" s="56" t="s">
        <v>723</v>
      </c>
      <c r="J22" s="3836">
        <f ca="1">ROUND(J35*M22,2)</f>
        <v>217.1</v>
      </c>
      <c r="K22" s="1776" t="s">
        <v>724</v>
      </c>
      <c r="L22" s="186" t="s">
        <v>697</v>
      </c>
      <c r="M22" s="2749">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5" t="s">
        <v>3810</v>
      </c>
      <c r="F23" s="3395">
        <f ca="1">C51</f>
        <v>108549</v>
      </c>
      <c r="G23" s="945"/>
      <c r="H23" s="209"/>
      <c r="I23" s="195"/>
      <c r="J23" s="3837"/>
      <c r="K23" s="3902"/>
      <c r="L23" s="2695" t="s">
        <v>3810</v>
      </c>
      <c r="M23" s="3395">
        <f ca="1">J35</f>
        <v>108549</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36">
        <f ca="1">ROUND(C53*F24,2)</f>
        <v>92.27</v>
      </c>
      <c r="D24" s="1776" t="s">
        <v>3435</v>
      </c>
      <c r="E24" s="186" t="s">
        <v>729</v>
      </c>
      <c r="F24" s="2749">
        <f ca="1">INDIRECT("'数据-取费表'!Al"&amp;$G$1)</f>
        <v>1E-3</v>
      </c>
      <c r="G24" s="935"/>
      <c r="H24" s="3835" t="s">
        <v>431</v>
      </c>
      <c r="I24" s="56" t="s">
        <v>727</v>
      </c>
      <c r="J24" s="3836">
        <f ca="1">ROUND(J37*M24,2)</f>
        <v>0</v>
      </c>
      <c r="K24" s="1776" t="s">
        <v>3813</v>
      </c>
      <c r="L24" s="186" t="s">
        <v>729</v>
      </c>
      <c r="M24" s="2749">
        <f ca="1">INDIRECT("'数据-取费表'!Al"&amp;$G$1)</f>
        <v>1E-3</v>
      </c>
    </row>
    <row r="25" spans="1:37" ht="18" customHeight="1">
      <c r="A25" s="209"/>
      <c r="B25" s="195"/>
      <c r="C25" s="3837"/>
      <c r="D25" s="3902"/>
      <c r="E25" s="3901" t="s">
        <v>3811</v>
      </c>
      <c r="F25" s="3395">
        <f ca="1">C53</f>
        <v>92267</v>
      </c>
      <c r="G25" s="935"/>
      <c r="H25" s="209"/>
      <c r="I25" s="195"/>
      <c r="J25" s="3837"/>
      <c r="K25" s="3902"/>
      <c r="L25" s="3901" t="s">
        <v>3811</v>
      </c>
      <c r="M25" s="3395">
        <f ca="1">J37</f>
        <v>0</v>
      </c>
    </row>
    <row r="26" spans="1:37" s="946" customFormat="1" ht="18" customHeight="1" thickBot="1">
      <c r="A26" s="726" t="s">
        <v>670</v>
      </c>
      <c r="B26" s="727" t="s">
        <v>713</v>
      </c>
      <c r="C26" s="2701">
        <f ca="1">ROUND(C5*F26,2)</f>
        <v>336.26</v>
      </c>
      <c r="D26" s="729" t="s">
        <v>3854</v>
      </c>
      <c r="E26" s="727" t="s">
        <v>729</v>
      </c>
      <c r="F26" s="2812">
        <f ca="1">INDIRECT("'数据-取费表'!Am"&amp;$G$1)</f>
        <v>0.02</v>
      </c>
      <c r="G26" s="945"/>
      <c r="H26" s="726" t="s">
        <v>670</v>
      </c>
      <c r="I26" s="727" t="s">
        <v>713</v>
      </c>
      <c r="J26" s="2701">
        <f ca="1">ROUND(J5*M26,2)</f>
        <v>0</v>
      </c>
      <c r="K26" s="729" t="s">
        <v>3856</v>
      </c>
      <c r="L26" s="727" t="s">
        <v>729</v>
      </c>
      <c r="M26" s="2812">
        <f ca="1">INDIRECT("'数据-取费表'!Am"&amp;$G$1)</f>
        <v>0.02</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29">
        <f ca="1">C5-C13</f>
        <v>14002</v>
      </c>
      <c r="D27" s="3985" t="s">
        <v>3880</v>
      </c>
      <c r="E27" s="3986"/>
      <c r="F27" s="3987"/>
      <c r="G27" s="498">
        <f ca="1">C27/C5</f>
        <v>0.83280794623208232</v>
      </c>
      <c r="H27" s="716" t="s">
        <v>3293</v>
      </c>
      <c r="I27" s="731" t="s">
        <v>3879</v>
      </c>
      <c r="J27" s="3829">
        <f ca="1">J5-J13</f>
        <v>-1131</v>
      </c>
      <c r="K27" s="3985" t="s">
        <v>3880</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4">
        <f ca="1">IF(C5&lt;&gt;0,ROUND(C27*(1-((1+F30)/(1+F28))^F29)/(F28-F30),0),0)</f>
        <v>231620</v>
      </c>
      <c r="D28" s="3989" t="s">
        <v>3882</v>
      </c>
      <c r="E28" s="2707" t="s">
        <v>3883</v>
      </c>
      <c r="F28" s="2749">
        <f ca="1">INDIRECT("'数据-取费表'!I"&amp;$G$1)</f>
        <v>5.5E-2</v>
      </c>
      <c r="G28" s="3977"/>
      <c r="H28" s="183" t="s">
        <v>3671</v>
      </c>
      <c r="I28" s="184" t="s">
        <v>3884</v>
      </c>
      <c r="J28" s="3904">
        <f ca="1">IF(J5&lt;&gt;0,ROUND(J27*(1-((1+M30)/(1+M28))^M29)/(M28-M30),0),0)</f>
        <v>0</v>
      </c>
      <c r="K28" s="3989" t="s">
        <v>3882</v>
      </c>
      <c r="L28" s="3990" t="s">
        <v>3883</v>
      </c>
      <c r="M28" s="2811">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3885</v>
      </c>
      <c r="E29" s="2707" t="s">
        <v>3886</v>
      </c>
      <c r="F29" s="2750">
        <f ca="1">IF(INDIRECT("'数据-取费表'!af"&amp;$G$1)=0,INDIRECT("'数据-取费表'!ae"&amp;$G$1),INDIRECT("'数据-取费表'!af"&amp;$G$1))</f>
        <v>25.64</v>
      </c>
      <c r="G29" s="3977"/>
      <c r="H29" s="188"/>
      <c r="I29" s="189"/>
      <c r="J29" s="3905"/>
      <c r="K29" s="64" t="s">
        <v>3887</v>
      </c>
      <c r="L29" s="2707" t="s">
        <v>3886</v>
      </c>
      <c r="M29" s="2750">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0.02</v>
      </c>
      <c r="G30" s="3977"/>
      <c r="H30" s="192"/>
      <c r="I30" s="193"/>
      <c r="J30" s="3906"/>
      <c r="K30" s="64"/>
      <c r="L30" s="2707" t="s">
        <v>3888</v>
      </c>
      <c r="M30" s="2749">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f ca="1">ROUND(C28*(1+F31),0)</f>
        <v>252466</v>
      </c>
      <c r="D31" s="3992" t="s">
        <v>3675</v>
      </c>
      <c r="E31" s="3993" t="str">
        <f>IF(D31="其他类型公式—收益价值×（1+9%）","销项税率","征收率")</f>
        <v>销项税率</v>
      </c>
      <c r="F31" s="2749">
        <f>IF(D31="其他类型公式—收益价值×（1+9%）",9%,3%)</f>
        <v>0.09</v>
      </c>
      <c r="G31" s="498"/>
      <c r="H31" s="199" t="s">
        <v>3672</v>
      </c>
      <c r="I31" s="2707" t="s">
        <v>3890</v>
      </c>
      <c r="J31" s="2725">
        <f ca="1">ROUND(J28/(1+F28)^F29,0)</f>
        <v>0</v>
      </c>
      <c r="K31" s="3898" t="s">
        <v>3803</v>
      </c>
      <c r="L31" s="2707"/>
      <c r="M31" s="2750">
        <f ca="1">INDIRECT("'数据-取费表'!k"&amp;$G$1)</f>
        <v>119963.53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f ca="1">ROUND(C31*10000/F32,0)</f>
        <v>21045</v>
      </c>
      <c r="D32" s="3994" t="s">
        <v>3891</v>
      </c>
      <c r="E32" s="217" t="s">
        <v>3892</v>
      </c>
      <c r="F32" s="2751">
        <f ca="1">INDIRECT("'数据-取费表'!k"&amp;$G$1)</f>
        <v>119963.53</v>
      </c>
      <c r="G32" s="498"/>
      <c r="H32" s="3807" t="s">
        <v>3673</v>
      </c>
      <c r="I32" s="3808" t="s">
        <v>3893</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0.16719205376791768</v>
      </c>
      <c r="G33" s="935"/>
    </row>
    <row r="34" spans="1:37" s="118" customFormat="1" ht="18" customHeight="1">
      <c r="A34" s="3970" t="s">
        <v>3869</v>
      </c>
      <c r="B34" s="3971" t="s">
        <v>3870</v>
      </c>
      <c r="C34" s="3972" t="s">
        <v>3808</v>
      </c>
      <c r="D34" s="3971" t="s">
        <v>3871</v>
      </c>
      <c r="E34" s="3973" t="s">
        <v>3872</v>
      </c>
      <c r="F34" s="3974"/>
      <c r="G34" s="3977"/>
      <c r="H34" s="3970" t="s">
        <v>3869</v>
      </c>
      <c r="I34" s="3971" t="s">
        <v>3870</v>
      </c>
      <c r="J34" s="3972" t="s">
        <v>3808</v>
      </c>
      <c r="K34" s="3971" t="s">
        <v>3871</v>
      </c>
      <c r="L34" s="3973" t="s">
        <v>3872</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3400</v>
      </c>
      <c r="B35" s="2707" t="s">
        <v>3401</v>
      </c>
      <c r="C35" s="2725">
        <f ca="1">SUM(C36:C41)</f>
        <v>79656</v>
      </c>
      <c r="D35" s="3898" t="s">
        <v>3408</v>
      </c>
      <c r="E35" s="994"/>
      <c r="F35" s="3259"/>
      <c r="G35" s="935"/>
      <c r="H35" s="3899" t="s">
        <v>3400</v>
      </c>
      <c r="I35" s="3900" t="s">
        <v>3440</v>
      </c>
      <c r="J35" s="2684">
        <f ca="1">C51</f>
        <v>108549</v>
      </c>
      <c r="K35" s="2721" t="s">
        <v>3436</v>
      </c>
      <c r="L35" s="55"/>
      <c r="M35" s="2662"/>
    </row>
    <row r="36" spans="1:37" ht="18" customHeight="1">
      <c r="A36" s="2682" t="s">
        <v>3396</v>
      </c>
      <c r="B36" s="2647" t="s">
        <v>692</v>
      </c>
      <c r="C36" s="2592">
        <f ca="1">INDIRECT("'数据-取费表'!m"&amp;$G$1)+INDIRECT("'数据-取费表'!t"&amp;$G$1)</f>
        <v>71978</v>
      </c>
      <c r="D36" s="899" t="s">
        <v>693</v>
      </c>
      <c r="E36" s="899"/>
      <c r="F36" s="215"/>
      <c r="G36" s="935"/>
      <c r="H36" s="2729" t="s">
        <v>3441</v>
      </c>
      <c r="I36" s="2734" t="s">
        <v>3428</v>
      </c>
      <c r="J36" s="2632">
        <f ca="1">ROUND(J35*(1-M36),0)</f>
        <v>108549</v>
      </c>
      <c r="K36" s="186" t="s">
        <v>3431</v>
      </c>
      <c r="L36" s="2697" t="s">
        <v>3443</v>
      </c>
      <c r="M36" s="2749">
        <f ca="1">INDIRECT("'数据-取费表'!ad"&amp;$G$1)</f>
        <v>0</v>
      </c>
    </row>
    <row r="37" spans="1:37" ht="18" customHeight="1" thickBot="1">
      <c r="A37" s="2682" t="s">
        <v>3402</v>
      </c>
      <c r="B37" s="2699" t="s">
        <v>3855</v>
      </c>
      <c r="C37" s="2684">
        <f ca="1">ROUND(C36*F37,0)</f>
        <v>3599</v>
      </c>
      <c r="D37" s="186" t="s">
        <v>696</v>
      </c>
      <c r="E37" s="186" t="s">
        <v>697</v>
      </c>
      <c r="F37" s="2747">
        <f>'数据-取费表'!B33</f>
        <v>0.05</v>
      </c>
      <c r="G37" s="935"/>
      <c r="H37" s="2730" t="s">
        <v>3442</v>
      </c>
      <c r="I37" s="3903" t="s">
        <v>3812</v>
      </c>
      <c r="J37" s="2736">
        <f ca="1">J35-J36</f>
        <v>0</v>
      </c>
      <c r="K37" s="2716" t="s">
        <v>3465</v>
      </c>
      <c r="L37" s="219"/>
      <c r="M37" s="2737"/>
    </row>
    <row r="38" spans="1:37" ht="18" customHeight="1">
      <c r="A38" s="2682" t="s">
        <v>3403</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ROUND(F39*(F32+INDIRECT("'数据-取费表'!S"&amp;$G$1))/10000,0)</f>
        <v>3359</v>
      </c>
      <c r="D39" s="186" t="s">
        <v>702</v>
      </c>
      <c r="E39" s="186" t="s">
        <v>3805</v>
      </c>
      <c r="F39" s="2748">
        <f>'数据-取费表'!B35</f>
        <v>280</v>
      </c>
      <c r="G39" s="935"/>
    </row>
    <row r="40" spans="1:37" ht="18" customHeight="1">
      <c r="A40" s="2682" t="s">
        <v>3405</v>
      </c>
      <c r="B40" s="2699" t="s">
        <v>3406</v>
      </c>
      <c r="C40" s="2684">
        <f ca="1">ROUND(C36*F40,0)</f>
        <v>720</v>
      </c>
      <c r="D40" s="186" t="s">
        <v>696</v>
      </c>
      <c r="E40" s="186" t="s">
        <v>697</v>
      </c>
      <c r="F40" s="2747">
        <f>'数据-取费表'!B36</f>
        <v>0.01</v>
      </c>
      <c r="G40" s="935"/>
      <c r="H40" s="47"/>
      <c r="I40" s="47"/>
      <c r="J40" s="47"/>
      <c r="K40" s="1860"/>
      <c r="L40" s="47"/>
      <c r="M40" s="47"/>
    </row>
    <row r="41" spans="1:37" ht="18" customHeight="1">
      <c r="A41" s="2682" t="s">
        <v>3405</v>
      </c>
      <c r="B41" s="2699" t="s">
        <v>3407</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3983</v>
      </c>
      <c r="D42" s="2708" t="s">
        <v>3417</v>
      </c>
      <c r="E42" s="2707" t="s">
        <v>3418</v>
      </c>
      <c r="F42" s="2749">
        <f>'数据-取费表'!B38</f>
        <v>0.05</v>
      </c>
      <c r="G42" s="935"/>
      <c r="H42" s="47"/>
      <c r="I42" s="47"/>
      <c r="J42" s="47"/>
      <c r="K42" s="1860"/>
      <c r="L42" s="47"/>
      <c r="M42" s="47"/>
    </row>
    <row r="43" spans="1:37" ht="18" customHeight="1">
      <c r="A43" s="199" t="s">
        <v>3419</v>
      </c>
      <c r="B43" s="2707" t="s">
        <v>3420</v>
      </c>
      <c r="C43" s="2772" t="str">
        <f>F43&amp;"V建"</f>
        <v>0.03V建</v>
      </c>
      <c r="D43" s="2708" t="s">
        <v>3806</v>
      </c>
      <c r="E43" s="2707" t="s">
        <v>3807</v>
      </c>
      <c r="F43" s="2749">
        <f>'数据-取费表'!B39</f>
        <v>0.03</v>
      </c>
      <c r="G43" s="935"/>
      <c r="H43" s="47"/>
      <c r="I43" s="47"/>
      <c r="J43" s="47"/>
      <c r="K43" s="1860"/>
      <c r="L43" s="47"/>
      <c r="M43" s="47"/>
    </row>
    <row r="44" spans="1:37" ht="18" customHeight="1">
      <c r="A44" s="199" t="s">
        <v>3423</v>
      </c>
      <c r="B44" s="2710" t="s">
        <v>3409</v>
      </c>
      <c r="C44" s="3398" t="str">
        <f ca="1">C45&amp;"+"&amp;C46&amp;"V建"</f>
        <v>4111+0.0015V建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4111</v>
      </c>
      <c r="D45" s="55" t="str">
        <f>IF(F45&lt;=1,"(建造成本+管理费用)×利率×(建设周期÷2)","(建造成本+管理费用)×((1+利率)^(建设周期÷2)-1)")</f>
        <v>(建造成本+管理费用)×((1+利率)^(建设周期÷2)-1)</v>
      </c>
      <c r="E45" s="186" t="s">
        <v>726</v>
      </c>
      <c r="F45" s="2748">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3410</v>
      </c>
      <c r="C47" s="3398" t="str">
        <f ca="1">C48&amp;"+"&amp;C49&amp;"V建"</f>
        <v>16728+0.006V建</v>
      </c>
      <c r="D47" s="2666" t="s">
        <v>3425</v>
      </c>
      <c r="E47" s="200"/>
      <c r="F47" s="2748"/>
      <c r="G47" s="935"/>
      <c r="H47" s="47"/>
      <c r="I47" s="47"/>
      <c r="J47" s="47"/>
      <c r="K47" s="1860"/>
      <c r="L47" s="47"/>
      <c r="M47" s="47"/>
    </row>
    <row r="48" spans="1:37" ht="18" customHeight="1">
      <c r="A48" s="2682" t="s">
        <v>391</v>
      </c>
      <c r="B48" s="186" t="s">
        <v>739</v>
      </c>
      <c r="C48" s="2684">
        <f ca="1">ROUND((C35+C42)*F48,0)</f>
        <v>16728</v>
      </c>
      <c r="D48" s="206" t="s">
        <v>740</v>
      </c>
      <c r="E48" s="186" t="s">
        <v>741</v>
      </c>
      <c r="F48" s="2749">
        <f ca="1">INDIRECT("'数据-取费表'!q"&amp;$G$1)</f>
        <v>0.2</v>
      </c>
      <c r="G48" s="935"/>
      <c r="H48" s="47"/>
      <c r="I48" s="47"/>
      <c r="J48" s="47"/>
      <c r="K48" s="1860"/>
      <c r="L48" s="47"/>
      <c r="M48" s="47"/>
    </row>
    <row r="49" spans="1:18" ht="18" customHeight="1">
      <c r="A49" s="2682" t="s">
        <v>393</v>
      </c>
      <c r="B49" s="186" t="s">
        <v>745</v>
      </c>
      <c r="C49" s="3399">
        <f ca="1">ROUND(F43*F48,4)</f>
        <v>6.0000000000000001E-3</v>
      </c>
      <c r="D49" s="206" t="s">
        <v>746</v>
      </c>
      <c r="E49" s="186"/>
      <c r="F49" s="2747"/>
      <c r="G49" s="935"/>
      <c r="H49" s="47"/>
      <c r="I49" s="47"/>
      <c r="J49" s="47"/>
      <c r="K49" s="1860"/>
      <c r="L49" s="47"/>
      <c r="M49" s="47"/>
    </row>
    <row r="50" spans="1:18" ht="18" customHeight="1">
      <c r="A50" s="199" t="s">
        <v>3411</v>
      </c>
      <c r="B50" s="2707" t="s">
        <v>3412</v>
      </c>
      <c r="C50" s="2725">
        <f>ROUND(F50/(1+'数据-取费表'!C43),4)</f>
        <v>0</v>
      </c>
      <c r="D50" s="3957" t="s">
        <v>3861</v>
      </c>
      <c r="E50" s="2707"/>
      <c r="F50" s="2749"/>
      <c r="G50" s="935"/>
      <c r="H50" s="47"/>
      <c r="I50" s="47"/>
      <c r="J50" s="47"/>
      <c r="K50" s="1860"/>
      <c r="L50" s="47"/>
      <c r="M50" s="47"/>
    </row>
    <row r="51" spans="1:18" s="935" customFormat="1" ht="18" customHeight="1">
      <c r="A51" s="199" t="s">
        <v>3413</v>
      </c>
      <c r="B51" s="2707" t="s">
        <v>3414</v>
      </c>
      <c r="C51" s="2725">
        <f ca="1">ROUND((C35+C42+C45+C48)/(1-F43-C46-C49-C50),0)</f>
        <v>108549</v>
      </c>
      <c r="D51" s="2721" t="s">
        <v>3436</v>
      </c>
      <c r="E51" s="2707"/>
      <c r="F51" s="2749"/>
      <c r="K51" s="951"/>
    </row>
    <row r="52" spans="1:18" s="935" customFormat="1" ht="18" customHeight="1">
      <c r="A52" s="2711" t="s">
        <v>3427</v>
      </c>
      <c r="B52" s="2710" t="s">
        <v>3428</v>
      </c>
      <c r="C52" s="2725">
        <f ca="1">ROUND(C51*(1-F52),0)</f>
        <v>16282</v>
      </c>
      <c r="D52" s="2707" t="s">
        <v>3873</v>
      </c>
      <c r="E52" s="2707" t="s">
        <v>3874</v>
      </c>
      <c r="F52" s="2749">
        <f ca="1">INDIRECT("'数据-取费表'!y"&amp;$G$1)</f>
        <v>0.85</v>
      </c>
      <c r="K52" s="951"/>
    </row>
    <row r="53" spans="1:18" s="935" customFormat="1" ht="18" customHeight="1" thickBot="1">
      <c r="A53" s="2712" t="s">
        <v>3429</v>
      </c>
      <c r="B53" s="2720" t="s">
        <v>3434</v>
      </c>
      <c r="C53" s="2736">
        <f ca="1">C51-C52</f>
        <v>92267</v>
      </c>
      <c r="D53" s="2716" t="s">
        <v>3465</v>
      </c>
      <c r="E53" s="217"/>
      <c r="F53" s="2717"/>
      <c r="K53" s="951"/>
    </row>
    <row r="54" spans="1:18" s="935" customFormat="1" ht="18" customHeight="1" thickBot="1">
      <c r="A54" s="949"/>
      <c r="B54" s="949"/>
      <c r="C54" s="950"/>
      <c r="D54" s="949"/>
      <c r="E54" s="949"/>
      <c r="F54" s="949"/>
      <c r="I54" s="2738" t="s">
        <v>3444</v>
      </c>
      <c r="J54" s="494"/>
      <c r="O54" s="1964" t="s">
        <v>793</v>
      </c>
      <c r="P54" s="1008"/>
      <c r="Q54" s="1008"/>
      <c r="R54" s="1008"/>
    </row>
    <row r="55" spans="1:18" s="935" customFormat="1" ht="13.5" thickBot="1">
      <c r="A55" s="953" t="s">
        <v>794</v>
      </c>
      <c r="C55" s="3854">
        <f ca="1">IF(D2="含税",C83-C31,C80-C28)</f>
        <v>-257068</v>
      </c>
      <c r="D55" s="955" t="str">
        <f>C2</f>
        <v>万元</v>
      </c>
      <c r="E55" s="949"/>
      <c r="F55" s="949"/>
      <c r="I55" s="956" t="s">
        <v>795</v>
      </c>
      <c r="J55" s="957"/>
      <c r="K55" s="958"/>
      <c r="L55" s="3873">
        <f ca="1">IF(M56="住宅",0,IF(L57&gt;J60,L69,J69))</f>
        <v>7189</v>
      </c>
      <c r="O55" s="4011" t="s">
        <v>1325</v>
      </c>
      <c r="P55" s="4012" t="s">
        <v>3898</v>
      </c>
      <c r="Q55" s="4013" t="s">
        <v>3899</v>
      </c>
      <c r="R55" s="4013" t="s">
        <v>3900</v>
      </c>
    </row>
    <row r="56" spans="1:18" s="935" customFormat="1" ht="13.5" thickBot="1">
      <c r="A56" s="3998" t="s">
        <v>3869</v>
      </c>
      <c r="B56" s="3999" t="s">
        <v>3870</v>
      </c>
      <c r="C56" s="3972" t="s">
        <v>3808</v>
      </c>
      <c r="D56" s="3999" t="s">
        <v>3871</v>
      </c>
      <c r="E56" s="4000" t="s">
        <v>3872</v>
      </c>
      <c r="F56" s="701"/>
      <c r="G56" s="490"/>
      <c r="I56" s="963" t="s">
        <v>800</v>
      </c>
      <c r="J56" s="964" t="s">
        <v>4487</v>
      </c>
      <c r="K56" s="965" t="s">
        <v>801</v>
      </c>
      <c r="L56" s="3874">
        <f ca="1">INDIRECT("'数据-取费表'!d"&amp;$G$1)</f>
        <v>40</v>
      </c>
      <c r="M56" s="931" t="str">
        <f>IF(ISNUMBER(FIND("住宅",C1)),"住宅","非住宅")</f>
        <v>非住宅</v>
      </c>
      <c r="O56" s="4014" t="s">
        <v>397</v>
      </c>
      <c r="P56" s="4015" t="s">
        <v>3901</v>
      </c>
      <c r="Q56" s="4017">
        <f ca="1">C28+J31</f>
        <v>231620</v>
      </c>
      <c r="R56" s="4016" t="s">
        <v>3902</v>
      </c>
    </row>
    <row r="57" spans="1:18" s="935" customFormat="1" ht="42.75" thickBot="1">
      <c r="A57" s="653" t="s">
        <v>432</v>
      </c>
      <c r="B57" s="184" t="s">
        <v>3894</v>
      </c>
      <c r="C57" s="4001">
        <f ca="1">ROUND(C58+C62+C64,0)</f>
        <v>0</v>
      </c>
      <c r="D57" s="3978" t="s">
        <v>3895</v>
      </c>
      <c r="E57" s="4002"/>
      <c r="F57" s="638"/>
      <c r="G57" s="490"/>
      <c r="H57" s="491"/>
      <c r="I57" s="970" t="s">
        <v>804</v>
      </c>
      <c r="J57" s="971" t="s">
        <v>4488</v>
      </c>
      <c r="K57" s="972" t="s">
        <v>805</v>
      </c>
      <c r="L57" s="3863">
        <f ca="1">INDIRECT("'数据-取费表'!f"&amp;$G$1)</f>
        <v>25.64</v>
      </c>
      <c r="O57" s="4014" t="s">
        <v>398</v>
      </c>
      <c r="P57" s="4015" t="s">
        <v>3903</v>
      </c>
      <c r="Q57" s="4017">
        <f ca="1">J69</f>
        <v>7189</v>
      </c>
      <c r="R57" s="4016" t="s">
        <v>3904</v>
      </c>
    </row>
    <row r="58" spans="1:18" s="935" customFormat="1" ht="15.75" thickBot="1">
      <c r="A58" s="3840" t="s">
        <v>3795</v>
      </c>
      <c r="B58" s="2696" t="s">
        <v>3786</v>
      </c>
      <c r="C58" s="3832">
        <f ca="1">C59-C61</f>
        <v>0</v>
      </c>
      <c r="D58" s="2697" t="s">
        <v>3790</v>
      </c>
      <c r="E58" s="2719" t="s">
        <v>3433</v>
      </c>
      <c r="F58" s="3400"/>
      <c r="H58" s="491"/>
      <c r="I58" s="970" t="s">
        <v>808</v>
      </c>
      <c r="J58" s="3861">
        <v>2017</v>
      </c>
      <c r="K58" s="972" t="s">
        <v>809</v>
      </c>
      <c r="L58" s="3875"/>
      <c r="O58" s="976" t="s">
        <v>399</v>
      </c>
      <c r="P58" s="968" t="s">
        <v>810</v>
      </c>
      <c r="Q58" s="3415">
        <f ca="1">C51</f>
        <v>108549</v>
      </c>
      <c r="R58" s="969" t="s">
        <v>803</v>
      </c>
    </row>
    <row r="59" spans="1:18" s="935" customFormat="1" ht="13.5" thickBot="1">
      <c r="A59" s="3847" t="s">
        <v>3396</v>
      </c>
      <c r="B59" s="4555" t="s">
        <v>3784</v>
      </c>
      <c r="C59" s="4556">
        <f ca="1">ROUND(F58*F60*F59/10000,2)</f>
        <v>0</v>
      </c>
      <c r="D59" s="4548" t="s">
        <v>3464</v>
      </c>
      <c r="E59" s="698" t="s">
        <v>682</v>
      </c>
      <c r="F59" s="2742">
        <f ca="1">F7</f>
        <v>103688.47</v>
      </c>
      <c r="H59" s="491"/>
      <c r="I59" s="970" t="s">
        <v>811</v>
      </c>
      <c r="J59" s="3862">
        <f>SUMPRODUCT((I72:I74=J56)*(J71:L71=J57)*(J72:L74))</f>
        <v>60</v>
      </c>
      <c r="K59" s="972" t="s">
        <v>812</v>
      </c>
      <c r="L59" s="3875"/>
      <c r="M59" s="978"/>
      <c r="O59" s="976" t="s">
        <v>400</v>
      </c>
      <c r="P59" s="968" t="s">
        <v>813</v>
      </c>
      <c r="Q59" s="3412">
        <f ca="1">J67</f>
        <v>0.42299999999999999</v>
      </c>
      <c r="R59" s="969"/>
    </row>
    <row r="60" spans="1:18" s="935" customFormat="1" ht="13.5" thickBot="1">
      <c r="A60" s="3848"/>
      <c r="B60" s="4555"/>
      <c r="C60" s="4557"/>
      <c r="D60" s="4548"/>
      <c r="E60" s="657" t="str">
        <f ca="1">IF(F60=1,"年",IF(F60=12,"月","天"))</f>
        <v>天</v>
      </c>
      <c r="F60" s="3395">
        <f ca="1">F8</f>
        <v>365</v>
      </c>
      <c r="I60" s="980" t="s">
        <v>814</v>
      </c>
      <c r="J60" s="3863">
        <f>IF(J58="",J59,J58+J59-YEAR('数据-取费表'!B2))</f>
        <v>51</v>
      </c>
      <c r="K60" s="981" t="s">
        <v>815</v>
      </c>
      <c r="L60" s="3852">
        <f ca="1">ROUND(-PV(INDIRECT("'数据-取费表'!h"&amp;$G$1),J60,(C27-C52*C88),0),0)</f>
        <v>235881</v>
      </c>
      <c r="M60" s="983"/>
      <c r="O60" s="976" t="s">
        <v>401</v>
      </c>
      <c r="P60" s="968" t="s">
        <v>816</v>
      </c>
      <c r="Q60" s="3412">
        <f>J61</f>
        <v>7.4999999999999997E-2</v>
      </c>
      <c r="R60" s="969"/>
    </row>
    <row r="61" spans="1:18" s="935" customFormat="1" ht="13.5" thickBot="1">
      <c r="A61" s="3849" t="s">
        <v>3394</v>
      </c>
      <c r="B61" s="3548" t="s">
        <v>3785</v>
      </c>
      <c r="C61" s="3833">
        <f ca="1">ROUND(C59*F61,2)</f>
        <v>0</v>
      </c>
      <c r="D61" s="2697" t="s">
        <v>3789</v>
      </c>
      <c r="E61" s="657" t="s">
        <v>684</v>
      </c>
      <c r="F61" s="2744"/>
      <c r="I61" s="984" t="s">
        <v>817</v>
      </c>
      <c r="J61" s="3864">
        <v>7.4999999999999997E-2</v>
      </c>
      <c r="K61" s="984" t="s">
        <v>818</v>
      </c>
      <c r="L61" s="3864"/>
      <c r="O61" s="976" t="s">
        <v>402</v>
      </c>
      <c r="P61" s="968" t="s">
        <v>819</v>
      </c>
      <c r="Q61" s="3411">
        <f ca="1">J62</f>
        <v>25.64</v>
      </c>
      <c r="R61" s="969" t="s">
        <v>820</v>
      </c>
    </row>
    <row r="62" spans="1:18" s="935" customFormat="1" ht="25.5" thickBot="1">
      <c r="A62" s="3850" t="s">
        <v>3441</v>
      </c>
      <c r="B62" s="924" t="s">
        <v>685</v>
      </c>
      <c r="C62" s="4063">
        <f ca="1">ROUND(IF(F62="押一",C58/12*F11,IF(F62="押二",C58/12*2*F11,IF(F62="押三",C58/12*3*F11,C63*F11))),2)</f>
        <v>0</v>
      </c>
      <c r="D62" s="59" t="s">
        <v>2018</v>
      </c>
      <c r="E62" s="197" t="s">
        <v>686</v>
      </c>
      <c r="F62" s="3401"/>
      <c r="I62" s="986" t="s">
        <v>821</v>
      </c>
      <c r="J62" s="3865">
        <f ca="1">IF(M56="住宅",IF(D1="——",MAX(J60,L57),MAX(J60,L57-'数据-取费表'!B24)),IF(D1="——",MIN(J60,L57),MIN(J60,L57-'数据-取费表'!B24)))</f>
        <v>25.64</v>
      </c>
      <c r="K62" s="4552" t="s">
        <v>822</v>
      </c>
      <c r="L62" s="4553"/>
      <c r="O62" s="4014" t="s">
        <v>403</v>
      </c>
      <c r="P62" s="4018" t="s">
        <v>3908</v>
      </c>
      <c r="Q62" s="4017">
        <f ca="1">ROUND((Q56+Q57)*(1+F31),0)</f>
        <v>260302</v>
      </c>
      <c r="R62" s="4016" t="s">
        <v>3909</v>
      </c>
    </row>
    <row r="63" spans="1:18" s="935" customFormat="1" ht="13.5" thickBot="1">
      <c r="A63" s="3841"/>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824</v>
      </c>
      <c r="P63" s="932"/>
      <c r="Q63" s="932"/>
      <c r="R63" s="932"/>
    </row>
    <row r="64" spans="1:18" s="935" customFormat="1" ht="13.5" thickBot="1">
      <c r="A64" s="3842" t="s">
        <v>3796</v>
      </c>
      <c r="B64" s="920" t="s">
        <v>688</v>
      </c>
      <c r="C64" s="3830"/>
      <c r="D64" s="59"/>
      <c r="E64" s="925"/>
      <c r="F64" s="987"/>
      <c r="I64" s="990" t="s">
        <v>825</v>
      </c>
      <c r="J64" s="3867">
        <f ca="1">ROUND(IF(J56="钢混",J66/J59,1-(1-2%)*(J59-J66)/J59),3)</f>
        <v>0.42299999999999999</v>
      </c>
      <c r="K64" s="992" t="s">
        <v>826</v>
      </c>
      <c r="L64" s="993"/>
      <c r="O64" s="4011" t="s">
        <v>1325</v>
      </c>
      <c r="P64" s="4012" t="s">
        <v>3898</v>
      </c>
      <c r="Q64" s="4013" t="s">
        <v>3899</v>
      </c>
      <c r="R64" s="4013" t="s">
        <v>3900</v>
      </c>
    </row>
    <row r="65" spans="1:18" s="935" customFormat="1" ht="25.5" thickTop="1" thickBot="1">
      <c r="A65" s="199" t="s">
        <v>3669</v>
      </c>
      <c r="B65" s="634" t="s">
        <v>3876</v>
      </c>
      <c r="C65" s="2725">
        <f ca="1">ROUND(C66+C74+C76+C78,0)</f>
        <v>311</v>
      </c>
      <c r="D65" s="634" t="s">
        <v>3896</v>
      </c>
      <c r="E65" s="637"/>
      <c r="F65" s="638"/>
      <c r="I65" s="996" t="s">
        <v>827</v>
      </c>
      <c r="J65" s="3868" t="s">
        <v>4489</v>
      </c>
      <c r="K65" s="970" t="s">
        <v>828</v>
      </c>
      <c r="L65" s="3863" t="str">
        <f ca="1">IF(L57&lt;J60,"——",L57-J62)</f>
        <v>——</v>
      </c>
      <c r="O65" s="4014" t="s">
        <v>397</v>
      </c>
      <c r="P65" s="4015" t="s">
        <v>3901</v>
      </c>
      <c r="Q65" s="4017">
        <f ca="1">C28+J31</f>
        <v>231620</v>
      </c>
      <c r="R65" s="4016" t="s">
        <v>3902</v>
      </c>
    </row>
    <row r="66" spans="1:18" s="935" customFormat="1" ht="24.75" thickBot="1">
      <c r="A66" s="519" t="s">
        <v>392</v>
      </c>
      <c r="B66" s="2677" t="s">
        <v>3960</v>
      </c>
      <c r="C66" s="4063">
        <f ca="1">ROUND(IF(AND(项目基本情况!B11="自然人",项目基本情况!B10="北京市",M56="住宅"),C58*F66,C67+C71+C72),2)</f>
        <v>1.1599999999999999</v>
      </c>
      <c r="D66" s="639" t="s">
        <v>3438</v>
      </c>
      <c r="E66" s="639" t="str">
        <f>E14</f>
        <v/>
      </c>
      <c r="F66" s="3813" t="str">
        <f>IF(M56="非住宅","",IF(F58*F59*F60/12/(1+'数据-取费表'!F30)&gt;100000,4%,2.5%))</f>
        <v/>
      </c>
      <c r="I66" s="1002" t="s">
        <v>829</v>
      </c>
      <c r="J66" s="3869">
        <f ca="1">IF(OR(M56="住宅",J60&lt;L57,J65="是"),"——",J60-L57)</f>
        <v>25.36</v>
      </c>
      <c r="K66" s="970" t="s">
        <v>830</v>
      </c>
      <c r="L66" s="3876" t="str">
        <f ca="1">IF(L57&lt;J60,"——",IF(L64="比较法",L58,IF(L64="基准地价",L59,L60)))</f>
        <v>——</v>
      </c>
      <c r="O66" s="4014" t="s">
        <v>398</v>
      </c>
      <c r="P66" s="4015" t="s">
        <v>3905</v>
      </c>
      <c r="Q66" s="4019">
        <f ca="1">L69</f>
        <v>0</v>
      </c>
      <c r="R66" s="4016" t="s">
        <v>3906</v>
      </c>
    </row>
    <row r="67" spans="1:18" s="935" customFormat="1" ht="24.75" thickBot="1">
      <c r="A67" s="4067" t="s">
        <v>391</v>
      </c>
      <c r="B67" s="2695" t="s">
        <v>3956</v>
      </c>
      <c r="C67" s="4063">
        <f ca="1">C70</f>
        <v>-2.5099999999999998</v>
      </c>
      <c r="D67" s="2413" t="s">
        <v>3955</v>
      </c>
      <c r="E67" s="4066"/>
      <c r="F67" s="4098"/>
      <c r="I67" s="1002" t="s">
        <v>832</v>
      </c>
      <c r="J67" s="3870">
        <f ca="1">IF(J64&lt;0.4,0.4,J64)</f>
        <v>0.42299999999999999</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4063">
        <f ca="1">ROUND(C58*F68,2)</f>
        <v>0</v>
      </c>
      <c r="D68" s="994" t="s">
        <v>3859</v>
      </c>
      <c r="E68" s="2703" t="s">
        <v>3399</v>
      </c>
      <c r="F68" s="2747">
        <f>F16</f>
        <v>0.09</v>
      </c>
      <c r="I68" s="1002" t="s">
        <v>835</v>
      </c>
      <c r="J68" s="3871">
        <f ca="1">IF(OR(M56="住宅",J60&lt;L57,J65="是"),"——",ROUND(C51*J67,0))</f>
        <v>45916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4063">
        <f ca="1">ROUND(C74*F68+((C76+C78)*F69),2)</f>
        <v>25.08</v>
      </c>
      <c r="D69" s="3954" t="s">
        <v>3860</v>
      </c>
      <c r="E69" s="2704"/>
      <c r="F69" s="2747">
        <f t="shared" ref="F69" si="0">F17</f>
        <v>0.06</v>
      </c>
      <c r="I69" s="1005" t="s">
        <v>837</v>
      </c>
      <c r="J69" s="3872">
        <f ca="1">IF(OR(M56="住宅",J60&lt;L57,J65="是"),"0",ROUND(J68/(1+J61)^J62,0))</f>
        <v>7189</v>
      </c>
      <c r="K69" s="1007" t="s">
        <v>838</v>
      </c>
      <c r="L69" s="3872">
        <f ca="1">IF(OR(M56="住宅",L57&lt;J60),0,ROUND(L66*(L67/L68-1),0))</f>
        <v>0</v>
      </c>
      <c r="O69" s="976" t="s">
        <v>401</v>
      </c>
      <c r="P69" s="968" t="s">
        <v>839</v>
      </c>
      <c r="Q69" s="3414" t="e">
        <f ca="1">L67</f>
        <v>#DIV/0!</v>
      </c>
      <c r="R69" s="969" t="s">
        <v>840</v>
      </c>
    </row>
    <row r="70" spans="1:18" s="935" customFormat="1" ht="13.5" thickBot="1">
      <c r="A70" s="2487" t="s">
        <v>3953</v>
      </c>
      <c r="B70" s="2699" t="s">
        <v>3952</v>
      </c>
      <c r="C70" s="4063">
        <f ca="1">ROUND((C68-C69)*F70,2)</f>
        <v>-2.5099999999999998</v>
      </c>
      <c r="D70" s="2722" t="s">
        <v>3975</v>
      </c>
      <c r="E70" s="186" t="s">
        <v>3976</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3" t="s">
        <v>766</v>
      </c>
      <c r="B71" s="2677" t="s">
        <v>3963</v>
      </c>
      <c r="C71" s="4063">
        <f ca="1">IF(项目基本情况!B11="自然人","——",IF(D71="按不含税租金收入（有效毛租金收入）计税",ROUND(C58*F71/(1+'数据-取费表'!C43),2),IF(D71="按房产原值计税",ROUND(F74*F71*0.7,2),INDIRECT("'数据-取费表'!Aj"&amp;$G$1))))</f>
        <v>0</v>
      </c>
      <c r="D71" s="921"/>
      <c r="E71" s="626" t="s">
        <v>768</v>
      </c>
      <c r="F71" s="2747">
        <f t="shared" ref="F71:F73" si="1">F19</f>
        <v>0.12</v>
      </c>
      <c r="I71" s="1009" t="s">
        <v>842</v>
      </c>
      <c r="J71" s="1010" t="s">
        <v>843</v>
      </c>
      <c r="K71" s="1010" t="s">
        <v>844</v>
      </c>
      <c r="L71" s="1010" t="s">
        <v>845</v>
      </c>
      <c r="M71" s="1011" t="s">
        <v>846</v>
      </c>
      <c r="O71" s="4014" t="s">
        <v>403</v>
      </c>
      <c r="P71" s="4018" t="s">
        <v>3908</v>
      </c>
      <c r="Q71" s="4019">
        <f ca="1">ROUND((Q65+Q66)*(1+F31),0)</f>
        <v>252466</v>
      </c>
      <c r="R71" s="4016" t="s">
        <v>3909</v>
      </c>
    </row>
    <row r="72" spans="1:18" s="935" customFormat="1" ht="13.5" thickBot="1">
      <c r="A72" s="4067" t="s">
        <v>769</v>
      </c>
      <c r="B72" s="4059" t="s">
        <v>3958</v>
      </c>
      <c r="C72" s="4064">
        <f ca="1">IF(项目基本情况!B11="自然人","——",ROUND(F72*F73/10000,2))</f>
        <v>3.67</v>
      </c>
      <c r="D72" s="641" t="s">
        <v>771</v>
      </c>
      <c r="E72" s="626" t="s">
        <v>772</v>
      </c>
      <c r="F72" s="3402">
        <f t="shared" si="1"/>
        <v>1.5</v>
      </c>
      <c r="I72" s="1009" t="s">
        <v>848</v>
      </c>
      <c r="J72" s="223">
        <v>70</v>
      </c>
      <c r="K72" s="223">
        <v>50</v>
      </c>
      <c r="L72" s="223">
        <v>80</v>
      </c>
      <c r="M72" s="1012">
        <v>0.02</v>
      </c>
      <c r="O72" s="952" t="s">
        <v>849</v>
      </c>
      <c r="P72" s="932"/>
      <c r="Q72" s="932"/>
      <c r="R72" s="932"/>
    </row>
    <row r="73" spans="1:18" s="935" customFormat="1" ht="13.5" thickBot="1">
      <c r="A73" s="209"/>
      <c r="B73" s="3834"/>
      <c r="C73" s="4065"/>
      <c r="D73" s="642"/>
      <c r="E73" s="626" t="s">
        <v>773</v>
      </c>
      <c r="F73" s="3010">
        <f t="shared" ca="1" si="1"/>
        <v>24498.84</v>
      </c>
      <c r="I73" s="1009" t="s">
        <v>850</v>
      </c>
      <c r="J73" s="223">
        <v>50</v>
      </c>
      <c r="K73" s="223">
        <v>35</v>
      </c>
      <c r="L73" s="223">
        <v>60</v>
      </c>
      <c r="M73" s="1011">
        <v>0</v>
      </c>
      <c r="O73" s="960" t="s">
        <v>796</v>
      </c>
      <c r="P73" s="961" t="s">
        <v>797</v>
      </c>
      <c r="Q73" s="962" t="s">
        <v>798</v>
      </c>
      <c r="R73" s="962" t="s">
        <v>799</v>
      </c>
    </row>
    <row r="74" spans="1:18" s="935" customFormat="1" ht="13.5" thickBot="1">
      <c r="A74" s="3844" t="s">
        <v>774</v>
      </c>
      <c r="B74" s="625" t="s">
        <v>775</v>
      </c>
      <c r="C74" s="3836">
        <f ca="1">ROUND(F74*F75,2)</f>
        <v>217.1</v>
      </c>
      <c r="D74" s="3838" t="s">
        <v>3432</v>
      </c>
      <c r="E74" s="3851" t="s">
        <v>3791</v>
      </c>
      <c r="F74" s="3852">
        <f ca="1">C51</f>
        <v>108549</v>
      </c>
      <c r="I74" s="1009" t="s">
        <v>851</v>
      </c>
      <c r="J74" s="223">
        <v>40</v>
      </c>
      <c r="K74" s="223">
        <v>30</v>
      </c>
      <c r="L74" s="223">
        <v>50</v>
      </c>
      <c r="M74" s="1012">
        <v>0.02</v>
      </c>
      <c r="O74" s="4014" t="s">
        <v>397</v>
      </c>
      <c r="P74" s="4015" t="s">
        <v>3901</v>
      </c>
      <c r="Q74" s="4017">
        <f ca="1">C28+J31</f>
        <v>231620</v>
      </c>
      <c r="R74" s="4016" t="s">
        <v>3902</v>
      </c>
    </row>
    <row r="75" spans="1:18" s="935" customFormat="1" ht="15" thickBot="1">
      <c r="A75" s="3845"/>
      <c r="B75" s="632"/>
      <c r="C75" s="3837"/>
      <c r="D75" s="3839"/>
      <c r="E75" s="626" t="s">
        <v>768</v>
      </c>
      <c r="F75" s="2749">
        <f ca="1">F22</f>
        <v>2E-3</v>
      </c>
      <c r="O75" s="4014" t="s">
        <v>398</v>
      </c>
      <c r="P75" s="4015" t="s">
        <v>3905</v>
      </c>
      <c r="Q75" s="4019">
        <f ca="1">L69</f>
        <v>0</v>
      </c>
      <c r="R75" s="4016" t="s">
        <v>3907</v>
      </c>
    </row>
    <row r="76" spans="1:18" s="935" customFormat="1" ht="13.5" thickBot="1">
      <c r="A76" s="3844" t="s">
        <v>777</v>
      </c>
      <c r="B76" s="625" t="s">
        <v>727</v>
      </c>
      <c r="C76" s="3836">
        <f ca="1">ROUND(F76*F77,2)</f>
        <v>92.27</v>
      </c>
      <c r="D76" s="3838" t="s">
        <v>3435</v>
      </c>
      <c r="E76" s="3851" t="s">
        <v>3792</v>
      </c>
      <c r="F76" s="3853">
        <f ca="1">C53</f>
        <v>92267</v>
      </c>
      <c r="O76" s="967"/>
      <c r="P76" s="968"/>
      <c r="Q76" s="3411"/>
      <c r="R76" s="969"/>
    </row>
    <row r="77" spans="1:18" s="935" customFormat="1" ht="16.5" thickBot="1">
      <c r="A77" s="3846"/>
      <c r="B77" s="632"/>
      <c r="C77" s="3837"/>
      <c r="D77" s="3839"/>
      <c r="E77" s="626" t="s">
        <v>729</v>
      </c>
      <c r="F77" s="2749">
        <f ca="1">F24</f>
        <v>1E-3</v>
      </c>
      <c r="O77" s="976" t="s">
        <v>399</v>
      </c>
      <c r="P77" s="968" t="s">
        <v>834</v>
      </c>
      <c r="Q77" s="3415">
        <f ca="1">L60</f>
        <v>235881</v>
      </c>
      <c r="R77" s="969" t="s">
        <v>854</v>
      </c>
    </row>
    <row r="78" spans="1:18" s="935" customFormat="1" ht="13.5" thickBot="1">
      <c r="A78" s="3846" t="s">
        <v>778</v>
      </c>
      <c r="B78" s="626" t="s">
        <v>713</v>
      </c>
      <c r="C78" s="4063">
        <f ca="1">ROUND(C57*F78,2)</f>
        <v>0</v>
      </c>
      <c r="D78" s="640" t="s">
        <v>3857</v>
      </c>
      <c r="E78" s="626" t="s">
        <v>697</v>
      </c>
      <c r="F78" s="2749">
        <f ca="1">F26</f>
        <v>0.02</v>
      </c>
      <c r="O78" s="976"/>
      <c r="P78" s="968"/>
      <c r="Q78" s="3415"/>
      <c r="R78" s="969"/>
    </row>
    <row r="79" spans="1:18" s="935" customFormat="1" ht="16.5" thickBot="1">
      <c r="A79" s="633" t="s">
        <v>3793</v>
      </c>
      <c r="B79" s="643" t="s">
        <v>737</v>
      </c>
      <c r="C79" s="2725">
        <f ca="1">C57-C65</f>
        <v>-311</v>
      </c>
      <c r="D79" s="643" t="s">
        <v>3897</v>
      </c>
      <c r="E79" s="4003"/>
      <c r="F79" s="4004"/>
      <c r="O79" s="976" t="s">
        <v>400</v>
      </c>
      <c r="P79" s="1014" t="s">
        <v>855</v>
      </c>
      <c r="Q79" s="3415">
        <f ca="1">ROUND(Q80-Q81*Q82,0)</f>
        <v>12862</v>
      </c>
      <c r="R79" s="969" t="s">
        <v>408</v>
      </c>
    </row>
    <row r="80" spans="1:18" s="935" customFormat="1" ht="13.5" thickBot="1">
      <c r="A80" s="3183" t="s">
        <v>3794</v>
      </c>
      <c r="B80" s="624" t="s">
        <v>759</v>
      </c>
      <c r="C80" s="3888">
        <f ca="1">ROUND(C79*(1-((1+F82)/(1+F80))^F81)/(F80-F82),0)</f>
        <v>-4222</v>
      </c>
      <c r="D80" s="4005" t="s">
        <v>3882</v>
      </c>
      <c r="E80" s="634" t="s">
        <v>3883</v>
      </c>
      <c r="F80" s="2749">
        <f ca="1">F28</f>
        <v>5.5E-2</v>
      </c>
      <c r="O80" s="976" t="s">
        <v>405</v>
      </c>
      <c r="P80" s="1014" t="s">
        <v>856</v>
      </c>
      <c r="Q80" s="3415">
        <f ca="1">C27</f>
        <v>14002</v>
      </c>
      <c r="R80" s="969" t="s">
        <v>803</v>
      </c>
    </row>
    <row r="81" spans="1:18" s="935" customFormat="1" ht="13.5" thickBot="1">
      <c r="A81" s="3184"/>
      <c r="B81" s="628"/>
      <c r="C81" s="4069"/>
      <c r="D81" s="4006" t="s">
        <v>3887</v>
      </c>
      <c r="E81" s="634" t="s">
        <v>3886</v>
      </c>
      <c r="F81" s="2750">
        <f ca="1">F29</f>
        <v>25.64</v>
      </c>
      <c r="O81" s="976" t="s">
        <v>406</v>
      </c>
      <c r="P81" s="1014" t="s">
        <v>857</v>
      </c>
      <c r="Q81" s="3415">
        <f ca="1">C52</f>
        <v>16282</v>
      </c>
      <c r="R81" s="969" t="s">
        <v>803</v>
      </c>
    </row>
    <row r="82" spans="1:18" s="935" customFormat="1" ht="13.5" thickBot="1">
      <c r="A82" s="3185"/>
      <c r="B82" s="2765"/>
      <c r="C82" s="2765"/>
      <c r="D82" s="4007"/>
      <c r="E82" s="634" t="s">
        <v>3888</v>
      </c>
      <c r="F82" s="2744"/>
      <c r="O82" s="976" t="s">
        <v>407</v>
      </c>
      <c r="P82" s="1014" t="s">
        <v>858</v>
      </c>
      <c r="Q82" s="3412">
        <f ca="1">C88</f>
        <v>7.0000000000000007E-2</v>
      </c>
      <c r="R82" s="969"/>
    </row>
    <row r="83" spans="1:18" s="935" customFormat="1" ht="13.5" thickBot="1">
      <c r="A83" s="630" t="s">
        <v>3797</v>
      </c>
      <c r="B83" s="2724" t="s">
        <v>3439</v>
      </c>
      <c r="C83" s="3829">
        <f ca="1">ROUND(C80*(1+F31),0)</f>
        <v>-4602</v>
      </c>
      <c r="D83" s="4008" t="str">
        <f>D31</f>
        <v>其他类型公式—收益价值×（1+9%）</v>
      </c>
      <c r="E83" s="1018"/>
      <c r="F83" s="4009"/>
      <c r="O83" s="976" t="s">
        <v>401</v>
      </c>
      <c r="P83" s="968" t="s">
        <v>836</v>
      </c>
      <c r="Q83" s="3412">
        <f>L61</f>
        <v>0</v>
      </c>
      <c r="R83" s="969"/>
    </row>
    <row r="84" spans="1:18" ht="16.5" thickBot="1">
      <c r="A84" s="647" t="s">
        <v>390</v>
      </c>
      <c r="B84" s="648" t="s">
        <v>761</v>
      </c>
      <c r="C84" s="2736">
        <f ca="1">ROUND(C83*10000/F84,0)</f>
        <v>-384</v>
      </c>
      <c r="D84" s="4010" t="s">
        <v>3891</v>
      </c>
      <c r="E84" s="648" t="s">
        <v>3892</v>
      </c>
      <c r="F84" s="2751">
        <f ca="1">F32</f>
        <v>119963.53</v>
      </c>
      <c r="G84" s="935"/>
      <c r="H84" s="935"/>
      <c r="O84" s="976" t="s">
        <v>402</v>
      </c>
      <c r="P84" s="968" t="s">
        <v>839</v>
      </c>
      <c r="Q84" s="4020" t="e">
        <f ca="1">L67</f>
        <v>#DIV/0!</v>
      </c>
      <c r="R84" s="969" t="s">
        <v>840</v>
      </c>
    </row>
    <row r="85" spans="1:18" ht="13.5" thickBot="1">
      <c r="A85" s="935"/>
      <c r="B85" s="494"/>
      <c r="C85" s="494"/>
      <c r="D85" s="935"/>
      <c r="E85" s="935"/>
      <c r="F85" s="935"/>
      <c r="O85" s="976" t="s">
        <v>409</v>
      </c>
      <c r="P85" s="968" t="str">
        <f>K68</f>
        <v>建筑物剩余耐用年限下的土地年期修正系数Kn</v>
      </c>
      <c r="Q85" s="4020" t="e">
        <f ca="1">L68</f>
        <v>#DIV/0!</v>
      </c>
      <c r="R85" s="969" t="s">
        <v>841</v>
      </c>
    </row>
    <row r="86" spans="1:18" ht="25.5" thickBot="1">
      <c r="A86" s="935"/>
      <c r="B86" s="168" t="s">
        <v>859</v>
      </c>
      <c r="C86" s="1016"/>
      <c r="D86" s="935"/>
      <c r="E86" s="935"/>
      <c r="F86" s="935"/>
      <c r="K86" s="951"/>
      <c r="L86" s="935"/>
      <c r="O86" s="4014" t="s">
        <v>403</v>
      </c>
      <c r="P86" s="4018" t="s">
        <v>3908</v>
      </c>
      <c r="Q86" s="4017">
        <f ca="1">ROUND((Q74+Q75)*(1+F31),0)</f>
        <v>252466</v>
      </c>
      <c r="R86" s="4016" t="s">
        <v>3909</v>
      </c>
    </row>
    <row r="87" spans="1:18">
      <c r="A87" s="935"/>
      <c r="B87" s="222" t="s">
        <v>780</v>
      </c>
      <c r="C87" s="2813">
        <f ca="1">ROUND(C53*C88,0)</f>
        <v>6459</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0.53899999999999992</v>
      </c>
    </row>
    <row r="92" spans="1:18">
      <c r="B92" s="222" t="s">
        <v>785</v>
      </c>
      <c r="C92" s="2814">
        <f ca="1">ROUND(C87/C27,3)</f>
        <v>0.46100000000000002</v>
      </c>
    </row>
    <row r="93" spans="1:18">
      <c r="B93" s="165" t="s">
        <v>786</v>
      </c>
      <c r="C93" s="133"/>
    </row>
    <row r="94" spans="1:18">
      <c r="B94" s="168" t="s">
        <v>787</v>
      </c>
      <c r="C94" s="2815">
        <f ca="1">1-C95</f>
        <v>0.61399999999999999</v>
      </c>
    </row>
    <row r="95" spans="1:18">
      <c r="B95" s="168" t="s">
        <v>788</v>
      </c>
      <c r="C95" s="2814">
        <f ca="1">ROUND(C53/(C28+J31+L55),3)</f>
        <v>0.38600000000000001</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25" zoomScaleNormal="100" zoomScaleSheetLayoutView="100" workbookViewId="0">
      <selection activeCell="C1" sqref="C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c r="E1" s="915" t="s">
        <v>665</v>
      </c>
      <c r="F1" s="704">
        <f ca="1">J62</f>
        <v>0</v>
      </c>
      <c r="G1" s="929">
        <f>MATCH(C1,'数据-取费表'!A6:A16,0)+5</f>
        <v>7</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t="e">
        <f ca="1">ROUND(D3/10000,4)</f>
        <v>#DIV/0!</v>
      </c>
      <c r="C2" s="932" t="s">
        <v>790</v>
      </c>
      <c r="D2" s="3305"/>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38" customFormat="1" ht="18" customHeight="1">
      <c r="A4" s="2705" t="s">
        <v>3869</v>
      </c>
      <c r="B4" s="2706" t="s">
        <v>3870</v>
      </c>
      <c r="C4" s="3545" t="s">
        <v>3978</v>
      </c>
      <c r="D4" s="2706" t="s">
        <v>3871</v>
      </c>
      <c r="E4" s="3975" t="s">
        <v>3872</v>
      </c>
      <c r="F4" s="4037"/>
      <c r="G4" s="4026"/>
      <c r="H4" s="2705" t="s">
        <v>3869</v>
      </c>
      <c r="I4" s="2706" t="s">
        <v>3870</v>
      </c>
      <c r="J4" s="3545" t="s">
        <v>3978</v>
      </c>
      <c r="K4" s="2706" t="s">
        <v>3871</v>
      </c>
      <c r="L4" s="4039" t="s">
        <v>3872</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3395</v>
      </c>
      <c r="C5" s="4069">
        <f ca="1">C6+C10+C12</f>
        <v>0</v>
      </c>
      <c r="D5" s="3978" t="s">
        <v>3875</v>
      </c>
      <c r="E5" s="3979"/>
      <c r="F5" s="3980"/>
      <c r="G5" s="3977"/>
      <c r="H5" s="183">
        <v>1</v>
      </c>
      <c r="I5" s="184" t="s">
        <v>3910</v>
      </c>
      <c r="J5" s="4069">
        <f ca="1">J6+J10+J12</f>
        <v>0</v>
      </c>
      <c r="K5" s="3978" t="s">
        <v>3875</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6" t="s">
        <v>3786</v>
      </c>
      <c r="C6" s="4193">
        <f ca="1">C7-C9</f>
        <v>0</v>
      </c>
      <c r="D6" s="2697" t="s">
        <v>3790</v>
      </c>
      <c r="E6" s="2695" t="s">
        <v>3973</v>
      </c>
      <c r="F6" s="3402">
        <f ca="1">INDIRECT("'数据-取费表'!u"&amp;$G$1)</f>
        <v>0</v>
      </c>
      <c r="G6" s="935"/>
      <c r="H6" s="707" t="s">
        <v>392</v>
      </c>
      <c r="I6" s="2696" t="s">
        <v>3786</v>
      </c>
      <c r="J6" s="2684">
        <f ca="1">J7-J9</f>
        <v>0</v>
      </c>
      <c r="K6" s="2697" t="s">
        <v>3790</v>
      </c>
      <c r="L6" s="2695" t="s">
        <v>3973</v>
      </c>
      <c r="M6" s="3420">
        <f ca="1">INDIRECT("'数据-取费表'!z"&amp;$G$1)</f>
        <v>0</v>
      </c>
    </row>
    <row r="7" spans="1:37" ht="18" customHeight="1">
      <c r="A7" s="4546" t="s">
        <v>391</v>
      </c>
      <c r="B7" s="4549" t="s">
        <v>3784</v>
      </c>
      <c r="C7" s="4559">
        <f ca="1">ROUND(F6*F7*F8,0)</f>
        <v>0</v>
      </c>
      <c r="D7" s="4548" t="s">
        <v>3464</v>
      </c>
      <c r="E7" s="714" t="s">
        <v>682</v>
      </c>
      <c r="F7" s="2743">
        <f ca="1">IF(INDIRECT("'数据-取费表'!ah"&amp;$G$1)="",INDIRECT("'数据-取费表'!k"&amp;$G$1),INDIRECT("'数据-取费表'!ah"&amp;$G$1))</f>
        <v>0</v>
      </c>
      <c r="G7" s="935"/>
      <c r="H7" s="4546" t="s">
        <v>391</v>
      </c>
      <c r="I7" s="4549" t="s">
        <v>3784</v>
      </c>
      <c r="J7" s="4558">
        <f ca="1">ROUND(M6*M8*M7,0)</f>
        <v>0</v>
      </c>
      <c r="K7" s="4548" t="s">
        <v>3464</v>
      </c>
      <c r="L7" s="186" t="s">
        <v>682</v>
      </c>
      <c r="M7" s="4192">
        <f ca="1">F7</f>
        <v>0</v>
      </c>
    </row>
    <row r="8" spans="1:37" ht="18" customHeight="1">
      <c r="A8" s="4547"/>
      <c r="B8" s="4550"/>
      <c r="C8" s="4559"/>
      <c r="D8" s="4548"/>
      <c r="E8" s="186" t="str">
        <f ca="1">IF(F8=1,"年",IF(F8=12,"月","天"))</f>
        <v>天</v>
      </c>
      <c r="F8" s="3395">
        <f ca="1">INDIRECT("'数据-取费表'!ai"&amp;$G$1)</f>
        <v>0</v>
      </c>
      <c r="G8" s="935"/>
      <c r="H8" s="4547"/>
      <c r="I8" s="4550"/>
      <c r="J8" s="4558"/>
      <c r="K8" s="4548"/>
      <c r="L8" s="186" t="str">
        <f ca="1">IF(M8=1,"年",IF(M8=12,"月","天"))</f>
        <v>天</v>
      </c>
      <c r="M8" s="3422">
        <f ca="1">INDIRECT("'数据-取费表'!ai"&amp;$G$1)</f>
        <v>0</v>
      </c>
    </row>
    <row r="9" spans="1:37" ht="18" customHeight="1">
      <c r="A9" s="2682" t="s">
        <v>3394</v>
      </c>
      <c r="B9" s="4062" t="s">
        <v>3785</v>
      </c>
      <c r="C9" s="4069">
        <f ca="1">ROUND(C7*F9,0)</f>
        <v>0</v>
      </c>
      <c r="D9" s="2697" t="s">
        <v>3789</v>
      </c>
      <c r="E9" s="186" t="s">
        <v>684</v>
      </c>
      <c r="F9" s="2749">
        <f ca="1">INDIRECT("'数据-取费表'!w"&amp;$G$1)</f>
        <v>0</v>
      </c>
      <c r="G9" s="935"/>
      <c r="H9" s="2682" t="s">
        <v>3394</v>
      </c>
      <c r="I9" s="4062" t="s">
        <v>3785</v>
      </c>
      <c r="J9" s="2725">
        <f ca="1">ROUND(J7*M9,0)</f>
        <v>0</v>
      </c>
      <c r="K9" s="2697" t="s">
        <v>3789</v>
      </c>
      <c r="L9" s="197" t="s">
        <v>684</v>
      </c>
      <c r="M9" s="3416">
        <f ca="1">INDIRECT("'数据-取费表'!ab"&amp;$G$1)</f>
        <v>0</v>
      </c>
    </row>
    <row r="10" spans="1:37" ht="18" customHeight="1">
      <c r="A10" s="707" t="s">
        <v>396</v>
      </c>
      <c r="B10" s="917" t="s">
        <v>685</v>
      </c>
      <c r="C10" s="2725">
        <f ca="1">ROUND(IF(F10="押一",C6/12*F11,IF(F10="押二",C6/12*2*F11,IF(F10="押三",C6/12*3*F11,C11*F11))),0)</f>
        <v>0</v>
      </c>
      <c r="D10" s="59" t="s">
        <v>2018</v>
      </c>
      <c r="E10" s="197" t="s">
        <v>686</v>
      </c>
      <c r="F10" s="749"/>
      <c r="G10" s="935"/>
      <c r="H10" s="707" t="s">
        <v>396</v>
      </c>
      <c r="I10" s="917" t="s">
        <v>685</v>
      </c>
      <c r="J10" s="3888">
        <f ca="1">ROUND(IF(M10="押一",J6/12*M11,IF(M10="押二",J6/12*2*M11,IF(M10="押三",J6/12*3*M11,J11*M11))),0)</f>
        <v>0</v>
      </c>
      <c r="K10" s="59" t="s">
        <v>2018</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3669</v>
      </c>
      <c r="B13" s="717" t="s">
        <v>3911</v>
      </c>
      <c r="C13" s="3829">
        <f ca="1">ROUND(C14+C22+C24+C26,0)</f>
        <v>0</v>
      </c>
      <c r="D13" s="4197" t="s">
        <v>3912</v>
      </c>
      <c r="E13" s="3982"/>
      <c r="F13" s="3980"/>
      <c r="G13" s="3977"/>
      <c r="H13" s="716" t="s">
        <v>3669</v>
      </c>
      <c r="I13" s="717" t="s">
        <v>3911</v>
      </c>
      <c r="J13" s="3829">
        <f ca="1">ROUND(J14+J22+J24+J26,0)</f>
        <v>0</v>
      </c>
      <c r="K13" s="4196" t="s">
        <v>3913</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5" t="s">
        <v>3959</v>
      </c>
      <c r="C14" s="2684">
        <f ca="1">ROUND(IF(AND(项目基本情况!B11="自然人",项目基本情况!B10="北京市",M56="住宅"),C6*F14,C15+C19+C20),2)</f>
        <v>0</v>
      </c>
      <c r="D14" s="900" t="s">
        <v>3438</v>
      </c>
      <c r="E14" s="900" t="str">
        <f>IF(M56="非住宅","","综合税率")</f>
        <v/>
      </c>
      <c r="F14" s="3813" t="str">
        <f>IF(M56="非住宅","",IF(F6*F7*F8/12/(1+'数据-取费表'!F30)&gt;100000,4%,2.5%))</f>
        <v/>
      </c>
      <c r="G14" s="935"/>
      <c r="H14" s="658" t="s">
        <v>392</v>
      </c>
      <c r="I14" s="2695" t="s">
        <v>3964</v>
      </c>
      <c r="J14" s="2684">
        <f ca="1">ROUND(IF(AND(项目基本情况!B11="自然人",项目基本情况!B10="北京市",M56="住宅"),J6*M14/(1+'数据-取费表'!C43),J15+J19+J20),0)</f>
        <v>0</v>
      </c>
      <c r="K14" s="2722" t="s">
        <v>3437</v>
      </c>
      <c r="L14" s="900" t="str">
        <f>E14</f>
        <v/>
      </c>
      <c r="M14" s="3813" t="str">
        <f>IF(M56="非住宅","",IF(M6*M7*M8/12/(1+'数据-取费表'!F30)&gt;100000,4%,2.5%))</f>
        <v/>
      </c>
    </row>
    <row r="15" spans="1:37" s="946" customFormat="1" ht="18" customHeight="1">
      <c r="A15" s="2682" t="s">
        <v>391</v>
      </c>
      <c r="B15" s="2695" t="s">
        <v>3956</v>
      </c>
      <c r="C15" s="2684">
        <f ca="1">C18</f>
        <v>0</v>
      </c>
      <c r="D15" s="2413" t="s">
        <v>3955</v>
      </c>
      <c r="E15" s="4066"/>
      <c r="F15" s="4098"/>
      <c r="G15" s="945"/>
      <c r="H15" s="2682" t="s">
        <v>391</v>
      </c>
      <c r="I15" s="2695" t="s">
        <v>3956</v>
      </c>
      <c r="J15" s="2684">
        <f ca="1">J18</f>
        <v>0</v>
      </c>
      <c r="K15" s="2697" t="s">
        <v>3955</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3281</v>
      </c>
      <c r="B16" s="2699" t="s">
        <v>3397</v>
      </c>
      <c r="C16" s="2632">
        <f ca="1">ROUND(C6*F16,0)</f>
        <v>0</v>
      </c>
      <c r="D16" s="994" t="s">
        <v>3849</v>
      </c>
      <c r="E16" s="2703" t="s">
        <v>3399</v>
      </c>
      <c r="F16" s="2747">
        <v>0.09</v>
      </c>
      <c r="G16" s="935"/>
      <c r="H16" s="2487" t="s">
        <v>3281</v>
      </c>
      <c r="I16" s="2699" t="s">
        <v>3397</v>
      </c>
      <c r="J16" s="2632">
        <f ca="1">ROUND(J6*M16,0)</f>
        <v>0</v>
      </c>
      <c r="K16" s="3954" t="s">
        <v>3850</v>
      </c>
      <c r="L16" s="2703" t="s">
        <v>3399</v>
      </c>
      <c r="M16" s="3418">
        <v>0.09</v>
      </c>
    </row>
    <row r="17" spans="1:37" s="946" customFormat="1" ht="18" customHeight="1">
      <c r="A17" s="2487" t="s">
        <v>3282</v>
      </c>
      <c r="B17" s="2699" t="s">
        <v>3398</v>
      </c>
      <c r="C17" s="3006">
        <f ca="1">ROUND(C22*F16+((C24+C26)*F17),0)</f>
        <v>0</v>
      </c>
      <c r="D17" s="3954" t="s">
        <v>3852</v>
      </c>
      <c r="E17" s="2704"/>
      <c r="F17" s="2747">
        <v>0.06</v>
      </c>
      <c r="G17" s="945"/>
      <c r="H17" s="2487" t="s">
        <v>3282</v>
      </c>
      <c r="I17" s="2699" t="s">
        <v>3398</v>
      </c>
      <c r="J17" s="3006">
        <f ca="1">ROUND(J22*M16+((J24+J26)*M17),0)</f>
        <v>0</v>
      </c>
      <c r="K17" s="3956" t="s">
        <v>3851</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3953</v>
      </c>
      <c r="B18" s="2699" t="s">
        <v>3952</v>
      </c>
      <c r="C18" s="3006">
        <f ca="1">ROUND((C16-C17)*F18,0)</f>
        <v>0</v>
      </c>
      <c r="D18" s="2722" t="s">
        <v>3975</v>
      </c>
      <c r="E18" s="186" t="s">
        <v>3976</v>
      </c>
      <c r="F18" s="2747">
        <f>'数据-取费表'!B44</f>
        <v>0.1</v>
      </c>
      <c r="G18" s="945"/>
      <c r="H18" s="2487" t="s">
        <v>3953</v>
      </c>
      <c r="I18" s="2699" t="s">
        <v>3952</v>
      </c>
      <c r="J18" s="3006">
        <f ca="1">ROUND((J16-J17)*M18,0)</f>
        <v>0</v>
      </c>
      <c r="K18" s="2722" t="s">
        <v>3975</v>
      </c>
      <c r="L18" s="186" t="s">
        <v>3976</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3957</v>
      </c>
      <c r="C19" s="2684">
        <f ca="1">IF(AND(项目基本情况!B11="自然人",M56="住宅"),"——",IF(D19="按不含税租金收入（有效毛租金收入）计税",ROUND(C6*F19,0),IF(D19="按房产原值计税",ROUND(C51*F19*0.7,0),INDIRECT("'数据-取费表'!Aj"&amp;$G$1))))</f>
        <v>0</v>
      </c>
      <c r="D19" s="2698"/>
      <c r="E19" s="186" t="s">
        <v>697</v>
      </c>
      <c r="F19" s="2747">
        <f>IF(D19="按票据","——",IF(D19="按不含税租金收入（有效毛租金收入）计税",'数据-取费表'!B52,'数据-取费表'!B51))</f>
        <v>1.2E-2</v>
      </c>
      <c r="G19" s="945"/>
      <c r="H19" s="2682" t="s">
        <v>393</v>
      </c>
      <c r="I19" s="2695" t="s">
        <v>3962</v>
      </c>
      <c r="J19" s="2684">
        <f ca="1">IF(K19="按不含税租金收入（有效毛租金收入）计税",ROUND(J6*M19,0),ROUND(C51*M19*0.7,0))</f>
        <v>0</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666</v>
      </c>
      <c r="B20" s="3901" t="s">
        <v>3958</v>
      </c>
      <c r="C20" s="3007">
        <f ca="1">IF(AND(项目基本情况!B11="自然人",M56="住宅"),"——",ROUND(F20*F21,0))</f>
        <v>0</v>
      </c>
      <c r="D20" s="207" t="s">
        <v>716</v>
      </c>
      <c r="E20" s="186" t="s">
        <v>717</v>
      </c>
      <c r="F20" s="3402">
        <f>'数据-取费表'!B53</f>
        <v>1.5</v>
      </c>
      <c r="G20" s="935"/>
      <c r="H20" s="4067" t="s">
        <v>666</v>
      </c>
      <c r="I20" s="3901" t="s">
        <v>3958</v>
      </c>
      <c r="J20" s="3007">
        <f ca="1">ROUND(M20*M21,0)</f>
        <v>0</v>
      </c>
      <c r="K20" s="207" t="s">
        <v>716</v>
      </c>
      <c r="L20" s="186" t="s">
        <v>717</v>
      </c>
      <c r="M20" s="3420">
        <f>'数据-取费表'!B53</f>
        <v>1.5</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723</v>
      </c>
      <c r="C22" s="3855">
        <f ca="1">ROUND(C51*F22,0)</f>
        <v>0</v>
      </c>
      <c r="D22" s="1776" t="s">
        <v>724</v>
      </c>
      <c r="E22" s="186" t="s">
        <v>697</v>
      </c>
      <c r="F22" s="2749">
        <f ca="1">INDIRECT("'数据-取费表'!Ak"&amp;$G$1)</f>
        <v>0</v>
      </c>
      <c r="G22" s="945"/>
      <c r="H22" s="3835" t="s">
        <v>396</v>
      </c>
      <c r="I22" s="56" t="s">
        <v>723</v>
      </c>
      <c r="J22" s="3855">
        <f ca="1">ROUND(J35*M22,0)</f>
        <v>0</v>
      </c>
      <c r="K22" s="1776" t="s">
        <v>724</v>
      </c>
      <c r="L22" s="186" t="s">
        <v>697</v>
      </c>
      <c r="M22" s="3877">
        <f ca="1">INDIRECT("'数据-取费表'!Ak"&amp;$G$1)</f>
        <v>0</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5" t="s">
        <v>3810</v>
      </c>
      <c r="F23" s="3395">
        <f ca="1">C51</f>
        <v>0</v>
      </c>
      <c r="G23" s="945"/>
      <c r="H23" s="209"/>
      <c r="I23" s="195"/>
      <c r="J23" s="3856"/>
      <c r="K23" s="3902"/>
      <c r="L23" s="2695" t="s">
        <v>3810</v>
      </c>
      <c r="M23" s="3422">
        <f ca="1">J35</f>
        <v>0</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727</v>
      </c>
      <c r="C24" s="3855">
        <f ca="1">ROUND(C53*F24,0)</f>
        <v>0</v>
      </c>
      <c r="D24" s="1776" t="s">
        <v>3435</v>
      </c>
      <c r="E24" s="186" t="s">
        <v>697</v>
      </c>
      <c r="F24" s="2749">
        <f ca="1">INDIRECT("'数据-取费表'!Al"&amp;$G$1)</f>
        <v>0</v>
      </c>
      <c r="G24" s="935"/>
      <c r="H24" s="3835" t="s">
        <v>431</v>
      </c>
      <c r="I24" s="56" t="s">
        <v>727</v>
      </c>
      <c r="J24" s="3855">
        <f ca="1">ROUND(J37*M24,0)</f>
        <v>0</v>
      </c>
      <c r="K24" s="1776" t="s">
        <v>728</v>
      </c>
      <c r="L24" s="186" t="s">
        <v>697</v>
      </c>
      <c r="M24" s="3877">
        <f ca="1">INDIRECT("'数据-取费表'!Al"&amp;$G$1)</f>
        <v>0</v>
      </c>
    </row>
    <row r="25" spans="1:37" ht="18" customHeight="1">
      <c r="A25" s="209"/>
      <c r="B25" s="195"/>
      <c r="C25" s="3856"/>
      <c r="D25" s="3902"/>
      <c r="E25" s="3901" t="s">
        <v>3811</v>
      </c>
      <c r="F25" s="3395">
        <f ca="1">C53</f>
        <v>0</v>
      </c>
      <c r="G25" s="935"/>
      <c r="H25" s="209"/>
      <c r="I25" s="195"/>
      <c r="J25" s="3856"/>
      <c r="K25" s="3902"/>
      <c r="L25" s="3901" t="s">
        <v>3811</v>
      </c>
      <c r="M25" s="3422">
        <f ca="1">J37</f>
        <v>0</v>
      </c>
    </row>
    <row r="26" spans="1:37" s="946" customFormat="1" ht="18" customHeight="1" thickBot="1">
      <c r="A26" s="726" t="s">
        <v>669</v>
      </c>
      <c r="B26" s="727" t="s">
        <v>713</v>
      </c>
      <c r="C26" s="3009">
        <f ca="1">ROUND(C5*F26,0)</f>
        <v>0</v>
      </c>
      <c r="D26" s="729" t="s">
        <v>3856</v>
      </c>
      <c r="E26" s="727" t="s">
        <v>697</v>
      </c>
      <c r="F26" s="2812">
        <f ca="1">INDIRECT("'数据-取费表'!Am"&amp;$G$1)</f>
        <v>0</v>
      </c>
      <c r="G26" s="945"/>
      <c r="H26" s="726" t="s">
        <v>669</v>
      </c>
      <c r="I26" s="727" t="s">
        <v>713</v>
      </c>
      <c r="J26" s="3009">
        <f ca="1">ROUND(J5*M26,0)</f>
        <v>0</v>
      </c>
      <c r="K26" s="729" t="s">
        <v>3856</v>
      </c>
      <c r="L26" s="727" t="s">
        <v>697</v>
      </c>
      <c r="M26" s="3419">
        <f ca="1">INDIRECT("'数据-取费表'!Am"&amp;$G$1)</f>
        <v>0</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29">
        <f ca="1">C5-C13</f>
        <v>0</v>
      </c>
      <c r="D27" s="4196" t="s">
        <v>3897</v>
      </c>
      <c r="E27" s="3986"/>
      <c r="F27" s="3987"/>
      <c r="G27" s="498"/>
      <c r="H27" s="716" t="s">
        <v>3293</v>
      </c>
      <c r="I27" s="731" t="s">
        <v>3914</v>
      </c>
      <c r="J27" s="3829">
        <f ca="1">J5-J13</f>
        <v>0</v>
      </c>
      <c r="K27" s="4196" t="s">
        <v>3897</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888" t="e">
        <f ca="1">ROUND(C27*(1-((1+F30)/(1+F28))^F29)/(F28-F30),0)</f>
        <v>#DIV/0!</v>
      </c>
      <c r="D28" s="3989" t="s">
        <v>3915</v>
      </c>
      <c r="E28" s="2707" t="s">
        <v>3883</v>
      </c>
      <c r="F28" s="2749">
        <f ca="1">INDIRECT("'数据-取费表'!I"&amp;$G$1)</f>
        <v>0</v>
      </c>
      <c r="G28" s="3977"/>
      <c r="H28" s="183" t="s">
        <v>3671</v>
      </c>
      <c r="I28" s="3889" t="s">
        <v>3802</v>
      </c>
      <c r="J28" s="3904">
        <f ca="1">IF(J5&lt;&gt;0,ROUND(J27*(1-((1+M30)/(1+M28))^M29)/(M28-M30),0),0)</f>
        <v>0</v>
      </c>
      <c r="K28" s="3989" t="s">
        <v>3915</v>
      </c>
      <c r="L28" s="3990" t="s">
        <v>3883</v>
      </c>
      <c r="M28" s="3416">
        <f ca="1">INDIRECT("'数据-取费表'!I"&amp;$G$1)</f>
        <v>0</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7" t="s">
        <v>3886</v>
      </c>
      <c r="F29" s="2750">
        <f ca="1">IF(INDIRECT("'数据-取费表'!af"&amp;$G$1)=0,INDIRECT("'数据-取费表'!ae"&amp;$G$1),INDIRECT("'数据-取费表'!af"&amp;$G$1))</f>
        <v>0</v>
      </c>
      <c r="G29" s="3977"/>
      <c r="H29" s="188"/>
      <c r="I29" s="189"/>
      <c r="J29" s="3905"/>
      <c r="K29" s="3991"/>
      <c r="L29" s="2707" t="s">
        <v>3886</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7" t="s">
        <v>3888</v>
      </c>
      <c r="F30" s="2749">
        <f ca="1">INDIRECT("'数据-取费表'!v"&amp;$G$1)</f>
        <v>0</v>
      </c>
      <c r="G30" s="3977"/>
      <c r="H30" s="192"/>
      <c r="I30" s="193"/>
      <c r="J30" s="3906"/>
      <c r="K30" s="731"/>
      <c r="L30" s="2707" t="s">
        <v>3888</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3672</v>
      </c>
      <c r="B31" s="3811" t="s">
        <v>3889</v>
      </c>
      <c r="C31" s="3814" t="e">
        <f ca="1">ROUND(C28*(1+F31),0)</f>
        <v>#DIV/0!</v>
      </c>
      <c r="D31" s="3992" t="s">
        <v>3675</v>
      </c>
      <c r="E31" s="3993" t="str">
        <f>IF(D31="其他类型公式—收益价值×（1+9%）","销项税率","征收率")</f>
        <v>销项税率</v>
      </c>
      <c r="F31" s="4023">
        <f>IF(D31="其他类型公式—收益价值×（1+9%）",9%,3%)</f>
        <v>0.09</v>
      </c>
      <c r="G31" s="498"/>
      <c r="H31" s="199" t="s">
        <v>3672</v>
      </c>
      <c r="I31" s="2707" t="s">
        <v>3890</v>
      </c>
      <c r="J31" s="2725">
        <f ca="1">ROUND(J28/(1+F28)^F29,0)</f>
        <v>0</v>
      </c>
      <c r="K31" s="2666" t="s">
        <v>3916</v>
      </c>
      <c r="L31" s="2707"/>
      <c r="M31" s="4100">
        <f ca="1">INDIRECT("'数据-取费表'!k"&amp;$G$1)</f>
        <v>0</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761</v>
      </c>
      <c r="C32" s="3815" t="e">
        <f ca="1">ROUND(C31/F32,0)</f>
        <v>#DIV/0!</v>
      </c>
      <c r="D32" s="3994" t="s">
        <v>3891</v>
      </c>
      <c r="E32" s="217" t="s">
        <v>3892</v>
      </c>
      <c r="F32" s="2751">
        <f ca="1">INDIRECT("'数据-取费表'!k"&amp;$G$1)</f>
        <v>0</v>
      </c>
      <c r="G32" s="498"/>
      <c r="H32" s="3807" t="s">
        <v>3674</v>
      </c>
      <c r="I32" s="3808" t="s">
        <v>3893</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t="e">
        <f ca="1">1-C27/C5</f>
        <v>#DIV/0!</v>
      </c>
      <c r="G33" s="935"/>
    </row>
    <row r="34" spans="1:37" s="118" customFormat="1" ht="18" customHeight="1" thickBot="1">
      <c r="A34" s="3970" t="s">
        <v>3917</v>
      </c>
      <c r="B34" s="3971" t="s">
        <v>3918</v>
      </c>
      <c r="C34" s="3972" t="s">
        <v>3978</v>
      </c>
      <c r="D34" s="3971" t="s">
        <v>3919</v>
      </c>
      <c r="E34" s="3973" t="s">
        <v>3920</v>
      </c>
      <c r="F34" s="3974"/>
      <c r="G34" s="3977"/>
      <c r="H34" s="3970" t="s">
        <v>3917</v>
      </c>
      <c r="I34" s="3971" t="s">
        <v>3918</v>
      </c>
      <c r="J34" s="3972" t="s">
        <v>3978</v>
      </c>
      <c r="K34" s="3971" t="s">
        <v>3919</v>
      </c>
      <c r="L34" s="3973" t="s">
        <v>3920</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5" t="s">
        <v>3400</v>
      </c>
      <c r="B35" s="2706" t="s">
        <v>3401</v>
      </c>
      <c r="C35" s="3397">
        <f ca="1">SUM(C36:C41)</f>
        <v>0</v>
      </c>
      <c r="D35" s="2718" t="s">
        <v>3408</v>
      </c>
      <c r="E35" s="2714"/>
      <c r="F35" s="2715"/>
      <c r="G35" s="935"/>
      <c r="H35" s="2728" t="s">
        <v>3400</v>
      </c>
      <c r="I35" s="2731" t="s">
        <v>3440</v>
      </c>
      <c r="J35" s="2732">
        <f ca="1">C51</f>
        <v>0</v>
      </c>
      <c r="K35" s="3182" t="s">
        <v>3436</v>
      </c>
      <c r="L35" s="2733"/>
      <c r="M35" s="3016"/>
    </row>
    <row r="36" spans="1:37" ht="18" customHeight="1">
      <c r="A36" s="2682" t="s">
        <v>391</v>
      </c>
      <c r="B36" s="2647" t="s">
        <v>692</v>
      </c>
      <c r="C36" s="2592">
        <f ca="1">ROUND(INDIRECT("'数据-取费表'!l"&amp;$G$1)*F32+'数据-取费表'!L14*INDIRECT("'数据-取费表'!S"&amp;$G$1),0)</f>
        <v>0</v>
      </c>
      <c r="D36" s="899" t="s">
        <v>693</v>
      </c>
      <c r="E36" s="899"/>
      <c r="F36" s="215"/>
      <c r="G36" s="935"/>
      <c r="H36" s="2729" t="s">
        <v>396</v>
      </c>
      <c r="I36" s="2734" t="s">
        <v>3428</v>
      </c>
      <c r="J36" s="2632">
        <f ca="1">ROUND(J35*(1-M36),0)</f>
        <v>0</v>
      </c>
      <c r="K36" s="186" t="s">
        <v>3431</v>
      </c>
      <c r="L36" s="2697" t="s">
        <v>3443</v>
      </c>
      <c r="M36" s="2749">
        <f ca="1">INDIRECT("'数据-取费表'!ad"&amp;$G$1)</f>
        <v>0</v>
      </c>
    </row>
    <row r="37" spans="1:37" ht="18" customHeight="1" thickBot="1">
      <c r="A37" s="2682" t="s">
        <v>3394</v>
      </c>
      <c r="B37" s="2647" t="s">
        <v>695</v>
      </c>
      <c r="C37" s="2684">
        <f ca="1">ROUND(C36*F37,0)</f>
        <v>0</v>
      </c>
      <c r="D37" s="186" t="s">
        <v>696</v>
      </c>
      <c r="E37" s="186" t="s">
        <v>697</v>
      </c>
      <c r="F37" s="2747">
        <f>'数据-取费表'!B33</f>
        <v>0.05</v>
      </c>
      <c r="G37" s="935"/>
      <c r="H37" s="2730" t="s">
        <v>3419</v>
      </c>
      <c r="I37" s="2735" t="s">
        <v>3430</v>
      </c>
      <c r="J37" s="2736">
        <f ca="1">J35-J36</f>
        <v>0</v>
      </c>
      <c r="K37" s="2716" t="s">
        <v>3465</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3404</v>
      </c>
      <c r="B39" s="2647" t="s">
        <v>701</v>
      </c>
      <c r="C39" s="2684">
        <f ca="1">ROUND(F39*(F32+INDIRECT("'数据-取费表'!S"&amp;$G$1)),0)</f>
        <v>0</v>
      </c>
      <c r="D39" s="186" t="s">
        <v>702</v>
      </c>
      <c r="E39" s="186" t="s">
        <v>3863</v>
      </c>
      <c r="F39" s="3405">
        <f>'数据-取费表'!B35</f>
        <v>280</v>
      </c>
      <c r="G39" s="935"/>
    </row>
    <row r="40" spans="1:37" ht="18" customHeight="1">
      <c r="A40" s="2682" t="s">
        <v>668</v>
      </c>
      <c r="B40" s="2699" t="s">
        <v>3285</v>
      </c>
      <c r="C40" s="2684">
        <f ca="1">ROUND(C36*F40,0)</f>
        <v>0</v>
      </c>
      <c r="D40" s="186" t="s">
        <v>696</v>
      </c>
      <c r="E40" s="186" t="s">
        <v>697</v>
      </c>
      <c r="F40" s="2747">
        <f>'数据-取费表'!B36</f>
        <v>0.01</v>
      </c>
      <c r="G40" s="935"/>
      <c r="H40" s="47"/>
      <c r="I40" s="47"/>
      <c r="J40" s="47"/>
      <c r="K40" s="1860"/>
      <c r="L40" s="47"/>
      <c r="M40" s="47"/>
    </row>
    <row r="41" spans="1:37" ht="18" customHeight="1">
      <c r="A41" s="2682" t="s">
        <v>668</v>
      </c>
      <c r="B41" s="2699" t="s">
        <v>3286</v>
      </c>
      <c r="C41" s="2684">
        <f ca="1">ROUND(C36*F41,0)</f>
        <v>0</v>
      </c>
      <c r="D41" s="186" t="s">
        <v>696</v>
      </c>
      <c r="E41" s="186" t="s">
        <v>697</v>
      </c>
      <c r="F41" s="2747">
        <f>'数据-取费表'!B37</f>
        <v>0</v>
      </c>
      <c r="G41" s="935"/>
      <c r="H41" s="47"/>
      <c r="I41" s="47"/>
      <c r="J41" s="47"/>
      <c r="K41" s="1860"/>
      <c r="L41" s="47"/>
      <c r="M41" s="47"/>
    </row>
    <row r="42" spans="1:37" ht="18" customHeight="1">
      <c r="A42" s="199" t="s">
        <v>3415</v>
      </c>
      <c r="B42" s="2707" t="s">
        <v>3416</v>
      </c>
      <c r="C42" s="2725">
        <f ca="1">ROUND(C35*F42,0)</f>
        <v>0</v>
      </c>
      <c r="D42" s="2708" t="s">
        <v>3417</v>
      </c>
      <c r="E42" s="2707" t="s">
        <v>3418</v>
      </c>
      <c r="F42" s="2749">
        <f>'数据-取费表'!B38</f>
        <v>0.05</v>
      </c>
      <c r="G42" s="935"/>
      <c r="H42" s="47"/>
      <c r="I42" s="47"/>
      <c r="J42" s="47"/>
      <c r="K42" s="1860"/>
      <c r="L42" s="47"/>
      <c r="M42" s="47"/>
    </row>
    <row r="43" spans="1:37" ht="18" customHeight="1">
      <c r="A43" s="199" t="s">
        <v>3419</v>
      </c>
      <c r="B43" s="2707" t="s">
        <v>3420</v>
      </c>
      <c r="C43" s="2772" t="str">
        <f>F43&amp;"V建"</f>
        <v>0.03V建</v>
      </c>
      <c r="D43" s="2708" t="s">
        <v>3421</v>
      </c>
      <c r="E43" s="2707" t="s">
        <v>3422</v>
      </c>
      <c r="F43" s="2749">
        <f>'数据-取费表'!B39</f>
        <v>0.03</v>
      </c>
      <c r="G43" s="935"/>
      <c r="H43" s="47"/>
      <c r="I43" s="47"/>
      <c r="J43" s="47"/>
      <c r="K43" s="1860"/>
      <c r="L43" s="47"/>
      <c r="M43" s="47"/>
    </row>
    <row r="44" spans="1:37" ht="18" customHeight="1">
      <c r="A44" s="199" t="s">
        <v>3423</v>
      </c>
      <c r="B44" s="2710" t="s">
        <v>3360</v>
      </c>
      <c r="C44" s="3398" t="str">
        <f ca="1">C45&amp;"+"&amp;C46&amp;"V建"</f>
        <v>0+0.0015V建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02">
        <f>'数据-取费表'!B20</f>
        <v>3</v>
      </c>
      <c r="G45" s="935"/>
      <c r="H45" s="47"/>
      <c r="I45" s="47"/>
      <c r="J45" s="47"/>
      <c r="K45" s="1860"/>
      <c r="L45" s="47"/>
      <c r="M45" s="47"/>
    </row>
    <row r="46" spans="1:37" ht="18" customHeight="1">
      <c r="A46" s="2682" t="s">
        <v>730</v>
      </c>
      <c r="B46" s="186" t="s">
        <v>731</v>
      </c>
      <c r="C46" s="3396">
        <f ca="1">ROUND(IF('数据-取费表'!B22&lt;=1,F43*F46*F45/2,F43*(POWER((1+F46),F45/2)-1)),4)</f>
        <v>1.5E-3</v>
      </c>
      <c r="D46" s="55" t="str">
        <f>IF(F45&lt;=1,"销售费用×利率×(建设周期÷2)","销售费用×((1+利率)^(建设周期÷2)-1)")</f>
        <v>销售费用×((1+利率)^(建设周期÷2)-1)</v>
      </c>
      <c r="E46" s="186" t="s">
        <v>732</v>
      </c>
      <c r="F46" s="2746">
        <f ca="1">'数据-取费表'!B41</f>
        <v>3.2500000000000001E-2</v>
      </c>
      <c r="G46" s="935"/>
      <c r="H46" s="47"/>
      <c r="I46" s="47"/>
      <c r="J46" s="47"/>
      <c r="K46" s="1860"/>
      <c r="L46" s="47"/>
      <c r="M46" s="47"/>
    </row>
    <row r="47" spans="1:37" ht="18" customHeight="1">
      <c r="A47" s="199" t="s">
        <v>3424</v>
      </c>
      <c r="B47" s="2710" t="s">
        <v>3304</v>
      </c>
      <c r="C47" s="3398" t="str">
        <f ca="1">C48&amp;"+"&amp;C49&amp;"V建"</f>
        <v>0+0V建</v>
      </c>
      <c r="D47" s="2666" t="s">
        <v>3425</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37" ht="18" customHeight="1">
      <c r="A49" s="2682" t="s">
        <v>393</v>
      </c>
      <c r="B49" s="186" t="s">
        <v>745</v>
      </c>
      <c r="C49" s="3396">
        <f ca="1">ROUND(F43*F48,4)</f>
        <v>0</v>
      </c>
      <c r="D49" s="206" t="s">
        <v>746</v>
      </c>
      <c r="E49" s="186"/>
      <c r="F49" s="2747"/>
      <c r="G49" s="935"/>
      <c r="H49" s="47"/>
      <c r="I49" s="47"/>
      <c r="J49" s="47"/>
      <c r="K49" s="1860"/>
      <c r="L49" s="47"/>
      <c r="M49" s="47"/>
    </row>
    <row r="50" spans="1:37" s="118" customFormat="1" ht="18" customHeight="1">
      <c r="A50" s="199" t="s">
        <v>3922</v>
      </c>
      <c r="B50" s="2707" t="s">
        <v>3412</v>
      </c>
      <c r="C50" s="2725">
        <f>ROUND(F50/(1+'数据-取费表'!C43),4)</f>
        <v>0</v>
      </c>
      <c r="D50" s="3957" t="s">
        <v>3862</v>
      </c>
      <c r="E50" s="2707"/>
      <c r="F50" s="2749"/>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3923</v>
      </c>
      <c r="B51" s="2707" t="s">
        <v>3924</v>
      </c>
      <c r="C51" s="2725">
        <f ca="1">ROUND((C35+C42+C45+C48)/(1-F43-C46-C49-C50),0)</f>
        <v>0</v>
      </c>
      <c r="D51" s="2721" t="s">
        <v>3436</v>
      </c>
      <c r="E51" s="2707"/>
      <c r="F51" s="2749"/>
      <c r="K51" s="4026"/>
      <c r="Q51" s="4021"/>
    </row>
    <row r="52" spans="1:37" s="3977" customFormat="1" ht="18" customHeight="1">
      <c r="A52" s="2711" t="s">
        <v>3426</v>
      </c>
      <c r="B52" s="2710" t="s">
        <v>3428</v>
      </c>
      <c r="C52" s="2725">
        <f ca="1">ROUND(C51*(1-F52),0)</f>
        <v>0</v>
      </c>
      <c r="D52" s="2707" t="s">
        <v>3925</v>
      </c>
      <c r="E52" s="2707" t="s">
        <v>3926</v>
      </c>
      <c r="F52" s="2749">
        <f ca="1">INDIRECT("'数据-取费表'!y"&amp;$G$1)</f>
        <v>0</v>
      </c>
      <c r="K52" s="4026"/>
      <c r="Q52" s="4021"/>
    </row>
    <row r="53" spans="1:37" s="3977" customFormat="1" ht="18" customHeight="1" thickBot="1">
      <c r="A53" s="2712" t="s">
        <v>3921</v>
      </c>
      <c r="B53" s="2720" t="s">
        <v>3434</v>
      </c>
      <c r="C53" s="2736">
        <f ca="1">C51-C52</f>
        <v>0</v>
      </c>
      <c r="D53" s="2716" t="s">
        <v>3927</v>
      </c>
      <c r="E53" s="217"/>
      <c r="F53" s="2717"/>
      <c r="K53" s="4026"/>
      <c r="Q53" s="4021"/>
    </row>
    <row r="54" spans="1:37" s="935" customFormat="1" ht="18" customHeight="1" thickBot="1">
      <c r="A54" s="949"/>
      <c r="B54" s="949"/>
      <c r="C54" s="950"/>
      <c r="D54" s="949"/>
      <c r="E54" s="949"/>
      <c r="F54" s="949"/>
      <c r="I54" s="2738" t="s">
        <v>3444</v>
      </c>
      <c r="J54" s="494"/>
      <c r="O54" s="1964" t="s">
        <v>793</v>
      </c>
      <c r="P54" s="1008"/>
      <c r="Q54" s="3410"/>
      <c r="R54" s="1008"/>
    </row>
    <row r="55" spans="1:37" s="935" customFormat="1" ht="13.5" thickBot="1">
      <c r="A55" s="2456" t="s">
        <v>3954</v>
      </c>
      <c r="C55" s="4199" t="e">
        <f ca="1">ROUND(IF(D2="含税",C83-C31,C80-C28)/10000,4)</f>
        <v>#DIV/0!</v>
      </c>
      <c r="D55" s="955" t="str">
        <f>C2</f>
        <v>万元</v>
      </c>
      <c r="E55" s="949"/>
      <c r="F55" s="949"/>
      <c r="I55" s="956" t="s">
        <v>795</v>
      </c>
      <c r="J55" s="957"/>
      <c r="K55" s="958"/>
      <c r="L55" s="3873" t="e">
        <f ca="1">IF(M56="住宅",0,IF(L57&gt;J60,L69,J69))</f>
        <v>#DIV/0!</v>
      </c>
      <c r="O55" s="4011" t="s">
        <v>1325</v>
      </c>
      <c r="P55" s="4012" t="s">
        <v>3898</v>
      </c>
      <c r="Q55" s="4032" t="s">
        <v>3899</v>
      </c>
      <c r="R55" s="4013" t="s">
        <v>3900</v>
      </c>
    </row>
    <row r="56" spans="1:37" s="935" customFormat="1" ht="13.5" thickBot="1">
      <c r="A56" s="3998" t="s">
        <v>3869</v>
      </c>
      <c r="B56" s="3999" t="s">
        <v>3870</v>
      </c>
      <c r="C56" s="3972" t="s">
        <v>3978</v>
      </c>
      <c r="D56" s="3999" t="s">
        <v>3871</v>
      </c>
      <c r="E56" s="4000" t="s">
        <v>3872</v>
      </c>
      <c r="F56" s="4027"/>
      <c r="G56" s="490"/>
      <c r="I56" s="963" t="s">
        <v>800</v>
      </c>
      <c r="J56" s="964"/>
      <c r="K56" s="965" t="s">
        <v>801</v>
      </c>
      <c r="L56" s="3874">
        <f ca="1">INDIRECT("'数据-取费表'!d"&amp;$G$1)</f>
        <v>0</v>
      </c>
      <c r="M56" s="931" t="str">
        <f>IF(ISNUMBER(FIND("住宅",C1)),"住宅","非住宅")</f>
        <v>非住宅</v>
      </c>
      <c r="O56" s="4014" t="s">
        <v>397</v>
      </c>
      <c r="P56" s="4018" t="s">
        <v>3938</v>
      </c>
      <c r="Q56" s="4019" t="e">
        <f ca="1">C28+J31</f>
        <v>#DIV/0!</v>
      </c>
      <c r="R56" s="4016" t="s">
        <v>3902</v>
      </c>
    </row>
    <row r="57" spans="1:37" s="935" customFormat="1" ht="42.75" thickBot="1">
      <c r="A57" s="652" t="s">
        <v>432</v>
      </c>
      <c r="B57" s="184" t="s">
        <v>3894</v>
      </c>
      <c r="C57" s="4001">
        <f ca="1">C58+C62+C64</f>
        <v>0</v>
      </c>
      <c r="D57" s="3978" t="s">
        <v>3928</v>
      </c>
      <c r="E57" s="4002"/>
      <c r="F57" s="4028"/>
      <c r="G57" s="490"/>
      <c r="H57" s="491"/>
      <c r="I57" s="970" t="s">
        <v>804</v>
      </c>
      <c r="J57" s="971"/>
      <c r="K57" s="972" t="s">
        <v>805</v>
      </c>
      <c r="L57" s="3863">
        <f ca="1">INDIRECT("'数据-取费表'!f"&amp;$G$1)</f>
        <v>0</v>
      </c>
      <c r="O57" s="4014" t="s">
        <v>398</v>
      </c>
      <c r="P57" s="4015" t="s">
        <v>3903</v>
      </c>
      <c r="Q57" s="4019" t="e">
        <f ca="1">J69</f>
        <v>#DIV/0!</v>
      </c>
      <c r="R57" s="4016" t="s">
        <v>3904</v>
      </c>
    </row>
    <row r="58" spans="1:37" s="935" customFormat="1" ht="15" customHeight="1" thickBot="1">
      <c r="A58" s="3840" t="s">
        <v>3799</v>
      </c>
      <c r="B58" s="2696" t="s">
        <v>3786</v>
      </c>
      <c r="C58" s="2739">
        <f ca="1">C59-C61</f>
        <v>0</v>
      </c>
      <c r="D58" s="2697" t="s">
        <v>3790</v>
      </c>
      <c r="E58" s="2719" t="s">
        <v>3433</v>
      </c>
      <c r="F58" s="2741"/>
      <c r="H58" s="491"/>
      <c r="I58" s="970" t="s">
        <v>808</v>
      </c>
      <c r="J58" s="3861"/>
      <c r="K58" s="972" t="s">
        <v>809</v>
      </c>
      <c r="L58" s="3875"/>
      <c r="O58" s="976" t="s">
        <v>399</v>
      </c>
      <c r="P58" s="4034" t="s">
        <v>3939</v>
      </c>
      <c r="Q58" s="3411">
        <f ca="1">C51</f>
        <v>0</v>
      </c>
      <c r="R58" s="969" t="s">
        <v>803</v>
      </c>
    </row>
    <row r="59" spans="1:37" s="935" customFormat="1" ht="15" customHeight="1" thickBot="1">
      <c r="A59" s="3847" t="s">
        <v>3787</v>
      </c>
      <c r="B59" s="4549" t="s">
        <v>3784</v>
      </c>
      <c r="C59" s="3888">
        <f ca="1">ROUND(F58*F60*F59,0)</f>
        <v>0</v>
      </c>
      <c r="D59" s="4548" t="s">
        <v>3464</v>
      </c>
      <c r="E59" s="698" t="s">
        <v>682</v>
      </c>
      <c r="F59" s="2742">
        <f ca="1">F7</f>
        <v>0</v>
      </c>
      <c r="H59" s="491"/>
      <c r="I59" s="970" t="s">
        <v>811</v>
      </c>
      <c r="J59" s="3879">
        <f>SUMPRODUCT((I72:I74=J56)*(J71:L71=J57)*(J72:L74))</f>
        <v>0</v>
      </c>
      <c r="K59" s="972" t="s">
        <v>812</v>
      </c>
      <c r="L59" s="3875"/>
      <c r="M59" s="978"/>
      <c r="O59" s="976" t="s">
        <v>400</v>
      </c>
      <c r="P59" s="968" t="s">
        <v>813</v>
      </c>
      <c r="Q59" s="3412" t="e">
        <f ca="1">J67</f>
        <v>#DIV/0!</v>
      </c>
      <c r="R59" s="969"/>
    </row>
    <row r="60" spans="1:37" s="935" customFormat="1" ht="15" customHeight="1" thickBot="1">
      <c r="A60" s="4099"/>
      <c r="B60" s="4550"/>
      <c r="C60" s="3828"/>
      <c r="D60" s="4548"/>
      <c r="E60" s="657" t="str">
        <f ca="1">IF(F60=1,"年",IF(F60=12,"月","天"))</f>
        <v>天</v>
      </c>
      <c r="F60" s="2743">
        <f ca="1">F8</f>
        <v>0</v>
      </c>
      <c r="I60" s="980" t="s">
        <v>814</v>
      </c>
      <c r="J60" s="3863">
        <f>IF(J58="",J59,J58+J59-YEAR('数据-取费表'!B2))</f>
        <v>0</v>
      </c>
      <c r="K60" s="981" t="s">
        <v>815</v>
      </c>
      <c r="L60" s="3852">
        <f ca="1">ROUND(-PV(INDIRECT("'数据-取费表'!h"&amp;$G$1),J60,(C27-C52*C88),0),0)</f>
        <v>0</v>
      </c>
      <c r="M60" s="983"/>
      <c r="O60" s="976" t="s">
        <v>401</v>
      </c>
      <c r="P60" s="968" t="s">
        <v>816</v>
      </c>
      <c r="Q60" s="3412">
        <f>J61</f>
        <v>0</v>
      </c>
      <c r="R60" s="969"/>
    </row>
    <row r="61" spans="1:37" s="935" customFormat="1" ht="15" customHeight="1" thickBot="1">
      <c r="A61" s="3827" t="s">
        <v>3788</v>
      </c>
      <c r="B61" s="4062" t="s">
        <v>3785</v>
      </c>
      <c r="C61" s="2740">
        <f ca="1">ROUND(C59*F61,0)</f>
        <v>0</v>
      </c>
      <c r="D61" s="2697" t="s">
        <v>3789</v>
      </c>
      <c r="E61" s="657" t="s">
        <v>684</v>
      </c>
      <c r="F61" s="2744"/>
      <c r="I61" s="984" t="s">
        <v>817</v>
      </c>
      <c r="J61" s="3864"/>
      <c r="K61" s="984" t="s">
        <v>818</v>
      </c>
      <c r="L61" s="3878"/>
      <c r="O61" s="976" t="s">
        <v>402</v>
      </c>
      <c r="P61" s="968" t="s">
        <v>819</v>
      </c>
      <c r="Q61" s="3411">
        <f ca="1">J62</f>
        <v>0</v>
      </c>
      <c r="R61" s="969" t="s">
        <v>820</v>
      </c>
    </row>
    <row r="62" spans="1:37" s="935" customFormat="1" ht="24.75" thickBot="1">
      <c r="A62" s="3850" t="s">
        <v>3441</v>
      </c>
      <c r="B62" s="924" t="s">
        <v>685</v>
      </c>
      <c r="C62" s="2725">
        <f ca="1">ROUND(IF(F62="押一",C58/12*F11,IF(F62="押二",C58/12*2*F11,IF(F62="押三",C58/12*3*F11,C63*F11))),0)</f>
        <v>0</v>
      </c>
      <c r="D62" s="59" t="s">
        <v>2018</v>
      </c>
      <c r="E62" s="197" t="s">
        <v>686</v>
      </c>
      <c r="F62" s="2745"/>
      <c r="I62" s="986" t="s">
        <v>821</v>
      </c>
      <c r="J62" s="3865">
        <f ca="1">IF(M56="住宅",IF(D1="——",MAX(J60,L57),MAX(J60,L57-'数据-取费表'!B24)),IF(D1="——",MIN(J60,L57),MIN(J60,L57-'数据-取费表'!B24)))</f>
        <v>0</v>
      </c>
      <c r="K62" s="4552" t="s">
        <v>822</v>
      </c>
      <c r="L62" s="4553"/>
      <c r="O62" s="4014" t="s">
        <v>403</v>
      </c>
      <c r="P62" s="4018" t="s">
        <v>3940</v>
      </c>
      <c r="Q62" s="4019" t="e">
        <f ca="1">ROUND((Q56+Q57)*(1+F31),0)</f>
        <v>#DIV/0!</v>
      </c>
      <c r="R62" s="4016" t="s">
        <v>3942</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t="e">
        <f ca="1">ROUND(IF(J56="钢混",J66/J59,1-(1-2%)*(J59-J66)/J59),3)</f>
        <v>#DIV/0!</v>
      </c>
      <c r="K64" s="992" t="s">
        <v>826</v>
      </c>
      <c r="L64" s="993"/>
      <c r="O64" s="4011" t="s">
        <v>1325</v>
      </c>
      <c r="P64" s="4012" t="s">
        <v>3898</v>
      </c>
      <c r="Q64" s="4032" t="s">
        <v>3899</v>
      </c>
      <c r="R64" s="4013" t="s">
        <v>3900</v>
      </c>
    </row>
    <row r="65" spans="1:18" s="935" customFormat="1" ht="25.5" thickTop="1" thickBot="1">
      <c r="A65" s="199" t="s">
        <v>3929</v>
      </c>
      <c r="B65" s="634" t="s">
        <v>3911</v>
      </c>
      <c r="C65" s="2725">
        <f ca="1">ROUND(C66+C74+C76+C78,0)</f>
        <v>0</v>
      </c>
      <c r="D65" s="634" t="s">
        <v>3930</v>
      </c>
      <c r="E65" s="4029"/>
      <c r="F65" s="638"/>
      <c r="I65" s="996" t="s">
        <v>827</v>
      </c>
      <c r="J65" s="997"/>
      <c r="K65" s="970" t="s">
        <v>828</v>
      </c>
      <c r="L65" s="3863">
        <f ca="1">IF(L57&lt;J60,"——",L57-J62)</f>
        <v>0</v>
      </c>
      <c r="O65" s="4014" t="s">
        <v>397</v>
      </c>
      <c r="P65" s="4018" t="s">
        <v>3938</v>
      </c>
      <c r="Q65" s="4019" t="e">
        <f ca="1">C28+J31</f>
        <v>#DIV/0!</v>
      </c>
      <c r="R65" s="4016" t="s">
        <v>3902</v>
      </c>
    </row>
    <row r="66" spans="1:18" s="935" customFormat="1" ht="24.75" thickBot="1">
      <c r="A66" s="519" t="s">
        <v>392</v>
      </c>
      <c r="B66" s="2677" t="s">
        <v>3964</v>
      </c>
      <c r="C66" s="2684">
        <f ca="1">ROUND(IF(AND(项目基本情况!B11="自然人",项目基本情况!B10="北京市",M56="住宅"),C58*F66,C67+C71+C72),0)</f>
        <v>0</v>
      </c>
      <c r="D66" s="639" t="s">
        <v>3438</v>
      </c>
      <c r="E66" s="639" t="str">
        <f>E14</f>
        <v/>
      </c>
      <c r="F66" s="3813" t="str">
        <f>IF(M56="非住宅","",IF(F58*F59*F60/12/(1+'数据-取费表'!F30)&gt;100000,4%,2.5%))</f>
        <v/>
      </c>
      <c r="I66" s="1002" t="s">
        <v>829</v>
      </c>
      <c r="J66" s="3869">
        <f ca="1">IF(OR(M56="住宅",J60&lt;L57,J65="是"),"——",J60-L57)</f>
        <v>0</v>
      </c>
      <c r="K66" s="970" t="s">
        <v>830</v>
      </c>
      <c r="L66" s="3876">
        <f ca="1">IF(L57&lt;J60,"——",IF(L64="比较法",L58,IF(L64="基准地价",L59,L60)))</f>
        <v>0</v>
      </c>
      <c r="O66" s="4014" t="s">
        <v>398</v>
      </c>
      <c r="P66" s="4015" t="s">
        <v>3905</v>
      </c>
      <c r="Q66" s="4019" t="e">
        <f ca="1">L69</f>
        <v>#DIV/0!</v>
      </c>
      <c r="R66" s="4016" t="s">
        <v>3906</v>
      </c>
    </row>
    <row r="67" spans="1:18" s="935" customFormat="1" ht="24.75" thickBot="1">
      <c r="A67" s="2682" t="s">
        <v>391</v>
      </c>
      <c r="B67" s="2695" t="s">
        <v>3956</v>
      </c>
      <c r="C67" s="2684">
        <f ca="1">C70</f>
        <v>0</v>
      </c>
      <c r="D67" s="2697" t="s">
        <v>3955</v>
      </c>
      <c r="E67" s="4066"/>
      <c r="F67" s="4098"/>
      <c r="I67" s="1002" t="s">
        <v>832</v>
      </c>
      <c r="J67" s="3870" t="e">
        <f ca="1">IF(J64&lt;0.4,0.4,J64)</f>
        <v>#DIV/0!</v>
      </c>
      <c r="K67" s="981" t="s">
        <v>833</v>
      </c>
      <c r="L67" s="3876" t="e">
        <f ca="1">ROUND(POWER(1+L61,L56-L57)*(POWER(1+L61,L57)-1)/(POWER(1+L61,L56)-1),4)</f>
        <v>#DIV/0!</v>
      </c>
      <c r="O67" s="976" t="s">
        <v>399</v>
      </c>
      <c r="P67" s="968" t="s">
        <v>834</v>
      </c>
      <c r="Q67" s="3411">
        <f>IF(L64="比较法",L58,IF(L64="基准地价",L59,0))</f>
        <v>0</v>
      </c>
      <c r="R67" s="969" t="s">
        <v>803</v>
      </c>
    </row>
    <row r="68" spans="1:18" s="935" customFormat="1" ht="24.75" thickBot="1">
      <c r="A68" s="2487" t="s">
        <v>3281</v>
      </c>
      <c r="B68" s="2699" t="s">
        <v>3397</v>
      </c>
      <c r="C68" s="2684">
        <f ca="1">ROUND(C58*F68,0)</f>
        <v>0</v>
      </c>
      <c r="D68" s="994" t="s">
        <v>3858</v>
      </c>
      <c r="E68" s="2703" t="s">
        <v>3399</v>
      </c>
      <c r="F68" s="2747">
        <f>F16</f>
        <v>0.09</v>
      </c>
      <c r="I68" s="1002" t="s">
        <v>835</v>
      </c>
      <c r="J68" s="3871"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3282</v>
      </c>
      <c r="B69" s="2699" t="s">
        <v>3398</v>
      </c>
      <c r="C69" s="2684">
        <f ca="1">ROUND(C74*F68+((C76+C78)*F69),0)</f>
        <v>0</v>
      </c>
      <c r="D69" s="3954" t="s">
        <v>3852</v>
      </c>
      <c r="E69" s="2704"/>
      <c r="F69" s="2747">
        <f>F17</f>
        <v>0.06</v>
      </c>
      <c r="I69" s="1005" t="s">
        <v>837</v>
      </c>
      <c r="J69" s="3872" t="e">
        <f ca="1">IF(OR(M56="住宅",J60&lt;L57,J65="是"),"0",ROUND(J68/(1+J61)^J62,0))</f>
        <v>#DIV/0!</v>
      </c>
      <c r="K69" s="1007" t="s">
        <v>838</v>
      </c>
      <c r="L69" s="3872" t="e">
        <f ca="1">IF(OR(M56="住宅",L57&lt;J60),0,ROUND(L66*(L67/L68-1),0))</f>
        <v>#DIV/0!</v>
      </c>
      <c r="O69" s="976" t="s">
        <v>401</v>
      </c>
      <c r="P69" s="968" t="s">
        <v>839</v>
      </c>
      <c r="Q69" s="3414" t="e">
        <f ca="1">L67</f>
        <v>#DIV/0!</v>
      </c>
      <c r="R69" s="969" t="s">
        <v>840</v>
      </c>
    </row>
    <row r="70" spans="1:18" s="935" customFormat="1" ht="13.5" thickBot="1">
      <c r="A70" s="2487" t="s">
        <v>3953</v>
      </c>
      <c r="B70" s="2699" t="s">
        <v>3952</v>
      </c>
      <c r="C70" s="2684">
        <f ca="1">ROUND((C68-C69)*F70,0)</f>
        <v>0</v>
      </c>
      <c r="D70" s="2722" t="s">
        <v>3975</v>
      </c>
      <c r="E70" s="186" t="s">
        <v>3977</v>
      </c>
      <c r="F70" s="2747">
        <f>F18</f>
        <v>0.1</v>
      </c>
      <c r="I70" s="1008"/>
      <c r="J70" s="1008"/>
      <c r="K70" s="1008"/>
      <c r="L70" s="1008"/>
      <c r="O70" s="976" t="s">
        <v>402</v>
      </c>
      <c r="P70" s="968" t="str">
        <f>K68</f>
        <v>建设期及建筑物耐用年限下的土地年期修正系数Kn</v>
      </c>
      <c r="Q70" s="3414" t="e">
        <f ca="1">L68</f>
        <v>#DIV/0!</v>
      </c>
      <c r="R70" s="969" t="s">
        <v>841</v>
      </c>
    </row>
    <row r="71" spans="1:18" s="935" customFormat="1" ht="13.5" thickBot="1">
      <c r="A71" s="2682" t="s">
        <v>766</v>
      </c>
      <c r="B71" s="2677" t="s">
        <v>3962</v>
      </c>
      <c r="C71" s="2684">
        <f ca="1">IF(项目基本情况!B11="自然人","——",IF(D71="按不含税租金收入（有效毛租金收入）计税",ROUND(C58*F71/(1+'数据-取费表'!C43),0),IF(D71="按房产原值计税",ROUND(F74*F71*0.7,0),INDIRECT("'数据-取费表'!Aj"&amp;$G$1))))</f>
        <v>0</v>
      </c>
      <c r="D71" s="921"/>
      <c r="E71" s="626" t="s">
        <v>697</v>
      </c>
      <c r="F71" s="2747">
        <f t="shared" ref="F71:F73" si="0">F19</f>
        <v>1.2E-2</v>
      </c>
      <c r="I71" s="1009" t="s">
        <v>842</v>
      </c>
      <c r="J71" s="1010" t="s">
        <v>843</v>
      </c>
      <c r="K71" s="1010" t="s">
        <v>844</v>
      </c>
      <c r="L71" s="1010" t="s">
        <v>845</v>
      </c>
      <c r="M71" s="1011" t="s">
        <v>846</v>
      </c>
      <c r="O71" s="4014" t="s">
        <v>403</v>
      </c>
      <c r="P71" s="4018" t="s">
        <v>3941</v>
      </c>
      <c r="Q71" s="4019" t="e">
        <f ca="1">ROUND((Q65+Q66)*(1+F31),0)</f>
        <v>#DIV/0!</v>
      </c>
      <c r="R71" s="4016" t="s">
        <v>3942</v>
      </c>
    </row>
    <row r="72" spans="1:18" s="935" customFormat="1" ht="13.5" thickBot="1">
      <c r="A72" s="4067" t="s">
        <v>769</v>
      </c>
      <c r="B72" s="4060" t="s">
        <v>3958</v>
      </c>
      <c r="C72" s="3007">
        <f ca="1">IF(项目基本情况!B11="自然人","——",ROUND(F72*F73,0))</f>
        <v>0</v>
      </c>
      <c r="D72" s="641" t="s">
        <v>771</v>
      </c>
      <c r="E72" s="626" t="s">
        <v>717</v>
      </c>
      <c r="F72" s="3402">
        <f t="shared" si="0"/>
        <v>1.5</v>
      </c>
      <c r="I72" s="3406" t="s">
        <v>848</v>
      </c>
      <c r="J72" s="223">
        <v>70</v>
      </c>
      <c r="K72" s="223">
        <v>50</v>
      </c>
      <c r="L72" s="223">
        <v>80</v>
      </c>
      <c r="M72" s="1012">
        <v>0.02</v>
      </c>
      <c r="O72" s="952" t="s">
        <v>849</v>
      </c>
      <c r="P72" s="932"/>
      <c r="Q72" s="3413"/>
      <c r="R72" s="932"/>
    </row>
    <row r="73" spans="1:18" s="935" customFormat="1" ht="13.5" thickBot="1">
      <c r="A73" s="4068"/>
      <c r="B73" s="632"/>
      <c r="C73" s="3008"/>
      <c r="D73" s="642"/>
      <c r="E73" s="626" t="s">
        <v>721</v>
      </c>
      <c r="F73" s="3010">
        <f t="shared" ca="1" si="0"/>
        <v>0</v>
      </c>
      <c r="I73" s="3406" t="s">
        <v>850</v>
      </c>
      <c r="J73" s="223">
        <v>50</v>
      </c>
      <c r="K73" s="223">
        <v>35</v>
      </c>
      <c r="L73" s="223">
        <v>60</v>
      </c>
      <c r="M73" s="1011">
        <v>0</v>
      </c>
      <c r="O73" s="4011" t="s">
        <v>1325</v>
      </c>
      <c r="P73" s="4012" t="s">
        <v>3898</v>
      </c>
      <c r="Q73" s="4032" t="s">
        <v>3899</v>
      </c>
      <c r="R73" s="4013" t="s">
        <v>3900</v>
      </c>
    </row>
    <row r="74" spans="1:18" s="935" customFormat="1" ht="13.5" thickBot="1">
      <c r="A74" s="3844" t="s">
        <v>774</v>
      </c>
      <c r="B74" s="625" t="s">
        <v>775</v>
      </c>
      <c r="C74" s="3855">
        <f ca="1">ROUND(F74*F75,0)</f>
        <v>0</v>
      </c>
      <c r="D74" s="3838" t="s">
        <v>724</v>
      </c>
      <c r="E74" s="2677" t="s">
        <v>3798</v>
      </c>
      <c r="F74" s="3852">
        <f ca="1">C51</f>
        <v>0</v>
      </c>
      <c r="I74" s="3406" t="s">
        <v>851</v>
      </c>
      <c r="J74" s="223">
        <v>40</v>
      </c>
      <c r="K74" s="223">
        <v>30</v>
      </c>
      <c r="L74" s="223">
        <v>50</v>
      </c>
      <c r="M74" s="1012">
        <v>0.02</v>
      </c>
      <c r="O74" s="4014" t="s">
        <v>397</v>
      </c>
      <c r="P74" s="4015" t="s">
        <v>3901</v>
      </c>
      <c r="Q74" s="4017" t="e">
        <f ca="1">C28+J31</f>
        <v>#DIV/0!</v>
      </c>
      <c r="R74" s="4016" t="s">
        <v>3902</v>
      </c>
    </row>
    <row r="75" spans="1:18" s="935" customFormat="1" ht="15" thickBot="1">
      <c r="A75" s="3846"/>
      <c r="B75" s="632"/>
      <c r="C75" s="3856"/>
      <c r="D75" s="3839"/>
      <c r="E75" s="626" t="s">
        <v>697</v>
      </c>
      <c r="F75" s="2749">
        <f ca="1">F22</f>
        <v>0</v>
      </c>
      <c r="O75" s="4014" t="s">
        <v>398</v>
      </c>
      <c r="P75" s="4015" t="s">
        <v>3905</v>
      </c>
      <c r="Q75" s="4033" t="e">
        <f ca="1">L69</f>
        <v>#DIV/0!</v>
      </c>
      <c r="R75" s="4016" t="s">
        <v>3907</v>
      </c>
    </row>
    <row r="76" spans="1:18" s="935" customFormat="1" ht="13.5" thickBot="1">
      <c r="A76" s="3844" t="s">
        <v>777</v>
      </c>
      <c r="B76" s="625" t="s">
        <v>727</v>
      </c>
      <c r="C76" s="3855">
        <f ca="1">ROUND(F76*F77,0)</f>
        <v>0</v>
      </c>
      <c r="D76" s="3838" t="s">
        <v>3435</v>
      </c>
      <c r="E76" s="2677" t="s">
        <v>3434</v>
      </c>
      <c r="F76" s="3853">
        <f ca="1">C53</f>
        <v>0</v>
      </c>
      <c r="O76" s="967"/>
      <c r="P76" s="968"/>
      <c r="Q76" s="3414"/>
      <c r="R76" s="969"/>
    </row>
    <row r="77" spans="1:18" s="935" customFormat="1" ht="16.5" thickBot="1">
      <c r="A77" s="3846"/>
      <c r="B77" s="632"/>
      <c r="C77" s="3856"/>
      <c r="D77" s="3839"/>
      <c r="E77" s="626" t="s">
        <v>697</v>
      </c>
      <c r="F77" s="2749">
        <f ca="1">F24</f>
        <v>0</v>
      </c>
      <c r="O77" s="976" t="s">
        <v>399</v>
      </c>
      <c r="P77" s="968" t="s">
        <v>834</v>
      </c>
      <c r="Q77" s="3415">
        <f ca="1">L60</f>
        <v>0</v>
      </c>
      <c r="R77" s="969" t="s">
        <v>854</v>
      </c>
    </row>
    <row r="78" spans="1:18" s="3977" customFormat="1" ht="13.5" thickBot="1">
      <c r="A78" s="519" t="s">
        <v>778</v>
      </c>
      <c r="B78" s="626" t="s">
        <v>713</v>
      </c>
      <c r="C78" s="2684">
        <f ca="1">ROUND(C57*F78,0)</f>
        <v>0</v>
      </c>
      <c r="D78" s="640" t="s">
        <v>3856</v>
      </c>
      <c r="E78" s="626" t="s">
        <v>697</v>
      </c>
      <c r="F78" s="2749">
        <f ca="1">F26</f>
        <v>0</v>
      </c>
      <c r="G78" s="935"/>
      <c r="H78" s="935"/>
      <c r="O78" s="976"/>
      <c r="P78" s="968"/>
      <c r="Q78" s="3415"/>
      <c r="R78" s="969"/>
    </row>
    <row r="79" spans="1:18" s="3977" customFormat="1" ht="16.5" thickBot="1">
      <c r="A79" s="633" t="s">
        <v>3931</v>
      </c>
      <c r="B79" s="643" t="s">
        <v>3879</v>
      </c>
      <c r="C79" s="2725">
        <f ca="1">C57-C65</f>
        <v>0</v>
      </c>
      <c r="D79" s="643" t="s">
        <v>3880</v>
      </c>
      <c r="E79" s="4003"/>
      <c r="F79" s="4004"/>
      <c r="O79" s="976" t="s">
        <v>400</v>
      </c>
      <c r="P79" s="1014" t="s">
        <v>3932</v>
      </c>
      <c r="Q79" s="3415">
        <f ca="1">ROUND(Q80-Q81*Q82,0)</f>
        <v>0</v>
      </c>
      <c r="R79" s="969" t="s">
        <v>408</v>
      </c>
    </row>
    <row r="80" spans="1:18" s="3977" customFormat="1" ht="13.5" thickBot="1">
      <c r="A80" s="3183" t="s">
        <v>388</v>
      </c>
      <c r="B80" s="624" t="s">
        <v>3881</v>
      </c>
      <c r="C80" s="3888" t="e">
        <f ca="1">ROUND(C79*(1-((1+F82)/(1+F80))^F81)/(F80-F82),0)</f>
        <v>#DIV/0!</v>
      </c>
      <c r="D80" s="4005" t="s">
        <v>3882</v>
      </c>
      <c r="E80" s="634" t="s">
        <v>3883</v>
      </c>
      <c r="F80" s="2749">
        <f ca="1">F28</f>
        <v>0</v>
      </c>
      <c r="O80" s="976" t="s">
        <v>405</v>
      </c>
      <c r="P80" s="1014" t="s">
        <v>3933</v>
      </c>
      <c r="Q80" s="3415">
        <f ca="1">C27</f>
        <v>0</v>
      </c>
      <c r="R80" s="969" t="s">
        <v>803</v>
      </c>
    </row>
    <row r="81" spans="1:18" s="3977" customFormat="1" ht="13.5" thickBot="1">
      <c r="A81" s="3184"/>
      <c r="B81" s="628"/>
      <c r="C81" s="4069"/>
      <c r="D81" s="4006" t="s">
        <v>3887</v>
      </c>
      <c r="E81" s="634" t="s">
        <v>3886</v>
      </c>
      <c r="F81" s="2750">
        <f ca="1">F29</f>
        <v>0</v>
      </c>
      <c r="O81" s="976" t="s">
        <v>406</v>
      </c>
      <c r="P81" s="1014" t="s">
        <v>3934</v>
      </c>
      <c r="Q81" s="3415">
        <f ca="1">C52</f>
        <v>0</v>
      </c>
      <c r="R81" s="969" t="s">
        <v>803</v>
      </c>
    </row>
    <row r="82" spans="1:18" s="3977" customFormat="1" ht="13.5" thickBot="1">
      <c r="A82" s="4030"/>
      <c r="B82" s="4031"/>
      <c r="C82" s="4031"/>
      <c r="D82" s="4007"/>
      <c r="E82" s="634" t="s">
        <v>3888</v>
      </c>
      <c r="F82" s="2744"/>
      <c r="O82" s="976" t="s">
        <v>407</v>
      </c>
      <c r="P82" s="1014" t="s">
        <v>3935</v>
      </c>
      <c r="Q82" s="3412">
        <f ca="1">C88</f>
        <v>0</v>
      </c>
      <c r="R82" s="969"/>
    </row>
    <row r="83" spans="1:18" s="3977" customFormat="1" ht="13.5" thickBot="1">
      <c r="A83" s="630"/>
      <c r="B83" s="2724" t="s">
        <v>3937</v>
      </c>
      <c r="C83" s="3829" t="e">
        <f ca="1">ROUND(C80*(1+F31),0)</f>
        <v>#DIV/0!</v>
      </c>
      <c r="D83" s="4198" t="str">
        <f>D31</f>
        <v>其他类型公式—收益价值×（1+9%）</v>
      </c>
      <c r="E83" s="1018"/>
      <c r="F83" s="4009"/>
      <c r="O83" s="976" t="s">
        <v>401</v>
      </c>
      <c r="P83" s="968" t="s">
        <v>3936</v>
      </c>
      <c r="Q83" s="3412">
        <f>L61</f>
        <v>0</v>
      </c>
      <c r="R83" s="969"/>
    </row>
    <row r="84" spans="1:18" ht="16.5" thickBot="1">
      <c r="A84" s="647" t="s">
        <v>389</v>
      </c>
      <c r="B84" s="648" t="s">
        <v>761</v>
      </c>
      <c r="C84" s="2736" t="e">
        <f ca="1">ROUND(C83/F84,0)</f>
        <v>#DIV/0!</v>
      </c>
      <c r="D84" s="4010" t="s">
        <v>3891</v>
      </c>
      <c r="E84" s="648" t="s">
        <v>3892</v>
      </c>
      <c r="F84" s="2751">
        <f ca="1">F32</f>
        <v>0</v>
      </c>
      <c r="G84" s="3977"/>
      <c r="H84" s="3977"/>
      <c r="O84" s="976" t="s">
        <v>402</v>
      </c>
      <c r="P84" s="968" t="s">
        <v>839</v>
      </c>
      <c r="Q84" s="3414"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14" t="e">
        <f ca="1">L68</f>
        <v>#DIV/0!</v>
      </c>
      <c r="R85" s="969" t="s">
        <v>841</v>
      </c>
    </row>
    <row r="86" spans="1:18" ht="13.5" thickBot="1">
      <c r="A86" s="935"/>
      <c r="B86" s="168" t="s">
        <v>859</v>
      </c>
      <c r="C86" s="1016"/>
      <c r="D86" s="935"/>
      <c r="E86" s="935"/>
      <c r="F86" s="935"/>
      <c r="K86" s="951"/>
      <c r="L86" s="935"/>
      <c r="O86" s="4014" t="s">
        <v>403</v>
      </c>
      <c r="P86" s="4018" t="s">
        <v>3941</v>
      </c>
      <c r="Q86" s="4017" t="e">
        <f ca="1">ROUND((Q74+Q75)*(1+F31),0)</f>
        <v>#DIV/0!</v>
      </c>
      <c r="R86" s="4016" t="s">
        <v>3942</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0" t="s">
        <v>679</v>
      </c>
      <c r="C6" s="712">
        <f ca="1">ROUND(F6*F8*F7*(1-F9),0)</f>
        <v>0</v>
      </c>
      <c r="D6" s="56" t="s">
        <v>2011</v>
      </c>
      <c r="E6" s="186" t="s">
        <v>681</v>
      </c>
      <c r="F6" s="187">
        <f ca="1">INDIRECT("'数据-取费表'!u"&amp;$G$1)</f>
        <v>0</v>
      </c>
      <c r="G6" s="935"/>
      <c r="H6" s="707" t="s">
        <v>392</v>
      </c>
      <c r="I6" s="4560" t="s">
        <v>679</v>
      </c>
      <c r="J6" s="185">
        <f ca="1">ROUND(M6*M8*M7*(1-M9),0)</f>
        <v>0</v>
      </c>
      <c r="K6" s="927" t="s">
        <v>2012</v>
      </c>
      <c r="L6" s="186" t="s">
        <v>681</v>
      </c>
      <c r="M6" s="187">
        <f ca="1">INDIRECT("'数据-取费表'!z"&amp;$G$1)</f>
        <v>0</v>
      </c>
    </row>
    <row r="7" spans="1:37" ht="18" customHeight="1">
      <c r="A7" s="711"/>
      <c r="B7" s="4561"/>
      <c r="C7" s="713"/>
      <c r="D7" s="191"/>
      <c r="E7" s="714" t="s">
        <v>682</v>
      </c>
      <c r="F7" s="187">
        <f ca="1">IF(INDIRECT("'数据-取费表'!ah"&amp;$G$1)="",INDIRECT("'数据-取费表'!k"&amp;$G$1),INDIRECT("'数据-取费表'!ah"&amp;$G$1))</f>
        <v>0</v>
      </c>
      <c r="G7" s="935"/>
      <c r="H7" s="188"/>
      <c r="I7" s="4561"/>
      <c r="J7" s="190"/>
      <c r="K7" s="191"/>
      <c r="L7" s="186" t="s">
        <v>682</v>
      </c>
      <c r="M7" s="187">
        <f ca="1">F7</f>
        <v>0</v>
      </c>
    </row>
    <row r="8" spans="1:37" ht="18" customHeight="1">
      <c r="A8" s="188"/>
      <c r="B8" s="4561"/>
      <c r="C8" s="190"/>
      <c r="D8" s="191"/>
      <c r="E8" s="186" t="s">
        <v>683</v>
      </c>
      <c r="F8" s="187">
        <f ca="1">INDIRECT("'数据-取费表'!ai"&amp;$G$1)</f>
        <v>0</v>
      </c>
      <c r="G8" s="935"/>
      <c r="H8" s="188"/>
      <c r="I8" s="4561"/>
      <c r="J8" s="190"/>
      <c r="K8" s="191"/>
      <c r="L8" s="186" t="s">
        <v>683</v>
      </c>
      <c r="M8" s="187">
        <f ca="1">INDIRECT("'数据-取费表'!ai"&amp;$G$1)</f>
        <v>0</v>
      </c>
    </row>
    <row r="9" spans="1:37" ht="18" customHeight="1">
      <c r="A9" s="188"/>
      <c r="B9" s="4562"/>
      <c r="C9" s="190"/>
      <c r="D9" s="191"/>
      <c r="E9" s="186" t="s">
        <v>684</v>
      </c>
      <c r="F9" s="196">
        <f ca="1">INDIRECT("'数据-取费表'!w"&amp;$G$1)</f>
        <v>0</v>
      </c>
      <c r="G9" s="935"/>
      <c r="H9" s="188"/>
      <c r="I9" s="4562"/>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2018</v>
      </c>
      <c r="E10" s="197" t="s">
        <v>686</v>
      </c>
      <c r="F10" s="749"/>
      <c r="G10" s="935"/>
      <c r="H10" s="707" t="s">
        <v>396</v>
      </c>
      <c r="I10" s="917" t="s">
        <v>685</v>
      </c>
      <c r="J10" s="185">
        <f ca="1">ROUND(IF(M10="押一",J6/12*M11,IF(M10="押二",J6/12*2*M11,IF(M10="押三",J6/12*3*M11,J11*M11))),0)</f>
        <v>0</v>
      </c>
      <c r="K10" s="928" t="s">
        <v>2020</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3215</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0.05</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0.03</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3</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1.5E-3</v>
      </c>
      <c r="D24" s="55" t="str">
        <f>IF(F23&lt;=1,"销售费用×利率×(建设周期÷2)","销售费用×((1+利率)^(建设周期÷2)-1)")</f>
        <v>销售费用×((1+利率)^(建设周期÷2)-1)</v>
      </c>
      <c r="E24" s="186" t="s">
        <v>732</v>
      </c>
      <c r="F24" s="213">
        <f ca="1">'数据-取费表'!B41</f>
        <v>3.2500000000000001E-2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6" t="s">
        <v>2196</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3215</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1.5</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3231</v>
      </c>
      <c r="B45" s="949"/>
      <c r="C45" s="1019" t="e">
        <f ca="1">ROUND((C68-C40)/10000,4)</f>
        <v>#DIV/0!</v>
      </c>
      <c r="D45" s="2457" t="s">
        <v>3232</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2021</v>
      </c>
      <c r="E53" s="197" t="s">
        <v>686</v>
      </c>
      <c r="F53" s="749"/>
      <c r="I53" s="986" t="s">
        <v>821</v>
      </c>
      <c r="J53" s="1590">
        <f ca="1">IF(M47="住宅",IF(D1="——",MAX(J51,L48),MAX(J51,L48-'数据-取费表'!B24)),IF(D1="——",MIN(J51,L48),MIN(J51,L48-'数据-取费表'!B24)))</f>
        <v>0</v>
      </c>
      <c r="K53" s="4552" t="s">
        <v>822</v>
      </c>
      <c r="L53" s="4553"/>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3215</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2317</v>
      </c>
      <c r="B1" s="2055"/>
      <c r="C1" s="2463"/>
      <c r="D1" s="2079" t="s">
        <v>4068</v>
      </c>
      <c r="E1" s="4246" t="s">
        <v>4069</v>
      </c>
      <c r="F1" s="2056"/>
      <c r="G1" s="2057"/>
      <c r="J1" s="2060" t="s">
        <v>2204</v>
      </c>
      <c r="K1" s="2061"/>
      <c r="L1" s="2061"/>
      <c r="M1" s="2061"/>
      <c r="N1" s="2061"/>
      <c r="O1" s="2061"/>
      <c r="P1" s="2061"/>
      <c r="Q1" s="2061"/>
      <c r="R1" s="2062"/>
      <c r="S1" s="2063"/>
      <c r="T1" s="2063"/>
      <c r="U1" s="2063"/>
    </row>
    <row r="2" spans="1:22" s="2074" customFormat="1" ht="13.15" customHeight="1">
      <c r="A2" s="936" t="s">
        <v>2205</v>
      </c>
      <c r="B2" s="3423" t="e">
        <f>IF(C1="含税",ROUND((C40+E2)*(1+E1),0),C40+E2)</f>
        <v>#DIV/0!</v>
      </c>
      <c r="C2" s="2065" t="s">
        <v>2206</v>
      </c>
      <c r="D2" s="2079" t="s">
        <v>4070</v>
      </c>
      <c r="E2" s="4245"/>
      <c r="F2" s="2067"/>
      <c r="G2" s="2068"/>
      <c r="H2" s="2069"/>
      <c r="I2" s="2070"/>
      <c r="J2" s="4569" t="s">
        <v>2207</v>
      </c>
      <c r="K2" s="4570"/>
      <c r="L2" s="2071" t="s">
        <v>2208</v>
      </c>
      <c r="M2" s="2071" t="s">
        <v>2209</v>
      </c>
      <c r="N2" s="2071" t="s">
        <v>2210</v>
      </c>
      <c r="O2" s="2071" t="s">
        <v>2211</v>
      </c>
      <c r="P2" s="2071" t="s">
        <v>2212</v>
      </c>
      <c r="Q2" s="2072" t="s">
        <v>2213</v>
      </c>
      <c r="R2" s="2073" t="s">
        <v>2214</v>
      </c>
      <c r="S2" s="2063"/>
      <c r="T2" s="2063"/>
      <c r="U2" s="2063"/>
      <c r="V2" s="2070"/>
    </row>
    <row r="3" spans="1:22" s="2074" customFormat="1" ht="13.15" customHeight="1">
      <c r="A3" s="2075" t="s">
        <v>2215</v>
      </c>
      <c r="B3" s="3424" t="e">
        <f>ROUND(B2*10000/B4,0)</f>
        <v>#DIV/0!</v>
      </c>
      <c r="C3" s="2065" t="s">
        <v>2216</v>
      </c>
      <c r="D3" s="2065"/>
      <c r="E3" s="2066"/>
      <c r="F3" s="2067"/>
      <c r="G3" s="2068"/>
      <c r="H3" s="2069"/>
      <c r="I3" s="2070"/>
      <c r="J3" s="4571" t="s">
        <v>2217</v>
      </c>
      <c r="K3" s="4572"/>
      <c r="L3" s="2076"/>
      <c r="M3" s="2076"/>
      <c r="N3" s="2076"/>
      <c r="O3" s="2076"/>
      <c r="P3" s="2076"/>
      <c r="Q3" s="2077"/>
      <c r="R3" s="2078">
        <f>SUM(L3:Q3)</f>
        <v>0</v>
      </c>
      <c r="S3" s="2063"/>
      <c r="T3" s="2063"/>
      <c r="U3" s="2063"/>
      <c r="V3" s="2070"/>
    </row>
    <row r="4" spans="1:22" s="2074" customFormat="1" ht="13.15" customHeight="1">
      <c r="A4" s="2079" t="s">
        <v>2218</v>
      </c>
      <c r="B4" s="2112"/>
      <c r="C4" s="2065"/>
      <c r="D4" s="2065"/>
      <c r="E4" s="2066"/>
      <c r="F4" s="2067"/>
      <c r="G4" s="2068"/>
      <c r="H4" s="2069"/>
      <c r="I4" s="2070"/>
      <c r="J4" s="4571" t="s">
        <v>2219</v>
      </c>
      <c r="K4" s="4572"/>
      <c r="L4" s="2081"/>
      <c r="M4" s="2081"/>
      <c r="N4" s="2081"/>
      <c r="O4" s="2081"/>
      <c r="P4" s="2081"/>
      <c r="Q4" s="2082"/>
      <c r="R4" s="2083">
        <f>SUM(L4:Q4)</f>
        <v>0</v>
      </c>
      <c r="S4" s="2063"/>
      <c r="T4" s="2063"/>
      <c r="U4" s="2063"/>
      <c r="V4" s="2070"/>
    </row>
    <row r="5" spans="1:22" s="2074" customFormat="1" ht="13.15" customHeight="1" thickBot="1">
      <c r="A5" s="2084" t="s">
        <v>2220</v>
      </c>
      <c r="B5" s="3425"/>
      <c r="C5" s="2065"/>
      <c r="D5" s="2085"/>
      <c r="E5" s="2067"/>
      <c r="F5" s="2067"/>
      <c r="G5" s="2068"/>
      <c r="H5" s="2069"/>
      <c r="I5" s="2070"/>
      <c r="J5" s="2086" t="s">
        <v>2221</v>
      </c>
      <c r="K5" s="2087"/>
      <c r="L5" s="2087"/>
      <c r="M5" s="2088"/>
      <c r="N5" s="2088"/>
      <c r="O5" s="2088"/>
      <c r="P5" s="2088"/>
      <c r="Q5" s="2088"/>
      <c r="R5" s="2073">
        <f>SUM(R14,R19,R24,R25,R27,R28)</f>
        <v>0</v>
      </c>
      <c r="S5" s="2063"/>
      <c r="T5" s="2063" t="s">
        <v>2222</v>
      </c>
      <c r="U5" s="2063" t="e">
        <f>ROUND(R5*10000/365/R3,1)</f>
        <v>#DIV/0!</v>
      </c>
      <c r="V5" s="2070"/>
    </row>
    <row r="6" spans="1:22" s="2074" customFormat="1" ht="13.15" customHeight="1" thickBot="1">
      <c r="A6" s="4578" t="s">
        <v>3782</v>
      </c>
      <c r="B6" s="4579"/>
      <c r="C6" s="4580"/>
      <c r="D6" s="3426"/>
      <c r="E6" s="3556"/>
      <c r="F6" s="2090"/>
      <c r="G6" s="2091"/>
      <c r="H6" s="2069"/>
      <c r="I6" s="2070"/>
      <c r="J6" s="4563">
        <v>1</v>
      </c>
      <c r="K6" s="4564" t="s">
        <v>2223</v>
      </c>
      <c r="L6" s="2092" t="s">
        <v>2224</v>
      </c>
      <c r="M6" s="2093" t="s">
        <v>2225</v>
      </c>
      <c r="N6" s="2093" t="s">
        <v>2226</v>
      </c>
      <c r="O6" s="2093" t="s">
        <v>2227</v>
      </c>
      <c r="P6" s="2093" t="s">
        <v>2228</v>
      </c>
      <c r="Q6" s="2093" t="s">
        <v>2229</v>
      </c>
      <c r="R6" s="2078" t="s">
        <v>2230</v>
      </c>
      <c r="S6" s="2063"/>
      <c r="T6" s="2063" t="s">
        <v>2231</v>
      </c>
      <c r="U6" s="2063"/>
      <c r="V6" s="2070"/>
    </row>
    <row r="7" spans="1:22" s="2074" customFormat="1" ht="13.15" customHeight="1">
      <c r="A7" s="2094" t="s">
        <v>2232</v>
      </c>
      <c r="B7" s="2095"/>
      <c r="C7" s="2096"/>
      <c r="D7" s="3427">
        <f>SUM(D9,D10,D11,D17,0)</f>
        <v>0</v>
      </c>
      <c r="E7" s="2097" t="e">
        <f>E9+E10+E11+E17</f>
        <v>#DIV/0!</v>
      </c>
      <c r="F7" s="2098"/>
      <c r="G7" s="2099"/>
      <c r="H7" s="2069"/>
      <c r="I7" s="2070"/>
      <c r="J7" s="4563"/>
      <c r="K7" s="4565"/>
      <c r="L7" s="2100" t="s">
        <v>2233</v>
      </c>
      <c r="M7" s="3654"/>
      <c r="N7" s="3653"/>
      <c r="O7" s="4202"/>
      <c r="P7" s="4202"/>
      <c r="Q7" s="3653">
        <v>365</v>
      </c>
      <c r="R7" s="3652">
        <f>ROUND(M7*N7*O7*P7*Q7/10000,0)</f>
        <v>0</v>
      </c>
      <c r="S7" s="2063"/>
      <c r="T7" s="2063" t="s">
        <v>2234</v>
      </c>
      <c r="U7" s="2063"/>
      <c r="V7" s="2070"/>
    </row>
    <row r="8" spans="1:22" s="2074" customFormat="1" ht="13.15" customHeight="1">
      <c r="A8" s="2104" t="s">
        <v>2235</v>
      </c>
      <c r="B8" s="4581" t="s">
        <v>2236</v>
      </c>
      <c r="C8" s="4582"/>
      <c r="D8" s="4042" t="s">
        <v>3944</v>
      </c>
      <c r="E8" s="2105" t="s">
        <v>2237</v>
      </c>
      <c r="F8" s="2106" t="s">
        <v>2238</v>
      </c>
      <c r="G8" s="2107"/>
      <c r="H8" s="2069"/>
      <c r="I8" s="2070"/>
      <c r="J8" s="4563"/>
      <c r="K8" s="4565"/>
      <c r="L8" s="2100" t="s">
        <v>2239</v>
      </c>
      <c r="M8" s="3654"/>
      <c r="N8" s="3653"/>
      <c r="O8" s="4202"/>
      <c r="P8" s="4202"/>
      <c r="Q8" s="3653">
        <v>365</v>
      </c>
      <c r="R8" s="3652">
        <f t="shared" ref="R8:R13" si="0">ROUND(M8*N8*O8*P8*Q8/10000,0)</f>
        <v>0</v>
      </c>
      <c r="S8" s="2063"/>
      <c r="T8" s="2063" t="s">
        <v>2240</v>
      </c>
      <c r="U8" s="2063"/>
      <c r="V8" s="2070"/>
    </row>
    <row r="9" spans="1:22" s="2074" customFormat="1" ht="13.15" customHeight="1">
      <c r="A9" s="2104">
        <v>1</v>
      </c>
      <c r="B9" s="4581" t="s">
        <v>2241</v>
      </c>
      <c r="C9" s="4582"/>
      <c r="D9" s="3428">
        <f>ROUND(D6*E9,0)</f>
        <v>0</v>
      </c>
      <c r="E9" s="3429"/>
      <c r="F9" s="2108" t="s">
        <v>2242</v>
      </c>
      <c r="G9" s="2091"/>
      <c r="H9" s="2069"/>
      <c r="I9" s="2070"/>
      <c r="J9" s="4563"/>
      <c r="K9" s="4565"/>
      <c r="L9" s="2100" t="s">
        <v>2243</v>
      </c>
      <c r="M9" s="3654"/>
      <c r="N9" s="3653"/>
      <c r="O9" s="4202"/>
      <c r="P9" s="4202"/>
      <c r="Q9" s="3653">
        <v>365</v>
      </c>
      <c r="R9" s="3652">
        <f t="shared" si="0"/>
        <v>0</v>
      </c>
      <c r="S9" s="2063"/>
      <c r="T9" s="2063"/>
      <c r="U9" s="2063"/>
      <c r="V9" s="2070"/>
    </row>
    <row r="10" spans="1:22" s="2074" customFormat="1" ht="13.15" customHeight="1">
      <c r="A10" s="2104">
        <v>2</v>
      </c>
      <c r="B10" s="4581" t="s">
        <v>2244</v>
      </c>
      <c r="C10" s="4582"/>
      <c r="D10" s="3428">
        <f>ROUND(D6*E10,0)</f>
        <v>0</v>
      </c>
      <c r="E10" s="3429"/>
      <c r="F10" s="3551" t="s">
        <v>3707</v>
      </c>
      <c r="G10" s="2091"/>
      <c r="H10" s="2069"/>
      <c r="I10" s="2070"/>
      <c r="J10" s="4563"/>
      <c r="K10" s="4565"/>
      <c r="L10" s="2100" t="s">
        <v>2245</v>
      </c>
      <c r="M10" s="3654"/>
      <c r="N10" s="3653"/>
      <c r="O10" s="4202"/>
      <c r="P10" s="4202"/>
      <c r="Q10" s="3653">
        <v>365</v>
      </c>
      <c r="R10" s="3652">
        <f t="shared" si="0"/>
        <v>0</v>
      </c>
      <c r="S10" s="2063"/>
      <c r="T10" s="2063"/>
      <c r="U10" s="2063"/>
      <c r="V10" s="2070"/>
    </row>
    <row r="11" spans="1:22" s="2074" customFormat="1" ht="13.15" customHeight="1">
      <c r="A11" s="2104">
        <v>3</v>
      </c>
      <c r="B11" s="4581" t="s">
        <v>2246</v>
      </c>
      <c r="C11" s="4582"/>
      <c r="D11" s="3428">
        <f>D12+D14+D15+D16</f>
        <v>0</v>
      </c>
      <c r="E11" s="3430" t="e">
        <f>D11/D6</f>
        <v>#DIV/0!</v>
      </c>
      <c r="F11" s="2106"/>
      <c r="G11" s="2107"/>
      <c r="H11" s="2069"/>
      <c r="I11" s="2070"/>
      <c r="J11" s="4563"/>
      <c r="K11" s="4565"/>
      <c r="L11" s="2100" t="s">
        <v>2247</v>
      </c>
      <c r="M11" s="3654"/>
      <c r="N11" s="3653"/>
      <c r="O11" s="4202"/>
      <c r="P11" s="4202"/>
      <c r="Q11" s="3653">
        <v>365</v>
      </c>
      <c r="R11" s="3652">
        <f t="shared" si="0"/>
        <v>0</v>
      </c>
      <c r="S11" s="2063"/>
      <c r="T11" s="2063"/>
      <c r="U11" s="2063"/>
      <c r="V11" s="2070"/>
    </row>
    <row r="12" spans="1:22" s="2074" customFormat="1" ht="13.15" customHeight="1">
      <c r="A12" s="2109" t="s">
        <v>2248</v>
      </c>
      <c r="B12" s="4575" t="s">
        <v>2249</v>
      </c>
      <c r="C12" s="4574"/>
      <c r="D12" s="3431">
        <f>ROUND(D13*1.2%*(1-30%),0)</f>
        <v>0</v>
      </c>
      <c r="E12" s="3432">
        <v>1.2E-2</v>
      </c>
      <c r="F12" s="2106" t="s">
        <v>2250</v>
      </c>
      <c r="G12" s="2107"/>
      <c r="H12" s="2069"/>
      <c r="I12" s="2070"/>
      <c r="J12" s="4563"/>
      <c r="K12" s="4565"/>
      <c r="L12" s="2100" t="s">
        <v>2251</v>
      </c>
      <c r="M12" s="3654"/>
      <c r="N12" s="3653"/>
      <c r="O12" s="4202"/>
      <c r="P12" s="4202"/>
      <c r="Q12" s="3653">
        <v>365</v>
      </c>
      <c r="R12" s="3652">
        <f t="shared" si="0"/>
        <v>0</v>
      </c>
      <c r="S12" s="2063"/>
      <c r="T12" s="2063"/>
      <c r="U12" s="2063"/>
      <c r="V12" s="2070"/>
    </row>
    <row r="13" spans="1:22" s="2074" customFormat="1" ht="13.15" customHeight="1">
      <c r="A13" s="2109"/>
      <c r="B13" s="2110"/>
      <c r="C13" s="2111" t="s">
        <v>2252</v>
      </c>
      <c r="D13" s="3433"/>
      <c r="E13" s="2113"/>
      <c r="F13" s="2106"/>
      <c r="G13" s="2107"/>
      <c r="H13" s="2069"/>
      <c r="I13" s="2070"/>
      <c r="J13" s="4563"/>
      <c r="K13" s="4565"/>
      <c r="L13" s="2100" t="s">
        <v>2253</v>
      </c>
      <c r="M13" s="3654"/>
      <c r="N13" s="3653"/>
      <c r="O13" s="4202"/>
      <c r="P13" s="4202"/>
      <c r="Q13" s="3653">
        <v>365</v>
      </c>
      <c r="R13" s="3652">
        <f t="shared" si="0"/>
        <v>0</v>
      </c>
      <c r="S13" s="2063"/>
      <c r="T13" s="2063"/>
      <c r="U13" s="2063"/>
      <c r="V13" s="2070"/>
    </row>
    <row r="14" spans="1:22" s="2074" customFormat="1" ht="13.15" customHeight="1">
      <c r="A14" s="2109" t="s">
        <v>2254</v>
      </c>
      <c r="B14" s="4575" t="s">
        <v>2255</v>
      </c>
      <c r="C14" s="4574"/>
      <c r="D14" s="3431">
        <f>ROUND(E14*B5/10000,0)</f>
        <v>0</v>
      </c>
      <c r="E14" s="3434"/>
      <c r="F14" s="2106" t="s">
        <v>2256</v>
      </c>
      <c r="G14" s="2107"/>
      <c r="H14" s="2069"/>
      <c r="I14" s="2070"/>
      <c r="J14" s="4563"/>
      <c r="K14" s="4566"/>
      <c r="L14" s="2114" t="s">
        <v>2257</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2258</v>
      </c>
      <c r="B15" s="4573" t="s">
        <v>3779</v>
      </c>
      <c r="C15" s="4574"/>
      <c r="D15" s="3431">
        <f>IF(F15="酒店",E48*(1+E15),IF(F15="购物中心",E67*(1+E15),IF(F15="按比例计算-酒店",E46,E65)))</f>
        <v>0</v>
      </c>
      <c r="E15" s="3432">
        <f>'数据-取费表'!B44</f>
        <v>0.1</v>
      </c>
      <c r="F15" s="3554" t="s">
        <v>3838</v>
      </c>
      <c r="G15" s="3555"/>
      <c r="H15" s="2069"/>
      <c r="I15" s="2070"/>
      <c r="J15" s="4563">
        <v>2</v>
      </c>
      <c r="K15" s="4564" t="s">
        <v>2259</v>
      </c>
      <c r="L15" s="2100" t="s">
        <v>2260</v>
      </c>
      <c r="M15" s="2101" t="s">
        <v>2261</v>
      </c>
      <c r="N15" s="2101" t="s">
        <v>2262</v>
      </c>
      <c r="O15" s="2102" t="s">
        <v>2263</v>
      </c>
      <c r="P15" s="2102" t="s">
        <v>2229</v>
      </c>
      <c r="Q15" s="2080" t="s">
        <v>2264</v>
      </c>
      <c r="R15" s="2118" t="s">
        <v>2230</v>
      </c>
      <c r="S15" s="2063"/>
      <c r="T15" s="2063"/>
      <c r="U15" s="2063"/>
      <c r="V15" s="2070"/>
    </row>
    <row r="16" spans="1:22" s="2074" customFormat="1" ht="13.15" customHeight="1">
      <c r="A16" s="2109" t="s">
        <v>2265</v>
      </c>
      <c r="B16" s="4575" t="s">
        <v>2266</v>
      </c>
      <c r="C16" s="4574"/>
      <c r="D16" s="3435">
        <f>D6*E16</f>
        <v>0</v>
      </c>
      <c r="E16" s="3436"/>
      <c r="F16" s="2108" t="s">
        <v>2267</v>
      </c>
      <c r="G16" s="2091"/>
      <c r="H16" s="2069"/>
      <c r="I16" s="2070"/>
      <c r="J16" s="4563"/>
      <c r="K16" s="4565"/>
      <c r="L16" s="2100" t="s">
        <v>2268</v>
      </c>
      <c r="M16" s="3654"/>
      <c r="N16" s="3654"/>
      <c r="O16" s="4204"/>
      <c r="P16" s="3653">
        <v>365</v>
      </c>
      <c r="Q16" s="3653"/>
      <c r="R16" s="3652">
        <f>ROUND(M16*N16*O16*P16/10000,0)</f>
        <v>0</v>
      </c>
      <c r="S16" s="2063"/>
      <c r="T16" s="2063"/>
      <c r="U16" s="2063"/>
      <c r="V16" s="2070"/>
    </row>
    <row r="17" spans="1:22" s="2074" customFormat="1" ht="13.15" customHeight="1" thickBot="1">
      <c r="A17" s="2119">
        <v>4</v>
      </c>
      <c r="B17" s="4576" t="s">
        <v>2269</v>
      </c>
      <c r="C17" s="4577"/>
      <c r="D17" s="3437">
        <f>ROUND(D6*E17,0)</f>
        <v>0</v>
      </c>
      <c r="E17" s="3438"/>
      <c r="F17" s="3552" t="s">
        <v>3708</v>
      </c>
      <c r="G17" s="2091"/>
      <c r="H17" s="2069"/>
      <c r="I17" s="2070"/>
      <c r="J17" s="4563"/>
      <c r="K17" s="4565"/>
      <c r="L17" s="2100" t="s">
        <v>2270</v>
      </c>
      <c r="M17" s="3654"/>
      <c r="N17" s="3654"/>
      <c r="O17" s="4204"/>
      <c r="P17" s="3653">
        <v>365</v>
      </c>
      <c r="Q17" s="3653"/>
      <c r="R17" s="3652">
        <f>ROUND(M17*N17*O17*P17/10000,0)</f>
        <v>0</v>
      </c>
      <c r="S17" s="2063"/>
      <c r="T17" s="2063"/>
      <c r="U17" s="2063"/>
      <c r="V17" s="2070"/>
    </row>
    <row r="18" spans="1:22" s="2074" customFormat="1" ht="13.15" customHeight="1" thickBot="1">
      <c r="A18" s="2094" t="s">
        <v>2271</v>
      </c>
      <c r="B18" s="2095"/>
      <c r="C18" s="2095"/>
      <c r="D18" s="3439">
        <f>ROUND(D6*E18,0)</f>
        <v>0</v>
      </c>
      <c r="E18" s="3440"/>
      <c r="F18" s="2120" t="s">
        <v>2272</v>
      </c>
      <c r="G18" s="2091"/>
      <c r="H18" s="2069"/>
      <c r="I18" s="2070"/>
      <c r="J18" s="4563"/>
      <c r="K18" s="4565"/>
      <c r="L18" s="2100" t="s">
        <v>2273</v>
      </c>
      <c r="M18" s="3654"/>
      <c r="N18" s="3654"/>
      <c r="O18" s="4204"/>
      <c r="P18" s="3653">
        <v>365</v>
      </c>
      <c r="Q18" s="3653"/>
      <c r="R18" s="3652">
        <f>ROUND(M18*N18*O18*P18/10000,0)</f>
        <v>0</v>
      </c>
      <c r="S18" s="2063"/>
      <c r="T18" s="2063"/>
      <c r="U18" s="2063"/>
      <c r="V18" s="2070"/>
    </row>
    <row r="19" spans="1:22" s="2074" customFormat="1" ht="13.15" customHeight="1" thickBot="1">
      <c r="A19" s="4255" t="s">
        <v>4074</v>
      </c>
      <c r="B19" s="2089"/>
      <c r="C19" s="2089"/>
      <c r="D19" s="2089"/>
      <c r="E19" s="2089"/>
      <c r="F19" s="2090"/>
      <c r="G19" s="2107"/>
      <c r="H19" s="2069"/>
      <c r="I19" s="2070"/>
      <c r="J19" s="4563"/>
      <c r="K19" s="4566"/>
      <c r="L19" s="2114" t="s">
        <v>2257</v>
      </c>
      <c r="M19" s="2115"/>
      <c r="N19" s="2115">
        <f>SUM(N16:N18)</f>
        <v>0</v>
      </c>
      <c r="O19" s="2116"/>
      <c r="P19" s="2121" t="s">
        <v>2316</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63">
        <v>3</v>
      </c>
      <c r="K20" s="4564" t="s">
        <v>2274</v>
      </c>
      <c r="L20" s="2100" t="s">
        <v>2275</v>
      </c>
      <c r="M20" s="2101" t="s">
        <v>2276</v>
      </c>
      <c r="N20" s="2123" t="s">
        <v>2277</v>
      </c>
      <c r="O20" s="2102" t="s">
        <v>2278</v>
      </c>
      <c r="P20" s="2103" t="s">
        <v>2279</v>
      </c>
      <c r="Q20" s="2080" t="s">
        <v>2280</v>
      </c>
      <c r="R20" s="2118" t="s">
        <v>2281</v>
      </c>
      <c r="S20" s="2063"/>
      <c r="T20" s="2063"/>
      <c r="U20" s="2063"/>
      <c r="V20" s="2070"/>
    </row>
    <row r="21" spans="1:22" s="2074" customFormat="1" ht="13.15" customHeight="1">
      <c r="A21" s="2094"/>
      <c r="B21" s="2095"/>
      <c r="C21" s="2124" t="s">
        <v>2282</v>
      </c>
      <c r="D21" s="2125" t="s">
        <v>2283</v>
      </c>
      <c r="E21" s="2126" t="s">
        <v>2284</v>
      </c>
      <c r="F21" s="2122"/>
      <c r="G21" s="2107"/>
      <c r="H21" s="2069"/>
      <c r="I21" s="2070"/>
      <c r="J21" s="4563"/>
      <c r="K21" s="4565"/>
      <c r="L21" s="2100" t="s">
        <v>2285</v>
      </c>
      <c r="M21" s="3654"/>
      <c r="N21" s="3654"/>
      <c r="O21" s="4203"/>
      <c r="P21" s="3653">
        <v>365</v>
      </c>
      <c r="Q21" s="3653"/>
      <c r="R21" s="3655">
        <f>ROUND(M21*N21*O21*P21/10000,0)</f>
        <v>0</v>
      </c>
      <c r="S21" s="2063"/>
      <c r="T21" s="2063"/>
      <c r="U21" s="2063"/>
      <c r="V21" s="2070"/>
    </row>
    <row r="22" spans="1:22" s="2074" customFormat="1" ht="13.15" customHeight="1">
      <c r="A22" s="2094"/>
      <c r="B22" s="2095"/>
      <c r="C22" s="2127" t="s">
        <v>2286</v>
      </c>
      <c r="D22" s="2128" t="s">
        <v>2287</v>
      </c>
      <c r="E22" s="2129" t="s">
        <v>2288</v>
      </c>
      <c r="F22" s="2122"/>
      <c r="G22" s="2063"/>
      <c r="H22" s="2069"/>
      <c r="I22" s="2070"/>
      <c r="J22" s="4563"/>
      <c r="K22" s="4565"/>
      <c r="L22" s="2100" t="s">
        <v>2289</v>
      </c>
      <c r="M22" s="3654"/>
      <c r="N22" s="3654"/>
      <c r="O22" s="4203"/>
      <c r="P22" s="3653">
        <v>365</v>
      </c>
      <c r="Q22" s="3653"/>
      <c r="R22" s="3655">
        <f>ROUND(M22*N22*O22*P22/10000,0)</f>
        <v>0</v>
      </c>
      <c r="S22" s="2063"/>
      <c r="T22" s="2063"/>
      <c r="U22" s="2063"/>
      <c r="V22" s="2070"/>
    </row>
    <row r="23" spans="1:22" s="2074" customFormat="1" ht="13.15" customHeight="1">
      <c r="A23" s="2130">
        <v>1</v>
      </c>
      <c r="B23" s="2131" t="s">
        <v>2290</v>
      </c>
      <c r="C23" s="2136">
        <f>D6</f>
        <v>0</v>
      </c>
      <c r="D23" s="3449">
        <f>C23*(1+D24)</f>
        <v>0</v>
      </c>
      <c r="E23" s="3450">
        <f>D23*(1+E24)</f>
        <v>0</v>
      </c>
      <c r="F23" s="2132"/>
      <c r="G23" s="2133"/>
      <c r="H23" s="2069"/>
      <c r="I23" s="2070"/>
      <c r="J23" s="4563"/>
      <c r="K23" s="4565"/>
      <c r="L23" s="2100" t="s">
        <v>2291</v>
      </c>
      <c r="M23" s="3654"/>
      <c r="N23" s="3654"/>
      <c r="O23" s="4203"/>
      <c r="P23" s="3653">
        <v>365</v>
      </c>
      <c r="Q23" s="3653"/>
      <c r="R23" s="3655">
        <f>ROUND(M23*N23*O23*P23/10000,0)</f>
        <v>0</v>
      </c>
      <c r="S23" s="2063"/>
      <c r="T23" s="2063"/>
      <c r="U23" s="2063"/>
      <c r="V23" s="2070"/>
    </row>
    <row r="24" spans="1:22" s="2074" customFormat="1" ht="13.15" customHeight="1">
      <c r="A24" s="2134"/>
      <c r="B24" s="2135" t="s">
        <v>2292</v>
      </c>
      <c r="C24" s="2136"/>
      <c r="D24" s="2137"/>
      <c r="E24" s="2138"/>
      <c r="F24" s="2139"/>
      <c r="G24" s="2133"/>
      <c r="H24" s="2069"/>
      <c r="I24" s="2070"/>
      <c r="J24" s="4563"/>
      <c r="K24" s="4566"/>
      <c r="L24" s="2114" t="s">
        <v>2257</v>
      </c>
      <c r="M24" s="2115">
        <f>SUM(M21:M23)</f>
        <v>0</v>
      </c>
      <c r="N24" s="2115"/>
      <c r="O24" s="2116"/>
      <c r="P24" s="2121" t="s">
        <v>2316</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2293</v>
      </c>
      <c r="L25" s="2142"/>
      <c r="M25" s="2142"/>
      <c r="N25" s="2142"/>
      <c r="O25" s="2142"/>
      <c r="P25" s="2143"/>
      <c r="Q25" s="2144">
        <v>0</v>
      </c>
      <c r="R25" s="3656">
        <f>ROUND(R14*Q25,0)</f>
        <v>0</v>
      </c>
      <c r="S25" s="2063"/>
      <c r="T25" s="2063"/>
      <c r="U25" s="2063"/>
      <c r="V25" s="2145"/>
    </row>
    <row r="26" spans="1:22" s="2146" customFormat="1" ht="13.15" customHeight="1">
      <c r="A26" s="2130">
        <v>2</v>
      </c>
      <c r="B26" s="2131" t="s">
        <v>2294</v>
      </c>
      <c r="C26" s="2136">
        <f>D7</f>
        <v>0</v>
      </c>
      <c r="D26" s="3441">
        <f>D23*D27</f>
        <v>0</v>
      </c>
      <c r="E26" s="3442">
        <f>E23*E27</f>
        <v>0</v>
      </c>
      <c r="F26" s="2132"/>
      <c r="G26" s="2133"/>
      <c r="H26" s="2069"/>
      <c r="I26" s="2070"/>
      <c r="J26" s="4567">
        <v>5</v>
      </c>
      <c r="K26" s="2147" t="s">
        <v>2295</v>
      </c>
      <c r="L26" s="2148"/>
      <c r="M26" s="2149"/>
      <c r="N26" s="2150" t="s">
        <v>2296</v>
      </c>
      <c r="O26" s="2150" t="s">
        <v>2297</v>
      </c>
      <c r="P26" s="2151" t="s">
        <v>2298</v>
      </c>
      <c r="Q26" s="2151" t="s">
        <v>2299</v>
      </c>
      <c r="R26" s="2078" t="s">
        <v>2230</v>
      </c>
      <c r="S26" s="2107"/>
      <c r="T26" s="2107"/>
      <c r="U26" s="2107"/>
      <c r="V26" s="2145"/>
    </row>
    <row r="27" spans="1:22" s="2074" customFormat="1" ht="13.15" customHeight="1">
      <c r="A27" s="2134"/>
      <c r="B27" s="2135" t="s">
        <v>2300</v>
      </c>
      <c r="C27" s="2152" t="e">
        <f>E7</f>
        <v>#DIV/0!</v>
      </c>
      <c r="D27" s="2137"/>
      <c r="E27" s="2138"/>
      <c r="F27" s="2139"/>
      <c r="G27" s="2133"/>
      <c r="H27" s="2153"/>
      <c r="I27" s="2145"/>
      <c r="J27" s="4568"/>
      <c r="K27" s="2154"/>
      <c r="L27" s="2155"/>
      <c r="M27" s="2156"/>
      <c r="N27" s="3454"/>
      <c r="O27" s="3454"/>
      <c r="P27" s="3454"/>
      <c r="Q27" s="4205"/>
      <c r="R27" s="3656">
        <f>ROUND(O27*N27*P27*(1-Q27)/10000,0)</f>
        <v>0</v>
      </c>
      <c r="S27" s="2063"/>
      <c r="T27" s="2063"/>
      <c r="U27" s="2063"/>
      <c r="V27" s="2070"/>
    </row>
    <row r="28" spans="1:22" s="2146" customFormat="1" ht="13.15" customHeight="1" thickBot="1">
      <c r="A28" s="2134"/>
      <c r="B28" s="2135"/>
      <c r="C28" s="2152"/>
      <c r="D28" s="2137"/>
      <c r="E28" s="2138" t="s">
        <v>2301</v>
      </c>
      <c r="F28" s="2139"/>
      <c r="G28" s="2063"/>
      <c r="H28" s="2153"/>
      <c r="I28" s="2145"/>
      <c r="J28" s="2157">
        <v>6</v>
      </c>
      <c r="K28" s="2158" t="s">
        <v>2302</v>
      </c>
      <c r="L28" s="2159" t="s">
        <v>2303</v>
      </c>
      <c r="M28" s="3456"/>
      <c r="N28" s="2159" t="s">
        <v>2304</v>
      </c>
      <c r="O28" s="2161"/>
      <c r="P28" s="2159" t="s">
        <v>2305</v>
      </c>
      <c r="Q28" s="2162">
        <v>1.4999999999999999E-2</v>
      </c>
      <c r="R28" s="3455"/>
      <c r="S28" s="2063"/>
      <c r="T28" s="2063"/>
      <c r="U28" s="2063"/>
      <c r="V28" s="2145"/>
    </row>
    <row r="29" spans="1:22" s="2146" customFormat="1" ht="13.15" customHeight="1">
      <c r="A29" s="2130">
        <v>3</v>
      </c>
      <c r="B29" s="2131" t="s">
        <v>2306</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2300</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2307</v>
      </c>
      <c r="K31" s="2061"/>
      <c r="L31" s="2061"/>
      <c r="M31" s="2061"/>
      <c r="N31" s="2061"/>
      <c r="O31" s="2061"/>
      <c r="P31" s="2061"/>
      <c r="Q31" s="2061"/>
      <c r="R31" s="2062"/>
      <c r="S31" s="2063"/>
      <c r="T31" s="2063"/>
      <c r="U31" s="2063"/>
      <c r="V31" s="2145"/>
    </row>
    <row r="32" spans="1:22" s="2146" customFormat="1" ht="13.15" customHeight="1">
      <c r="A32" s="2130">
        <v>4</v>
      </c>
      <c r="B32" s="2131" t="s">
        <v>2308</v>
      </c>
      <c r="C32" s="2136">
        <f>C23-C26-C29</f>
        <v>0</v>
      </c>
      <c r="D32" s="3441">
        <f>D23-D26-D29</f>
        <v>0</v>
      </c>
      <c r="E32" s="3442">
        <f>E23-E26-E29</f>
        <v>0</v>
      </c>
      <c r="F32" s="2132"/>
      <c r="G32" s="2063"/>
      <c r="H32" s="2069"/>
      <c r="I32" s="2070"/>
      <c r="J32" s="4569" t="s">
        <v>2207</v>
      </c>
      <c r="K32" s="4570"/>
      <c r="L32" s="2071" t="s">
        <v>2208</v>
      </c>
      <c r="M32" s="2071" t="s">
        <v>2209</v>
      </c>
      <c r="N32" s="2071" t="s">
        <v>2210</v>
      </c>
      <c r="O32" s="2071" t="s">
        <v>2211</v>
      </c>
      <c r="P32" s="2071" t="s">
        <v>2212</v>
      </c>
      <c r="Q32" s="2072" t="s">
        <v>2213</v>
      </c>
      <c r="R32" s="2165" t="s">
        <v>2214</v>
      </c>
      <c r="S32" s="2063"/>
      <c r="T32" s="2063"/>
      <c r="U32" s="2063"/>
      <c r="V32" s="2145"/>
    </row>
    <row r="33" spans="1:23" s="2074" customFormat="1" ht="13.15" customHeight="1">
      <c r="A33" s="2130"/>
      <c r="B33" s="2131"/>
      <c r="C33" s="2136"/>
      <c r="D33" s="3443"/>
      <c r="E33" s="3444"/>
      <c r="F33" s="2132"/>
      <c r="G33" s="2063"/>
      <c r="H33" s="2153"/>
      <c r="I33" s="2145"/>
      <c r="J33" s="4571" t="s">
        <v>2217</v>
      </c>
      <c r="K33" s="4572"/>
      <c r="L33" s="3457"/>
      <c r="M33" s="3457"/>
      <c r="N33" s="3457"/>
      <c r="O33" s="3457"/>
      <c r="P33" s="3457"/>
      <c r="Q33" s="3458"/>
      <c r="R33" s="3459">
        <f>SUM(L33:Q33)</f>
        <v>0</v>
      </c>
      <c r="S33" s="2063"/>
      <c r="T33" s="2063"/>
      <c r="U33" s="2063"/>
      <c r="V33" s="2070"/>
    </row>
    <row r="34" spans="1:23" s="2074" customFormat="1" ht="13.15" customHeight="1">
      <c r="A34" s="2130">
        <v>5</v>
      </c>
      <c r="B34" s="2131" t="s">
        <v>2309</v>
      </c>
      <c r="C34" s="3445"/>
      <c r="D34" s="3446"/>
      <c r="E34" s="3447"/>
      <c r="F34" s="2132"/>
      <c r="G34" s="2063"/>
      <c r="H34" s="2153"/>
      <c r="I34" s="2145"/>
      <c r="J34" s="4571" t="s">
        <v>2219</v>
      </c>
      <c r="K34" s="4572"/>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2310</v>
      </c>
      <c r="C35" s="2164"/>
      <c r="D35" s="2137"/>
      <c r="E35" s="2138"/>
      <c r="F35" s="2132"/>
      <c r="G35" s="2166"/>
      <c r="H35" s="2069"/>
      <c r="I35" s="2145"/>
      <c r="J35" s="2086" t="s">
        <v>2221</v>
      </c>
      <c r="K35" s="2087"/>
      <c r="L35" s="2087"/>
      <c r="M35" s="2088"/>
      <c r="N35" s="2088"/>
      <c r="O35" s="2088"/>
      <c r="P35" s="2088"/>
      <c r="Q35" s="2088"/>
      <c r="R35" s="2167">
        <f>R40+R41+R43</f>
        <v>0</v>
      </c>
      <c r="S35" s="2063"/>
      <c r="T35" s="2063" t="s">
        <v>2222</v>
      </c>
      <c r="U35" s="2063"/>
      <c r="V35" s="2070"/>
    </row>
    <row r="36" spans="1:23" s="2074" customFormat="1" ht="13.15" customHeight="1">
      <c r="A36" s="2131">
        <v>7</v>
      </c>
      <c r="B36" s="2131" t="s">
        <v>2311</v>
      </c>
      <c r="C36" s="3433"/>
      <c r="D36" s="3433"/>
      <c r="E36" s="3433"/>
      <c r="F36" s="4249">
        <f>C36+D36+E36</f>
        <v>0</v>
      </c>
      <c r="G36" s="2063"/>
      <c r="H36" s="2069"/>
      <c r="I36" s="2070"/>
      <c r="J36" s="4563">
        <v>1</v>
      </c>
      <c r="K36" s="4564" t="s">
        <v>2312</v>
      </c>
      <c r="L36" s="2092"/>
      <c r="M36" s="2093"/>
      <c r="N36" s="2093"/>
      <c r="O36" s="2093"/>
      <c r="P36" s="2093"/>
      <c r="Q36" s="2093"/>
      <c r="R36" s="2078" t="s">
        <v>2230</v>
      </c>
      <c r="S36" s="2063"/>
      <c r="T36" s="2063" t="s">
        <v>2231</v>
      </c>
      <c r="U36" s="2063"/>
      <c r="V36" s="2070"/>
    </row>
    <row r="37" spans="1:23" s="2074" customFormat="1" ht="13.15" customHeight="1">
      <c r="A37" s="2131"/>
      <c r="B37" s="2131"/>
      <c r="C37" s="2135"/>
      <c r="D37" s="2135"/>
      <c r="E37" s="2135"/>
      <c r="F37" s="2131"/>
      <c r="G37" s="2063"/>
      <c r="H37" s="2069"/>
      <c r="I37" s="2070"/>
      <c r="J37" s="4563"/>
      <c r="K37" s="4565"/>
      <c r="L37" s="3463"/>
      <c r="M37" s="3451"/>
      <c r="N37" s="2112"/>
      <c r="O37" s="2112"/>
      <c r="P37" s="2112"/>
      <c r="Q37" s="2112"/>
      <c r="R37" s="3452"/>
      <c r="S37" s="2063"/>
      <c r="T37" s="2063" t="s">
        <v>2234</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63"/>
      <c r="K38" s="4565"/>
      <c r="L38" s="3463"/>
      <c r="M38" s="3451"/>
      <c r="N38" s="2112"/>
      <c r="O38" s="2112"/>
      <c r="P38" s="2112"/>
      <c r="Q38" s="2112"/>
      <c r="R38" s="3452"/>
      <c r="S38" s="2063"/>
      <c r="T38" s="2063" t="s">
        <v>2240</v>
      </c>
      <c r="U38" s="2063"/>
      <c r="V38" s="2070"/>
    </row>
    <row r="39" spans="1:23" s="2074" customFormat="1" ht="13.15" customHeight="1">
      <c r="A39" s="2131">
        <v>9</v>
      </c>
      <c r="B39" s="2131" t="s">
        <v>2313</v>
      </c>
      <c r="C39" s="3431" t="e">
        <f>C38</f>
        <v>#DIV/0!</v>
      </c>
      <c r="D39" s="3431">
        <f>IF(D23=0,0,D38/(1+D34)^C36)</f>
        <v>0</v>
      </c>
      <c r="E39" s="3431">
        <f>IF(E23=0,0,E38/(1+E34)^(C36+D36))</f>
        <v>0</v>
      </c>
      <c r="F39" s="2131"/>
      <c r="G39" s="2070"/>
      <c r="H39" s="2069"/>
      <c r="I39" s="2070"/>
      <c r="J39" s="4563"/>
      <c r="K39" s="4565"/>
      <c r="L39" s="3463"/>
      <c r="M39" s="3451"/>
      <c r="N39" s="2112"/>
      <c r="O39" s="2112"/>
      <c r="P39" s="2112"/>
      <c r="Q39" s="2112"/>
      <c r="R39" s="3452"/>
      <c r="S39" s="2063"/>
      <c r="T39" s="2063"/>
      <c r="U39" s="2063"/>
      <c r="V39" s="2070"/>
    </row>
    <row r="40" spans="1:23" s="2074" customFormat="1" ht="13.15" customHeight="1">
      <c r="A40" s="2131">
        <v>10</v>
      </c>
      <c r="B40" s="4252" t="s">
        <v>4072</v>
      </c>
      <c r="C40" s="4253" t="e">
        <f>C39+D39+E39</f>
        <v>#DIV/0!</v>
      </c>
      <c r="D40" s="3448"/>
      <c r="E40" s="3448"/>
      <c r="F40" s="4250"/>
      <c r="G40" s="2063"/>
      <c r="H40" s="2069"/>
      <c r="I40" s="2070"/>
      <c r="J40" s="4563"/>
      <c r="K40" s="4566"/>
      <c r="L40" s="2114" t="s">
        <v>2257</v>
      </c>
      <c r="M40" s="2115"/>
      <c r="N40" s="2115"/>
      <c r="O40" s="2116"/>
      <c r="P40" s="2116"/>
      <c r="Q40" s="3464"/>
      <c r="R40" s="3657">
        <f>SUM(R37:R39)</f>
        <v>0</v>
      </c>
      <c r="S40" s="2063"/>
      <c r="T40" s="2063"/>
      <c r="U40" s="2063"/>
      <c r="V40" s="2070"/>
    </row>
    <row r="41" spans="1:23" s="2074" customFormat="1" ht="13.15" customHeight="1">
      <c r="A41" s="2131">
        <v>11</v>
      </c>
      <c r="B41" s="4251" t="s">
        <v>2314</v>
      </c>
      <c r="C41" s="3431" t="e">
        <f>ROUND(C40*10000/B4,0)</f>
        <v>#DIV/0!</v>
      </c>
      <c r="D41" s="3448"/>
      <c r="E41" s="3448"/>
      <c r="F41" s="2131"/>
      <c r="G41" s="2069"/>
      <c r="H41" s="2069"/>
      <c r="I41" s="2070"/>
      <c r="J41" s="2140">
        <v>2</v>
      </c>
      <c r="K41" s="2141" t="s">
        <v>2293</v>
      </c>
      <c r="L41" s="2142"/>
      <c r="M41" s="2142"/>
      <c r="N41" s="2142"/>
      <c r="O41" s="2142"/>
      <c r="P41" s="2143"/>
      <c r="Q41" s="3451"/>
      <c r="R41" s="3656">
        <f>ROUND(R40*Q41,0)</f>
        <v>0</v>
      </c>
      <c r="S41" s="2063"/>
      <c r="T41" s="2063"/>
      <c r="U41" s="2107"/>
      <c r="V41" s="2070"/>
    </row>
    <row r="42" spans="1:23" s="2074" customFormat="1" ht="13.15" customHeight="1">
      <c r="A42" s="4247">
        <v>12</v>
      </c>
      <c r="B42" s="4043" t="s">
        <v>4073</v>
      </c>
      <c r="C42" s="4254" t="e">
        <f>ROUND(C40*(1+E1),0)</f>
        <v>#DIV/0!</v>
      </c>
      <c r="D42" s="4247"/>
      <c r="E42" s="4247"/>
      <c r="F42" s="4247"/>
      <c r="G42" s="2069"/>
      <c r="H42" s="2069"/>
      <c r="I42" s="2070"/>
      <c r="J42" s="4567">
        <v>3</v>
      </c>
      <c r="K42" s="2147" t="s">
        <v>2295</v>
      </c>
      <c r="L42" s="2148"/>
      <c r="M42" s="2149"/>
      <c r="N42" s="2150" t="s">
        <v>2296</v>
      </c>
      <c r="O42" s="2150" t="s">
        <v>2297</v>
      </c>
      <c r="P42" s="2151" t="s">
        <v>2298</v>
      </c>
      <c r="Q42" s="2151" t="s">
        <v>2299</v>
      </c>
      <c r="R42" s="2078" t="s">
        <v>2230</v>
      </c>
      <c r="S42" s="2107"/>
      <c r="T42" s="2107"/>
      <c r="U42" s="2063"/>
      <c r="V42" s="2070"/>
    </row>
    <row r="43" spans="1:23" ht="13.15" customHeight="1">
      <c r="A43" s="4247">
        <v>13</v>
      </c>
      <c r="B43" s="4247" t="s">
        <v>4071</v>
      </c>
      <c r="C43" s="4248" t="e">
        <f>ROUND(C42*10000/B4,0)</f>
        <v>#DIV/0!</v>
      </c>
      <c r="D43" s="4247"/>
      <c r="E43" s="4247"/>
      <c r="F43" s="4247"/>
      <c r="G43" s="2069"/>
      <c r="H43" s="2069"/>
      <c r="I43" s="2058"/>
      <c r="J43" s="4568"/>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2302</v>
      </c>
      <c r="L44" s="2170" t="s">
        <v>2303</v>
      </c>
      <c r="M44" s="3456"/>
      <c r="N44" s="2170" t="s">
        <v>2304</v>
      </c>
      <c r="O44" s="2160"/>
      <c r="P44" s="2170" t="s">
        <v>2305</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3709</v>
      </c>
      <c r="D46" s="3562" t="s">
        <v>3780</v>
      </c>
      <c r="E46" s="3935">
        <f>ROUND(D6*G46,0)</f>
        <v>0</v>
      </c>
      <c r="F46" s="3573" t="s">
        <v>3769</v>
      </c>
      <c r="G46" s="3936">
        <v>0.05</v>
      </c>
      <c r="H46" s="2074"/>
      <c r="I46" s="2169"/>
    </row>
    <row r="47" spans="1:23" ht="13.15" customHeight="1">
      <c r="A47" s="2074"/>
      <c r="B47" s="2074"/>
      <c r="C47" s="3563" t="s">
        <v>3710</v>
      </c>
      <c r="D47" s="3564" t="s">
        <v>3711</v>
      </c>
      <c r="E47" s="4043" t="s">
        <v>3945</v>
      </c>
      <c r="F47" s="3574" t="s">
        <v>3712</v>
      </c>
      <c r="G47" s="3575" t="s">
        <v>3713</v>
      </c>
      <c r="H47" s="2064"/>
      <c r="I47" s="2169"/>
    </row>
    <row r="48" spans="1:23" ht="13.15" customHeight="1">
      <c r="C48" s="3565">
        <v>1</v>
      </c>
      <c r="D48" s="3564" t="s">
        <v>3714</v>
      </c>
      <c r="E48" s="3585">
        <f>E49-E54</f>
        <v>0</v>
      </c>
      <c r="F48" s="3564"/>
      <c r="G48" s="3575"/>
      <c r="H48" s="2064"/>
      <c r="I48" s="2169"/>
    </row>
    <row r="49" spans="1:9" ht="13.15" customHeight="1">
      <c r="C49" s="3565">
        <v>2</v>
      </c>
      <c r="D49" s="3564" t="s">
        <v>3715</v>
      </c>
      <c r="E49" s="3585">
        <f>SUM(E50:E53)</f>
        <v>0</v>
      </c>
      <c r="F49" s="3564"/>
      <c r="G49" s="3930"/>
      <c r="H49" s="2064"/>
      <c r="I49" s="2169"/>
    </row>
    <row r="50" spans="1:9" ht="13.15" customHeight="1">
      <c r="C50" s="3566" t="s">
        <v>3731</v>
      </c>
      <c r="D50" s="3567" t="s">
        <v>3716</v>
      </c>
      <c r="E50" s="3586">
        <f>R14*G50/(1+G50)</f>
        <v>0</v>
      </c>
      <c r="F50" s="3576" t="s">
        <v>3732</v>
      </c>
      <c r="G50" s="3931">
        <v>0.06</v>
      </c>
      <c r="H50" s="2064"/>
      <c r="I50" s="2169"/>
    </row>
    <row r="51" spans="1:9" ht="13.15" customHeight="1">
      <c r="C51" s="3566" t="s">
        <v>3733</v>
      </c>
      <c r="D51" s="3567" t="s">
        <v>3717</v>
      </c>
      <c r="E51" s="3586">
        <f>R19*G51/(1+G51)</f>
        <v>0</v>
      </c>
      <c r="F51" s="3576" t="s">
        <v>3734</v>
      </c>
      <c r="G51" s="3931">
        <v>0.06</v>
      </c>
      <c r="H51" s="2064"/>
      <c r="I51" s="2169"/>
    </row>
    <row r="52" spans="1:9" ht="13.15" customHeight="1">
      <c r="C52" s="3566" t="s">
        <v>3735</v>
      </c>
      <c r="D52" s="3567" t="s">
        <v>3718</v>
      </c>
      <c r="E52" s="3586">
        <f>R24*G52/(1+R24)</f>
        <v>0</v>
      </c>
      <c r="F52" s="3576" t="s">
        <v>3719</v>
      </c>
      <c r="G52" s="3931">
        <v>0.09</v>
      </c>
      <c r="H52" s="2064"/>
      <c r="I52" s="2169"/>
    </row>
    <row r="53" spans="1:9" ht="13.15" customHeight="1">
      <c r="C53" s="3566" t="s">
        <v>3736</v>
      </c>
      <c r="D53" s="3567" t="s">
        <v>3720</v>
      </c>
      <c r="E53" s="3586">
        <f>R27*G53/(1+G53)</f>
        <v>0</v>
      </c>
      <c r="F53" s="3576" t="s">
        <v>3719</v>
      </c>
      <c r="G53" s="3931">
        <v>0.09</v>
      </c>
      <c r="H53" s="2064"/>
      <c r="I53" s="2169"/>
    </row>
    <row r="54" spans="1:9" ht="13.15" customHeight="1">
      <c r="A54" s="2064" t="s">
        <v>3764</v>
      </c>
      <c r="B54" s="2169"/>
      <c r="C54" s="3565">
        <v>3</v>
      </c>
      <c r="D54" s="3564" t="s">
        <v>3721</v>
      </c>
      <c r="E54" s="3585">
        <f>E55+E56+E60</f>
        <v>0</v>
      </c>
      <c r="F54" s="3564"/>
      <c r="G54" s="3930"/>
      <c r="H54" s="2064"/>
      <c r="I54" s="2169"/>
    </row>
    <row r="55" spans="1:9" ht="13.15" customHeight="1">
      <c r="A55" s="3557">
        <v>0.05</v>
      </c>
      <c r="B55" s="3558" t="s">
        <v>3768</v>
      </c>
      <c r="C55" s="3566" t="s">
        <v>3731</v>
      </c>
      <c r="D55" s="3567" t="s">
        <v>3722</v>
      </c>
      <c r="E55" s="3586">
        <f>D9*G55/(1+G55)</f>
        <v>0</v>
      </c>
      <c r="F55" s="3578" t="s">
        <v>3770</v>
      </c>
      <c r="G55" s="3931">
        <v>0.13</v>
      </c>
      <c r="H55" s="2064"/>
      <c r="I55" s="2169"/>
    </row>
    <row r="56" spans="1:9" ht="13.15" customHeight="1">
      <c r="A56" s="3557">
        <f>SUM(A57:A59)</f>
        <v>0.39</v>
      </c>
      <c r="B56" s="3558"/>
      <c r="C56" s="3566" t="s">
        <v>3733</v>
      </c>
      <c r="D56" s="3567" t="s">
        <v>3723</v>
      </c>
      <c r="E56" s="3586">
        <f>SUM(E57:E59)</f>
        <v>0</v>
      </c>
      <c r="F56" s="3576"/>
      <c r="G56" s="3579"/>
      <c r="H56" s="2064" t="s">
        <v>3777</v>
      </c>
      <c r="I56" s="2064" t="s">
        <v>3778</v>
      </c>
    </row>
    <row r="57" spans="1:9" ht="13.15" customHeight="1">
      <c r="A57" s="3557">
        <v>0.25</v>
      </c>
      <c r="B57" s="3558" t="s">
        <v>3765</v>
      </c>
      <c r="C57" s="3568" t="s">
        <v>3724</v>
      </c>
      <c r="D57" s="3569" t="s">
        <v>3725</v>
      </c>
      <c r="E57" s="3587">
        <v>0</v>
      </c>
      <c r="F57" s="3580"/>
      <c r="G57" s="3581" t="s">
        <v>3726</v>
      </c>
      <c r="H57" s="3553">
        <v>0.65</v>
      </c>
      <c r="I57" s="3559">
        <f>A57/SUM(A57:A59)</f>
        <v>0.64102564102564097</v>
      </c>
    </row>
    <row r="58" spans="1:9" ht="13.15" customHeight="1">
      <c r="A58" s="3557">
        <v>0.06</v>
      </c>
      <c r="B58" s="3558" t="s">
        <v>3766</v>
      </c>
      <c r="C58" s="3568" t="s">
        <v>3727</v>
      </c>
      <c r="D58" s="3570" t="s">
        <v>3772</v>
      </c>
      <c r="E58" s="3587">
        <f>D10*H58*G58/(1+G58)</f>
        <v>0</v>
      </c>
      <c r="F58" s="3580" t="s">
        <v>3737</v>
      </c>
      <c r="G58" s="3932">
        <v>0.09</v>
      </c>
      <c r="H58" s="3553">
        <v>0.15</v>
      </c>
      <c r="I58" s="3559">
        <f>A58/SUM(A57:A59)</f>
        <v>0.15384615384615383</v>
      </c>
    </row>
    <row r="59" spans="1:9" ht="13.15" customHeight="1">
      <c r="A59" s="3557">
        <v>0.08</v>
      </c>
      <c r="B59" s="3558" t="s">
        <v>3767</v>
      </c>
      <c r="C59" s="3568" t="s">
        <v>3728</v>
      </c>
      <c r="D59" s="3569" t="s">
        <v>3738</v>
      </c>
      <c r="E59" s="3587">
        <f>D10*H59*G59/(1+G59)</f>
        <v>0</v>
      </c>
      <c r="F59" s="3580" t="s">
        <v>3739</v>
      </c>
      <c r="G59" s="3932">
        <v>0.06</v>
      </c>
      <c r="H59" s="3553">
        <v>0.2</v>
      </c>
      <c r="I59" s="3559">
        <f>1-I57-I58</f>
        <v>0.2051282051282052</v>
      </c>
    </row>
    <row r="60" spans="1:9" ht="13.15" customHeight="1">
      <c r="A60" s="3557">
        <f>SUM(A61:A62)</f>
        <v>0.1</v>
      </c>
      <c r="B60" s="3558"/>
      <c r="C60" s="3566" t="s">
        <v>3735</v>
      </c>
      <c r="D60" s="3567" t="s">
        <v>3740</v>
      </c>
      <c r="E60" s="3586">
        <f>SUM(E61:E62)</f>
        <v>0</v>
      </c>
      <c r="F60" s="3576"/>
      <c r="G60" s="3933"/>
      <c r="I60" s="2169"/>
    </row>
    <row r="61" spans="1:9" ht="13.15" customHeight="1">
      <c r="A61" s="3557">
        <v>0.05</v>
      </c>
      <c r="B61" s="3558" t="s">
        <v>3768</v>
      </c>
      <c r="C61" s="3568" t="s">
        <v>3741</v>
      </c>
      <c r="D61" s="3569" t="s">
        <v>3742</v>
      </c>
      <c r="E61" s="3587">
        <f>D17*H61*G61/(1+G61)</f>
        <v>0</v>
      </c>
      <c r="F61" s="3580" t="s">
        <v>3739</v>
      </c>
      <c r="G61" s="3932">
        <v>0.06</v>
      </c>
      <c r="H61" s="3553">
        <v>0.5</v>
      </c>
      <c r="I61" s="2169"/>
    </row>
    <row r="62" spans="1:9" ht="13.15" customHeight="1" thickBot="1">
      <c r="A62" s="3557">
        <v>0.05</v>
      </c>
      <c r="B62" s="3558" t="s">
        <v>3769</v>
      </c>
      <c r="C62" s="3571" t="s">
        <v>3727</v>
      </c>
      <c r="D62" s="3572" t="s">
        <v>3743</v>
      </c>
      <c r="E62" s="3588">
        <f>D17*H62*G62/(1+G62)</f>
        <v>0</v>
      </c>
      <c r="F62" s="3583" t="s">
        <v>3744</v>
      </c>
      <c r="G62" s="3934">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3745</v>
      </c>
      <c r="D65" s="3562" t="s">
        <v>3780</v>
      </c>
      <c r="E65" s="3935">
        <f>ROUND(D6*G65,0)</f>
        <v>0</v>
      </c>
      <c r="F65" s="3573" t="s">
        <v>3781</v>
      </c>
      <c r="G65" s="3936">
        <v>0.03</v>
      </c>
      <c r="H65" s="2064"/>
      <c r="I65" s="2169"/>
    </row>
    <row r="66" spans="1:9" ht="12.75">
      <c r="C66" s="3563" t="s">
        <v>3746</v>
      </c>
      <c r="D66" s="3564" t="s">
        <v>3747</v>
      </c>
      <c r="E66" s="4043" t="s">
        <v>3945</v>
      </c>
      <c r="F66" s="3574" t="s">
        <v>3748</v>
      </c>
      <c r="G66" s="3575" t="s">
        <v>3749</v>
      </c>
      <c r="H66" s="2064"/>
      <c r="I66" s="2169"/>
    </row>
    <row r="67" spans="1:9" ht="12">
      <c r="C67" s="3565">
        <v>1</v>
      </c>
      <c r="D67" s="3564" t="s">
        <v>3750</v>
      </c>
      <c r="E67" s="3589">
        <f>E68-E73</f>
        <v>0</v>
      </c>
      <c r="F67" s="3564"/>
      <c r="G67" s="3575"/>
      <c r="H67" s="2064"/>
      <c r="I67" s="2169"/>
    </row>
    <row r="68" spans="1:9" ht="13.15" customHeight="1">
      <c r="C68" s="3590">
        <v>2</v>
      </c>
      <c r="D68" s="3564" t="s">
        <v>3751</v>
      </c>
      <c r="E68" s="3589">
        <f>SUM(E69:E70)</f>
        <v>0</v>
      </c>
      <c r="F68" s="3564"/>
      <c r="G68" s="3575"/>
      <c r="H68" s="2064"/>
      <c r="I68" s="2169"/>
    </row>
    <row r="69" spans="1:9" ht="13.15" customHeight="1">
      <c r="C69" s="3566" t="s">
        <v>3752</v>
      </c>
      <c r="D69" s="3567" t="s">
        <v>3753</v>
      </c>
      <c r="E69" s="3567"/>
      <c r="F69" s="3576" t="s">
        <v>3754</v>
      </c>
      <c r="G69" s="3577">
        <v>0.09</v>
      </c>
      <c r="H69" s="2064"/>
      <c r="I69" s="2169"/>
    </row>
    <row r="70" spans="1:9" ht="13.15" customHeight="1">
      <c r="C70" s="3566" t="s">
        <v>3733</v>
      </c>
      <c r="D70" s="3567" t="s">
        <v>3755</v>
      </c>
      <c r="E70" s="3567"/>
      <c r="F70" s="3576" t="s">
        <v>3756</v>
      </c>
      <c r="G70" s="3577">
        <v>0.06</v>
      </c>
      <c r="H70" s="2064"/>
      <c r="I70" s="2169"/>
    </row>
    <row r="71" spans="1:9" ht="13.15" customHeight="1">
      <c r="A71" s="2064" t="s">
        <v>3771</v>
      </c>
      <c r="C71" s="3590">
        <v>3</v>
      </c>
      <c r="D71" s="3564" t="s">
        <v>3757</v>
      </c>
      <c r="E71" s="3589">
        <f>E72+E77</f>
        <v>0</v>
      </c>
      <c r="F71" s="3564"/>
      <c r="G71" s="3575"/>
      <c r="H71" s="2064"/>
      <c r="I71" s="2169"/>
    </row>
    <row r="72" spans="1:9" ht="13.15" customHeight="1">
      <c r="A72" s="3557">
        <v>0.05</v>
      </c>
      <c r="B72" s="3560"/>
      <c r="C72" s="3566" t="s">
        <v>3752</v>
      </c>
      <c r="D72" s="3567" t="s">
        <v>3758</v>
      </c>
      <c r="E72" s="3567">
        <f>D9*G72/(1+G72)</f>
        <v>0</v>
      </c>
      <c r="F72" s="3578" t="s">
        <v>3770</v>
      </c>
      <c r="G72" s="3577">
        <v>0.13</v>
      </c>
      <c r="H72" s="2064"/>
      <c r="I72" s="2169"/>
    </row>
    <row r="73" spans="1:9" ht="13.15" customHeight="1">
      <c r="A73" s="3557">
        <f>SUM(A74:A76)</f>
        <v>0.2</v>
      </c>
      <c r="B73" s="3560"/>
      <c r="C73" s="3566" t="s">
        <v>3733</v>
      </c>
      <c r="D73" s="3567" t="s">
        <v>3759</v>
      </c>
      <c r="E73" s="3567">
        <f>SUM(E74:E76)</f>
        <v>0</v>
      </c>
      <c r="F73" s="3576"/>
      <c r="G73" s="3579"/>
      <c r="H73" s="2064" t="s">
        <v>3777</v>
      </c>
      <c r="I73" s="2064" t="s">
        <v>3778</v>
      </c>
    </row>
    <row r="74" spans="1:9" ht="13.15" customHeight="1">
      <c r="A74" s="3557">
        <v>0.05</v>
      </c>
      <c r="B74" s="3560" t="s">
        <v>3775</v>
      </c>
      <c r="C74" s="3591" t="s">
        <v>3760</v>
      </c>
      <c r="D74" s="3569" t="s">
        <v>3761</v>
      </c>
      <c r="E74" s="3569">
        <v>0</v>
      </c>
      <c r="F74" s="3580"/>
      <c r="G74" s="3581" t="s">
        <v>3762</v>
      </c>
      <c r="H74" s="3553">
        <v>0.25</v>
      </c>
      <c r="I74" s="3559">
        <f>A74/SUM(A74:A76)</f>
        <v>0.25</v>
      </c>
    </row>
    <row r="75" spans="1:9" ht="13.15" customHeight="1">
      <c r="A75" s="3557">
        <v>0.1</v>
      </c>
      <c r="B75" s="3560" t="s">
        <v>3773</v>
      </c>
      <c r="C75" s="3591" t="s">
        <v>3729</v>
      </c>
      <c r="D75" s="3570" t="s">
        <v>3772</v>
      </c>
      <c r="E75" s="3569">
        <f>D10*H75*G75/(1+G75)</f>
        <v>0</v>
      </c>
      <c r="F75" s="3580" t="s">
        <v>3763</v>
      </c>
      <c r="G75" s="3582">
        <v>0.09</v>
      </c>
      <c r="H75" s="3553">
        <v>0.5</v>
      </c>
      <c r="I75" s="3559">
        <f>A75/SUM(A74:A76)</f>
        <v>0.5</v>
      </c>
    </row>
    <row r="76" spans="1:9" ht="13.15" customHeight="1">
      <c r="A76" s="3557">
        <v>0.05</v>
      </c>
      <c r="B76" s="3560" t="s">
        <v>3776</v>
      </c>
      <c r="C76" s="3591" t="s">
        <v>3730</v>
      </c>
      <c r="D76" s="3569" t="s">
        <v>3738</v>
      </c>
      <c r="E76" s="3569">
        <f>D10*H76*G76/(1+G76)</f>
        <v>0</v>
      </c>
      <c r="F76" s="3580" t="s">
        <v>3739</v>
      </c>
      <c r="G76" s="3582">
        <v>0.06</v>
      </c>
      <c r="H76" s="3553">
        <v>0.25</v>
      </c>
      <c r="I76" s="3559">
        <f>1-I74-I75</f>
        <v>0.25</v>
      </c>
    </row>
    <row r="77" spans="1:9" ht="13.15" customHeight="1">
      <c r="A77" s="3557">
        <f>SUM(A78:A79)</f>
        <v>0.1</v>
      </c>
      <c r="B77" s="3560"/>
      <c r="C77" s="3566" t="s">
        <v>3735</v>
      </c>
      <c r="D77" s="3567" t="s">
        <v>3740</v>
      </c>
      <c r="E77" s="3567">
        <f>SUM(E78:E79)</f>
        <v>0</v>
      </c>
      <c r="F77" s="3576"/>
      <c r="G77" s="3579"/>
      <c r="I77" s="2169"/>
    </row>
    <row r="78" spans="1:9" ht="13.15" customHeight="1">
      <c r="A78" s="3557">
        <v>0.05</v>
      </c>
      <c r="B78" s="3560" t="s">
        <v>3766</v>
      </c>
      <c r="C78" s="3591" t="s">
        <v>3760</v>
      </c>
      <c r="D78" s="3569" t="s">
        <v>3742</v>
      </c>
      <c r="E78" s="3569">
        <f>D17*H78*G78/(1+G78)</f>
        <v>0</v>
      </c>
      <c r="F78" s="3580" t="s">
        <v>3739</v>
      </c>
      <c r="G78" s="3582">
        <v>0.06</v>
      </c>
      <c r="H78" s="3553">
        <v>0.5</v>
      </c>
      <c r="I78" s="2169"/>
    </row>
    <row r="79" spans="1:9" ht="13.15" customHeight="1" thickBot="1">
      <c r="A79" s="3557">
        <v>0.05</v>
      </c>
      <c r="B79" s="3560" t="s">
        <v>3774</v>
      </c>
      <c r="C79" s="3592" t="s">
        <v>3729</v>
      </c>
      <c r="D79" s="3572" t="s">
        <v>3743</v>
      </c>
      <c r="E79" s="3572">
        <f>D17*H79*G79/(1+G79)</f>
        <v>0</v>
      </c>
      <c r="F79" s="3583" t="s">
        <v>3744</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260302</v>
      </c>
      <c r="C2" s="1347" t="s">
        <v>1558</v>
      </c>
      <c r="D2" s="1348" t="s">
        <v>1559</v>
      </c>
      <c r="E2" s="2860">
        <f>SUM(E6:E13)</f>
        <v>119963.53</v>
      </c>
      <c r="F2" s="1966"/>
      <c r="G2" s="1032"/>
      <c r="H2" s="1032"/>
      <c r="I2" s="1032"/>
      <c r="J2" s="1032"/>
      <c r="K2" s="1032"/>
      <c r="L2" s="1032"/>
      <c r="M2" s="1032"/>
      <c r="N2" s="1032"/>
      <c r="O2" s="1032"/>
      <c r="P2" s="1032"/>
      <c r="Q2" s="1032"/>
      <c r="R2" s="1032"/>
      <c r="S2" s="1032"/>
    </row>
    <row r="3" spans="1:22" ht="15.75">
      <c r="A3" s="1346" t="s">
        <v>672</v>
      </c>
      <c r="B3" s="2859">
        <f ca="1">ROUND(B2*10000/E2,0)</f>
        <v>21698</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83" t="s">
        <v>1561</v>
      </c>
      <c r="C5" s="4584"/>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v>
      </c>
      <c r="B6" s="3604">
        <f ca="1">IF(F6="是",'数据-取费表'!AO6,0)</f>
        <v>260302</v>
      </c>
      <c r="C6" s="1347" t="s">
        <v>1558</v>
      </c>
      <c r="D6" s="1966"/>
      <c r="E6" s="2861">
        <f>IF(OR(A6=0,F6="否"),0,'数据-取费表'!K6+'数据-取费表'!S6)</f>
        <v>119963.53</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588" t="s">
        <v>1989</v>
      </c>
      <c r="D1" s="4589"/>
      <c r="E1" s="4589"/>
      <c r="F1" s="4589"/>
      <c r="G1" s="4589"/>
      <c r="H1" s="4589"/>
      <c r="I1" s="4589"/>
      <c r="J1" s="4589"/>
      <c r="K1" s="4589"/>
      <c r="L1" s="4589"/>
      <c r="M1" s="4589"/>
      <c r="N1" s="4589"/>
      <c r="O1" s="4589"/>
      <c r="P1" s="4589"/>
      <c r="Q1" s="4589"/>
      <c r="R1" s="4589"/>
      <c r="S1" s="4590"/>
      <c r="T1" s="659" t="s">
        <v>1990</v>
      </c>
    </row>
    <row r="2" spans="1:45" s="457" customFormat="1">
      <c r="A2" s="660"/>
      <c r="B2" s="453" t="s">
        <v>1991</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66" t="e">
        <f ca="1">IF(D20="——",S22,S22-F20)</f>
        <v>#REF!</v>
      </c>
      <c r="C20" s="60"/>
      <c r="D20" s="1579"/>
      <c r="E20" s="897"/>
      <c r="F20" s="3165"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66" t="e">
        <f ca="1">ROUND(B20*10000/B22,0)</f>
        <v>#REF!</v>
      </c>
      <c r="C21" s="60"/>
      <c r="D21" s="60"/>
      <c r="E21" s="60"/>
      <c r="F21" s="60"/>
      <c r="G21" s="60"/>
      <c r="H21" s="60"/>
      <c r="I21" s="60"/>
      <c r="J21" s="60"/>
      <c r="K21" s="60"/>
      <c r="L21" s="60"/>
      <c r="M21" s="60"/>
      <c r="N21" s="60"/>
      <c r="O21" s="60"/>
      <c r="P21" s="60"/>
      <c r="Q21" s="60"/>
      <c r="R21" s="60"/>
      <c r="S21" s="47"/>
    </row>
    <row r="22" spans="1:45">
      <c r="A22" s="200" t="s">
        <v>2004</v>
      </c>
      <c r="B22" s="12">
        <f>SUM(B24:B10000)</f>
        <v>0</v>
      </c>
      <c r="C22" s="4585" t="s">
        <v>25</v>
      </c>
      <c r="D22" s="4586"/>
      <c r="E22" s="4586"/>
      <c r="F22" s="4586"/>
      <c r="G22" s="4586"/>
      <c r="H22" s="4586"/>
      <c r="I22" s="4586"/>
      <c r="J22" s="4586"/>
      <c r="K22" s="4586"/>
      <c r="L22" s="4586"/>
      <c r="M22" s="4586"/>
      <c r="N22" s="4586"/>
      <c r="O22" s="4586"/>
      <c r="P22" s="4586"/>
      <c r="Q22" s="4587"/>
      <c r="R22" s="2647" t="e">
        <f>ROUND(S22*10000/B22,0)</f>
        <v>#DIV/0!</v>
      </c>
      <c r="S22" s="2647">
        <f>SUM(S24:S10000)</f>
        <v>0</v>
      </c>
    </row>
    <row r="23" spans="1:45" s="7" customFormat="1" ht="24">
      <c r="A23" s="6" t="s">
        <v>2005</v>
      </c>
      <c r="B23" s="3160"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2010</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2026年4月14日（评估专业人员实地查勘之日）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119963.53</v>
      </c>
      <c r="E3" s="3186"/>
      <c r="F3" s="3821">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0" t="s">
        <v>1574</v>
      </c>
      <c r="D4" s="4611"/>
      <c r="E4" s="4612" t="s">
        <v>1575</v>
      </c>
      <c r="F4" s="4613"/>
      <c r="G4" s="4610" t="s">
        <v>1576</v>
      </c>
      <c r="H4" s="4611"/>
      <c r="I4" s="4610" t="s">
        <v>1577</v>
      </c>
      <c r="J4" s="4611"/>
      <c r="K4" s="2791" t="s">
        <v>1578</v>
      </c>
      <c r="L4" s="1973"/>
      <c r="M4" s="1974"/>
      <c r="N4" s="1974"/>
      <c r="O4" s="1974"/>
      <c r="P4" s="4614" t="s">
        <v>1579</v>
      </c>
      <c r="Q4" s="4615"/>
      <c r="R4" s="4620" t="s">
        <v>1575</v>
      </c>
      <c r="S4" s="4621"/>
      <c r="T4" s="4620" t="s">
        <v>1576</v>
      </c>
      <c r="U4" s="4621"/>
      <c r="V4" s="4626" t="s">
        <v>1577</v>
      </c>
      <c r="W4" s="4626"/>
      <c r="X4" s="909"/>
      <c r="Y4" s="4635" t="s">
        <v>1579</v>
      </c>
      <c r="Z4" s="4636"/>
      <c r="AA4" s="4607" t="s">
        <v>1575</v>
      </c>
      <c r="AB4" s="4607" t="s">
        <v>1576</v>
      </c>
      <c r="AC4" s="4607" t="s">
        <v>1577</v>
      </c>
    </row>
    <row r="5" spans="1:29" ht="15">
      <c r="A5" s="238"/>
      <c r="B5" s="239"/>
      <c r="C5" s="4629" t="s">
        <v>1580</v>
      </c>
      <c r="D5" s="4630"/>
      <c r="E5" s="4644" t="s">
        <v>1581</v>
      </c>
      <c r="F5" s="4645"/>
      <c r="G5" s="4629" t="s">
        <v>1582</v>
      </c>
      <c r="H5" s="4630"/>
      <c r="I5" s="4629" t="s">
        <v>1583</v>
      </c>
      <c r="J5" s="4630"/>
      <c r="K5" s="2792"/>
      <c r="L5" s="1973"/>
      <c r="M5" s="1974"/>
      <c r="N5" s="1974"/>
      <c r="O5" s="1974"/>
      <c r="P5" s="4616"/>
      <c r="Q5" s="4617"/>
      <c r="R5" s="4622"/>
      <c r="S5" s="4623"/>
      <c r="T5" s="4622"/>
      <c r="U5" s="4623"/>
      <c r="V5" s="4626"/>
      <c r="W5" s="4626"/>
      <c r="X5" s="909"/>
      <c r="Y5" s="4637"/>
      <c r="Z5" s="4638"/>
      <c r="AA5" s="4608"/>
      <c r="AB5" s="4608"/>
      <c r="AC5" s="4608"/>
    </row>
    <row r="6" spans="1:29" ht="15.75" thickBot="1">
      <c r="A6" s="240"/>
      <c r="B6" s="241"/>
      <c r="C6" s="4627" t="s">
        <v>1584</v>
      </c>
      <c r="D6" s="4628"/>
      <c r="E6" s="4642" t="s">
        <v>1584</v>
      </c>
      <c r="F6" s="4643"/>
      <c r="G6" s="4627" t="s">
        <v>1584</v>
      </c>
      <c r="H6" s="4628"/>
      <c r="I6" s="4627" t="s">
        <v>1584</v>
      </c>
      <c r="J6" s="4628"/>
      <c r="K6" s="2792" t="s">
        <v>1585</v>
      </c>
      <c r="L6" s="1973"/>
      <c r="M6" s="1974"/>
      <c r="N6" s="1974"/>
      <c r="O6" s="1974"/>
      <c r="P6" s="4618"/>
      <c r="Q6" s="4619"/>
      <c r="R6" s="4622"/>
      <c r="S6" s="4623"/>
      <c r="T6" s="4624"/>
      <c r="U6" s="4625"/>
      <c r="V6" s="4626"/>
      <c r="W6" s="4626"/>
      <c r="X6" s="909"/>
      <c r="Y6" s="4639"/>
      <c r="Z6" s="4640"/>
      <c r="AA6" s="4609"/>
      <c r="AB6" s="4609"/>
      <c r="AC6" s="4609"/>
    </row>
    <row r="7" spans="1:29" s="46" customFormat="1" ht="15.75" thickBot="1">
      <c r="A7" s="242" t="s">
        <v>1586</v>
      </c>
      <c r="B7" s="243"/>
      <c r="C7" s="2793">
        <f>'数据-取费表'!B2</f>
        <v>46126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31" t="s">
        <v>1587</v>
      </c>
      <c r="Q7" s="4641"/>
      <c r="R7" s="3609" t="s">
        <v>18</v>
      </c>
      <c r="S7" s="3138">
        <f t="shared" ref="S7:S15" si="0">F7</f>
        <v>0</v>
      </c>
      <c r="T7" s="3609" t="s">
        <v>18</v>
      </c>
      <c r="U7" s="3138">
        <f t="shared" ref="U7:U15" si="1">H7</f>
        <v>0</v>
      </c>
      <c r="V7" s="3609" t="s">
        <v>18</v>
      </c>
      <c r="W7" s="3138">
        <f t="shared" ref="W7:W15" si="2">J7</f>
        <v>0</v>
      </c>
      <c r="X7" s="482"/>
      <c r="Y7" s="4633" t="s">
        <v>1587</v>
      </c>
      <c r="Z7" s="4634"/>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31" t="s">
        <v>1590</v>
      </c>
      <c r="Q8" s="4632"/>
      <c r="R8" s="3609" t="s">
        <v>18</v>
      </c>
      <c r="S8" s="3138">
        <f t="shared" si="0"/>
        <v>100</v>
      </c>
      <c r="T8" s="3609" t="s">
        <v>18</v>
      </c>
      <c r="U8" s="3138">
        <f t="shared" si="1"/>
        <v>100</v>
      </c>
      <c r="V8" s="3609" t="s">
        <v>18</v>
      </c>
      <c r="W8" s="3138">
        <f t="shared" si="2"/>
        <v>100</v>
      </c>
      <c r="X8" s="482"/>
      <c r="Y8" s="4633" t="s">
        <v>1590</v>
      </c>
      <c r="Z8" s="4634"/>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605" t="s">
        <v>1593</v>
      </c>
      <c r="Q9" s="1698" t="str">
        <f t="shared" ref="Q9:Q15" si="6">B9</f>
        <v>用途</v>
      </c>
      <c r="R9" s="3609" t="s">
        <v>13</v>
      </c>
      <c r="S9" s="3138">
        <f t="shared" si="0"/>
        <v>100</v>
      </c>
      <c r="T9" s="3609" t="s">
        <v>13</v>
      </c>
      <c r="U9" s="3138">
        <f t="shared" si="1"/>
        <v>100</v>
      </c>
      <c r="V9" s="3609" t="s">
        <v>13</v>
      </c>
      <c r="W9" s="3138">
        <f t="shared" si="2"/>
        <v>100</v>
      </c>
      <c r="X9" s="482"/>
      <c r="Y9" s="4606"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605"/>
      <c r="Q10" s="1698" t="str">
        <f t="shared" si="6"/>
        <v>土地使用年限（年）</v>
      </c>
      <c r="R10" s="3609" t="s">
        <v>13</v>
      </c>
      <c r="S10" s="3138">
        <f t="shared" si="0"/>
        <v>100</v>
      </c>
      <c r="T10" s="3609" t="s">
        <v>13</v>
      </c>
      <c r="U10" s="3138">
        <f t="shared" si="1"/>
        <v>100</v>
      </c>
      <c r="V10" s="3609" t="s">
        <v>13</v>
      </c>
      <c r="W10" s="3138">
        <f t="shared" si="2"/>
        <v>100</v>
      </c>
      <c r="X10" s="482"/>
      <c r="Y10" s="4606"/>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605"/>
      <c r="Q11" s="1698" t="str">
        <f t="shared" si="6"/>
        <v>容积率</v>
      </c>
      <c r="R11" s="3609" t="s">
        <v>16</v>
      </c>
      <c r="S11" s="3138">
        <f t="shared" si="0"/>
        <v>100</v>
      </c>
      <c r="T11" s="3609" t="s">
        <v>16</v>
      </c>
      <c r="U11" s="3138">
        <f t="shared" si="1"/>
        <v>100</v>
      </c>
      <c r="V11" s="3609" t="s">
        <v>16</v>
      </c>
      <c r="W11" s="3138">
        <f t="shared" si="2"/>
        <v>100</v>
      </c>
      <c r="X11" s="482"/>
      <c r="Y11" s="4606"/>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605"/>
      <c r="Q12" s="1698">
        <f t="shared" si="6"/>
        <v>111</v>
      </c>
      <c r="R12" s="3609" t="s">
        <v>16</v>
      </c>
      <c r="S12" s="3138">
        <f t="shared" si="0"/>
        <v>100</v>
      </c>
      <c r="T12" s="3609" t="s">
        <v>16</v>
      </c>
      <c r="U12" s="3138">
        <f t="shared" si="1"/>
        <v>100</v>
      </c>
      <c r="V12" s="3609" t="s">
        <v>16</v>
      </c>
      <c r="W12" s="3138">
        <f t="shared" si="2"/>
        <v>100</v>
      </c>
      <c r="X12" s="482"/>
      <c r="Y12" s="4606"/>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605"/>
      <c r="Q13" s="1698">
        <f t="shared" si="6"/>
        <v>111</v>
      </c>
      <c r="R13" s="3609" t="s">
        <v>16</v>
      </c>
      <c r="S13" s="3138">
        <f t="shared" si="0"/>
        <v>100</v>
      </c>
      <c r="T13" s="3609" t="s">
        <v>16</v>
      </c>
      <c r="U13" s="3138">
        <f t="shared" si="1"/>
        <v>100</v>
      </c>
      <c r="V13" s="3609" t="s">
        <v>16</v>
      </c>
      <c r="W13" s="3138">
        <f t="shared" si="2"/>
        <v>100</v>
      </c>
      <c r="X13" s="482"/>
      <c r="Y13" s="4606"/>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605"/>
      <c r="Q14" s="1698">
        <f t="shared" si="6"/>
        <v>111</v>
      </c>
      <c r="R14" s="3609" t="s">
        <v>16</v>
      </c>
      <c r="S14" s="3138">
        <f t="shared" si="0"/>
        <v>100</v>
      </c>
      <c r="T14" s="3609" t="s">
        <v>16</v>
      </c>
      <c r="U14" s="3138">
        <f t="shared" si="1"/>
        <v>100</v>
      </c>
      <c r="V14" s="3609" t="s">
        <v>16</v>
      </c>
      <c r="W14" s="3138">
        <f t="shared" si="2"/>
        <v>100</v>
      </c>
      <c r="X14" s="482"/>
      <c r="Y14" s="4606"/>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603" t="s">
        <v>1598</v>
      </c>
      <c r="Q15" s="1507" t="str">
        <f t="shared" si="6"/>
        <v>居住社区成熟度</v>
      </c>
      <c r="R15" s="3711" t="s">
        <v>16</v>
      </c>
      <c r="S15" s="3139">
        <f t="shared" si="0"/>
        <v>100</v>
      </c>
      <c r="T15" s="3711" t="s">
        <v>16</v>
      </c>
      <c r="U15" s="3139">
        <f t="shared" si="1"/>
        <v>100</v>
      </c>
      <c r="V15" s="3711" t="s">
        <v>16</v>
      </c>
      <c r="W15" s="3139">
        <f t="shared" si="2"/>
        <v>100</v>
      </c>
      <c r="X15" s="909"/>
      <c r="Y15" s="4596"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604"/>
      <c r="Q16" s="1507"/>
      <c r="R16" s="3711"/>
      <c r="S16" s="3139"/>
      <c r="T16" s="3711"/>
      <c r="U16" s="3139"/>
      <c r="V16" s="3711"/>
      <c r="W16" s="3139"/>
      <c r="X16" s="909"/>
      <c r="Y16" s="4597"/>
      <c r="Z16" s="907"/>
      <c r="AA16" s="907">
        <v>1</v>
      </c>
      <c r="AB16" s="907">
        <v>1</v>
      </c>
      <c r="AC16" s="907">
        <v>1</v>
      </c>
    </row>
    <row r="17" spans="1:29" ht="142.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604"/>
      <c r="Q17" s="1507" t="str">
        <f>B17</f>
        <v>交通便捷度</v>
      </c>
      <c r="R17" s="3711" t="s">
        <v>16</v>
      </c>
      <c r="S17" s="3139">
        <f>F17</f>
        <v>100</v>
      </c>
      <c r="T17" s="3711" t="s">
        <v>16</v>
      </c>
      <c r="U17" s="3139">
        <f>H17</f>
        <v>100</v>
      </c>
      <c r="V17" s="3711" t="s">
        <v>16</v>
      </c>
      <c r="W17" s="3139">
        <f>J17</f>
        <v>100</v>
      </c>
      <c r="X17" s="909"/>
      <c r="Y17" s="4597"/>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604"/>
      <c r="Q18" s="1507"/>
      <c r="R18" s="3711"/>
      <c r="S18" s="3139"/>
      <c r="T18" s="3711"/>
      <c r="U18" s="3139"/>
      <c r="V18" s="3711"/>
      <c r="W18" s="3139"/>
      <c r="X18" s="909"/>
      <c r="Y18" s="4597"/>
      <c r="Z18" s="907"/>
      <c r="AA18" s="907">
        <v>1</v>
      </c>
      <c r="AB18" s="907">
        <v>1</v>
      </c>
      <c r="AC18" s="907">
        <v>1</v>
      </c>
    </row>
    <row r="19" spans="1:29" ht="228">
      <c r="A19" s="254"/>
      <c r="B19" s="2779" t="s">
        <v>1236</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604"/>
      <c r="Q19" s="1507" t="str">
        <f>B19</f>
        <v>公共配套设施</v>
      </c>
      <c r="R19" s="3711" t="s">
        <v>16</v>
      </c>
      <c r="S19" s="3139">
        <f>F19</f>
        <v>100</v>
      </c>
      <c r="T19" s="3711" t="s">
        <v>16</v>
      </c>
      <c r="U19" s="3139">
        <f>H19</f>
        <v>100</v>
      </c>
      <c r="V19" s="3711" t="s">
        <v>16</v>
      </c>
      <c r="W19" s="3139">
        <f>J19</f>
        <v>100</v>
      </c>
      <c r="X19" s="909"/>
      <c r="Y19" s="4597"/>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604"/>
      <c r="Q20" s="1507"/>
      <c r="R20" s="3711"/>
      <c r="S20" s="3139"/>
      <c r="T20" s="3711"/>
      <c r="U20" s="3139"/>
      <c r="V20" s="3711"/>
      <c r="W20" s="3139"/>
      <c r="X20" s="909"/>
      <c r="Y20" s="4597"/>
      <c r="Z20" s="907"/>
      <c r="AA20" s="907">
        <v>1</v>
      </c>
      <c r="AB20" s="907">
        <v>1</v>
      </c>
      <c r="AC20" s="907">
        <v>1</v>
      </c>
    </row>
    <row r="21" spans="1:29" ht="15">
      <c r="A21" s="254"/>
      <c r="B21" s="2781" t="s">
        <v>1238</v>
      </c>
      <c r="C21" s="2803" t="str">
        <f>估价对象房地状况!C8</f>
        <v>七通</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604"/>
      <c r="Q21" s="1507" t="str">
        <f>B21</f>
        <v>基础设施水平</v>
      </c>
      <c r="R21" s="3711" t="s">
        <v>13</v>
      </c>
      <c r="S21" s="3139">
        <f>F21</f>
        <v>100</v>
      </c>
      <c r="T21" s="3711" t="s">
        <v>13</v>
      </c>
      <c r="U21" s="3139">
        <f>H21</f>
        <v>100</v>
      </c>
      <c r="V21" s="3711" t="s">
        <v>13</v>
      </c>
      <c r="W21" s="3139">
        <f>J21</f>
        <v>100</v>
      </c>
      <c r="X21" s="909"/>
      <c r="Y21" s="4597"/>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604"/>
      <c r="Q22" s="1507"/>
      <c r="R22" s="3711"/>
      <c r="S22" s="3139"/>
      <c r="T22" s="3711"/>
      <c r="U22" s="3139"/>
      <c r="V22" s="3711"/>
      <c r="W22" s="3139"/>
      <c r="X22" s="909"/>
      <c r="Y22" s="4597"/>
      <c r="Z22" s="907"/>
      <c r="AA22" s="907">
        <v>1</v>
      </c>
      <c r="AB22" s="907">
        <v>1</v>
      </c>
      <c r="AC22" s="907">
        <v>1</v>
      </c>
    </row>
    <row r="23" spans="1:29" ht="128.25">
      <c r="A23" s="254"/>
      <c r="B23" s="2779" t="s">
        <v>1239</v>
      </c>
      <c r="C23" s="2803" t="str">
        <f>估价对象房地状况!C9</f>
        <v>估价对象周边有房山人民公园、北潞园健身公园等绿化景观，自然环境较好；有房山区良乡体育中心等人文场所，人文环境较好；综合评价环境状况较好。</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604"/>
      <c r="Q23" s="1507" t="str">
        <f>B23</f>
        <v>自然及人文环境</v>
      </c>
      <c r="R23" s="3711" t="s">
        <v>16</v>
      </c>
      <c r="S23" s="3139">
        <f>F23</f>
        <v>100</v>
      </c>
      <c r="T23" s="3711" t="s">
        <v>16</v>
      </c>
      <c r="U23" s="3139">
        <f>H23</f>
        <v>100</v>
      </c>
      <c r="V23" s="3711" t="s">
        <v>16</v>
      </c>
      <c r="W23" s="3139">
        <f>J23</f>
        <v>100</v>
      </c>
      <c r="X23" s="909"/>
      <c r="Y23" s="4597"/>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604"/>
      <c r="Q24" s="1507"/>
      <c r="R24" s="3711"/>
      <c r="S24" s="3139"/>
      <c r="T24" s="3711"/>
      <c r="U24" s="3139"/>
      <c r="V24" s="3711"/>
      <c r="W24" s="3139"/>
      <c r="X24" s="909"/>
      <c r="Y24" s="4597"/>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604"/>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97"/>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604"/>
      <c r="Q26" s="1507" t="str">
        <f t="shared" si="11"/>
        <v>朝向</v>
      </c>
      <c r="R26" s="3711" t="s">
        <v>16</v>
      </c>
      <c r="S26" s="3139">
        <f t="shared" si="12"/>
        <v>100</v>
      </c>
      <c r="T26" s="3711" t="s">
        <v>16</v>
      </c>
      <c r="U26" s="3139">
        <f t="shared" si="13"/>
        <v>100</v>
      </c>
      <c r="V26" s="3711" t="s">
        <v>16</v>
      </c>
      <c r="W26" s="3139">
        <f t="shared" si="14"/>
        <v>100</v>
      </c>
      <c r="X26" s="909"/>
      <c r="Y26" s="4597"/>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604"/>
      <c r="Q27" s="1698">
        <f t="shared" si="11"/>
        <v>111</v>
      </c>
      <c r="R27" s="3609" t="s">
        <v>16</v>
      </c>
      <c r="S27" s="3138">
        <f t="shared" si="12"/>
        <v>100</v>
      </c>
      <c r="T27" s="3609" t="s">
        <v>16</v>
      </c>
      <c r="U27" s="3138">
        <f t="shared" si="13"/>
        <v>100</v>
      </c>
      <c r="V27" s="3609" t="s">
        <v>16</v>
      </c>
      <c r="W27" s="3138">
        <f t="shared" si="14"/>
        <v>100</v>
      </c>
      <c r="X27" s="482"/>
      <c r="Y27" s="4597"/>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604"/>
      <c r="Q28" s="1507">
        <f t="shared" si="11"/>
        <v>111</v>
      </c>
      <c r="R28" s="3711" t="s">
        <v>16</v>
      </c>
      <c r="S28" s="3139">
        <f t="shared" si="12"/>
        <v>100</v>
      </c>
      <c r="T28" s="3711" t="s">
        <v>16</v>
      </c>
      <c r="U28" s="3139">
        <f t="shared" si="13"/>
        <v>100</v>
      </c>
      <c r="V28" s="3711" t="s">
        <v>16</v>
      </c>
      <c r="W28" s="3139">
        <f t="shared" si="14"/>
        <v>100</v>
      </c>
      <c r="X28" s="909"/>
      <c r="Y28" s="4597"/>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604"/>
      <c r="Q29" s="1507">
        <f t="shared" si="11"/>
        <v>111</v>
      </c>
      <c r="R29" s="3711" t="s">
        <v>16</v>
      </c>
      <c r="S29" s="3139">
        <f t="shared" si="12"/>
        <v>100</v>
      </c>
      <c r="T29" s="3711" t="s">
        <v>16</v>
      </c>
      <c r="U29" s="3139">
        <f t="shared" si="13"/>
        <v>100</v>
      </c>
      <c r="V29" s="3711" t="s">
        <v>16</v>
      </c>
      <c r="W29" s="3139">
        <f t="shared" si="14"/>
        <v>100</v>
      </c>
      <c r="X29" s="909"/>
      <c r="Y29" s="4597"/>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604"/>
      <c r="Q30" s="1507">
        <f t="shared" si="11"/>
        <v>111</v>
      </c>
      <c r="R30" s="3711" t="s">
        <v>16</v>
      </c>
      <c r="S30" s="3139">
        <f t="shared" si="12"/>
        <v>100</v>
      </c>
      <c r="T30" s="3711" t="s">
        <v>16</v>
      </c>
      <c r="U30" s="3139">
        <f t="shared" si="13"/>
        <v>100</v>
      </c>
      <c r="V30" s="3711" t="s">
        <v>16</v>
      </c>
      <c r="W30" s="3139">
        <f t="shared" si="14"/>
        <v>100</v>
      </c>
      <c r="X30" s="909"/>
      <c r="Y30" s="4597"/>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604"/>
      <c r="Q31" s="1507">
        <f t="shared" si="11"/>
        <v>111</v>
      </c>
      <c r="R31" s="3711" t="s">
        <v>16</v>
      </c>
      <c r="S31" s="3139">
        <f t="shared" si="12"/>
        <v>100</v>
      </c>
      <c r="T31" s="3711" t="s">
        <v>16</v>
      </c>
      <c r="U31" s="3139">
        <f t="shared" si="13"/>
        <v>100</v>
      </c>
      <c r="V31" s="3711" t="s">
        <v>16</v>
      </c>
      <c r="W31" s="3139">
        <f t="shared" si="14"/>
        <v>100</v>
      </c>
      <c r="X31" s="909"/>
      <c r="Y31" s="4597"/>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598" t="s">
        <v>1603</v>
      </c>
      <c r="Q32" s="1507" t="str">
        <f t="shared" si="11"/>
        <v>建筑类型</v>
      </c>
      <c r="R32" s="3711" t="s">
        <v>16</v>
      </c>
      <c r="S32" s="3139">
        <f t="shared" si="12"/>
        <v>100</v>
      </c>
      <c r="T32" s="3711" t="s">
        <v>16</v>
      </c>
      <c r="U32" s="3139">
        <f t="shared" si="13"/>
        <v>100</v>
      </c>
      <c r="V32" s="3711" t="s">
        <v>16</v>
      </c>
      <c r="W32" s="3139">
        <f t="shared" si="14"/>
        <v>100</v>
      </c>
      <c r="X32" s="909"/>
      <c r="Y32" s="4601"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599"/>
      <c r="Q33" s="2846" t="str">
        <f t="shared" si="11"/>
        <v>项目建筑规模</v>
      </c>
      <c r="R33" s="3712" t="s">
        <v>16</v>
      </c>
      <c r="S33" s="3140" t="e">
        <f t="shared" si="12"/>
        <v>#N/A</v>
      </c>
      <c r="T33" s="3712" t="s">
        <v>16</v>
      </c>
      <c r="U33" s="3140" t="e">
        <f t="shared" si="13"/>
        <v>#N/A</v>
      </c>
      <c r="V33" s="3712" t="s">
        <v>16</v>
      </c>
      <c r="W33" s="3140" t="e">
        <f t="shared" si="14"/>
        <v>#N/A</v>
      </c>
      <c r="X33" s="484"/>
      <c r="Y33" s="4601"/>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599"/>
      <c r="Q34" s="1507" t="str">
        <f t="shared" si="11"/>
        <v>建筑结构</v>
      </c>
      <c r="R34" s="3711" t="s">
        <v>16</v>
      </c>
      <c r="S34" s="3139">
        <f t="shared" si="12"/>
        <v>100</v>
      </c>
      <c r="T34" s="3711" t="s">
        <v>16</v>
      </c>
      <c r="U34" s="3139">
        <f t="shared" si="13"/>
        <v>100</v>
      </c>
      <c r="V34" s="3711" t="s">
        <v>16</v>
      </c>
      <c r="W34" s="3139">
        <f t="shared" si="14"/>
        <v>100</v>
      </c>
      <c r="X34" s="909"/>
      <c r="Y34" s="4601"/>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599"/>
      <c r="Q35" s="1507" t="str">
        <f t="shared" si="11"/>
        <v>建筑品质</v>
      </c>
      <c r="R35" s="3711" t="s">
        <v>16</v>
      </c>
      <c r="S35" s="3139">
        <f t="shared" si="12"/>
        <v>100</v>
      </c>
      <c r="T35" s="3711" t="s">
        <v>16</v>
      </c>
      <c r="U35" s="3139">
        <f t="shared" si="13"/>
        <v>100</v>
      </c>
      <c r="V35" s="3711" t="s">
        <v>16</v>
      </c>
      <c r="W35" s="3139">
        <f t="shared" si="14"/>
        <v>100</v>
      </c>
      <c r="X35" s="909"/>
      <c r="Y35" s="4601"/>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599"/>
      <c r="Q36" s="1507" t="str">
        <f t="shared" si="11"/>
        <v>公共部分装修</v>
      </c>
      <c r="R36" s="3711" t="s">
        <v>16</v>
      </c>
      <c r="S36" s="3139">
        <f t="shared" si="12"/>
        <v>100</v>
      </c>
      <c r="T36" s="3711" t="s">
        <v>16</v>
      </c>
      <c r="U36" s="3139">
        <f t="shared" si="13"/>
        <v>100</v>
      </c>
      <c r="V36" s="3711" t="s">
        <v>16</v>
      </c>
      <c r="W36" s="3139">
        <f t="shared" si="14"/>
        <v>100</v>
      </c>
      <c r="X36" s="909"/>
      <c r="Y36" s="4601"/>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599"/>
      <c r="Q37" s="1698" t="str">
        <f t="shared" si="11"/>
        <v>成新度</v>
      </c>
      <c r="R37" s="3609" t="s">
        <v>16</v>
      </c>
      <c r="S37" s="3138" t="e">
        <f t="shared" si="12"/>
        <v>#N/A</v>
      </c>
      <c r="T37" s="3609" t="s">
        <v>16</v>
      </c>
      <c r="U37" s="3138" t="e">
        <f t="shared" si="13"/>
        <v>#N/A</v>
      </c>
      <c r="V37" s="3609" t="s">
        <v>16</v>
      </c>
      <c r="W37" s="3138" t="e">
        <f t="shared" si="14"/>
        <v>#N/A</v>
      </c>
      <c r="X37" s="482"/>
      <c r="Y37" s="4601"/>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599" t="s">
        <v>1603</v>
      </c>
      <c r="Q38" s="1507" t="str">
        <f t="shared" si="11"/>
        <v>物业管理</v>
      </c>
      <c r="R38" s="3711" t="s">
        <v>16</v>
      </c>
      <c r="S38" s="3139">
        <f t="shared" si="12"/>
        <v>100</v>
      </c>
      <c r="T38" s="3711" t="s">
        <v>16</v>
      </c>
      <c r="U38" s="3139">
        <f t="shared" si="13"/>
        <v>100</v>
      </c>
      <c r="V38" s="3711" t="s">
        <v>16</v>
      </c>
      <c r="W38" s="3139">
        <f t="shared" si="14"/>
        <v>100</v>
      </c>
      <c r="X38" s="909"/>
      <c r="Y38" s="4601"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599"/>
      <c r="Q39" s="1507" t="str">
        <f t="shared" si="11"/>
        <v>市政基础设施</v>
      </c>
      <c r="R39" s="3711" t="s">
        <v>16</v>
      </c>
      <c r="S39" s="3139">
        <f t="shared" si="12"/>
        <v>100</v>
      </c>
      <c r="T39" s="3711" t="s">
        <v>16</v>
      </c>
      <c r="U39" s="3139">
        <f t="shared" si="13"/>
        <v>100</v>
      </c>
      <c r="V39" s="3711" t="s">
        <v>16</v>
      </c>
      <c r="W39" s="3139">
        <f t="shared" si="14"/>
        <v>100</v>
      </c>
      <c r="X39" s="909"/>
      <c r="Y39" s="4601"/>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599"/>
      <c r="Q40" s="1507" t="str">
        <f t="shared" si="11"/>
        <v>房型</v>
      </c>
      <c r="R40" s="3711" t="s">
        <v>16</v>
      </c>
      <c r="S40" s="3139">
        <f t="shared" si="12"/>
        <v>100</v>
      </c>
      <c r="T40" s="3711" t="s">
        <v>16</v>
      </c>
      <c r="U40" s="3139">
        <f t="shared" si="13"/>
        <v>100</v>
      </c>
      <c r="V40" s="3711" t="s">
        <v>16</v>
      </c>
      <c r="W40" s="3139">
        <f t="shared" si="14"/>
        <v>100</v>
      </c>
      <c r="X40" s="909"/>
      <c r="Y40" s="4601"/>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599"/>
      <c r="Q41" s="2846" t="str">
        <f t="shared" si="11"/>
        <v>单套/主力户型建筑面积</v>
      </c>
      <c r="R41" s="3712" t="s">
        <v>16</v>
      </c>
      <c r="S41" s="3140">
        <f t="shared" si="12"/>
        <v>100</v>
      </c>
      <c r="T41" s="3712" t="s">
        <v>16</v>
      </c>
      <c r="U41" s="3140">
        <f t="shared" si="13"/>
        <v>100</v>
      </c>
      <c r="V41" s="3712" t="s">
        <v>16</v>
      </c>
      <c r="W41" s="3140">
        <f t="shared" si="14"/>
        <v>100</v>
      </c>
      <c r="X41" s="484"/>
      <c r="Y41" s="4601"/>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599"/>
      <c r="Q42" s="1507" t="str">
        <f t="shared" si="11"/>
        <v>内部装修</v>
      </c>
      <c r="R42" s="3711" t="s">
        <v>16</v>
      </c>
      <c r="S42" s="3139">
        <f t="shared" si="12"/>
        <v>100</v>
      </c>
      <c r="T42" s="3711" t="s">
        <v>16</v>
      </c>
      <c r="U42" s="3139">
        <f t="shared" si="13"/>
        <v>100</v>
      </c>
      <c r="V42" s="3711" t="s">
        <v>16</v>
      </c>
      <c r="W42" s="3139">
        <f t="shared" si="14"/>
        <v>100</v>
      </c>
      <c r="X42" s="909"/>
      <c r="Y42" s="4601"/>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599"/>
      <c r="Q43" s="1507" t="str">
        <f t="shared" si="11"/>
        <v>内部装修维护情况</v>
      </c>
      <c r="R43" s="3711" t="s">
        <v>16</v>
      </c>
      <c r="S43" s="3139">
        <f t="shared" si="12"/>
        <v>100</v>
      </c>
      <c r="T43" s="3711" t="s">
        <v>16</v>
      </c>
      <c r="U43" s="3139">
        <f t="shared" si="13"/>
        <v>100</v>
      </c>
      <c r="V43" s="3711" t="s">
        <v>16</v>
      </c>
      <c r="W43" s="3139">
        <f t="shared" si="14"/>
        <v>100</v>
      </c>
      <c r="X43" s="909"/>
      <c r="Y43" s="4601"/>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599"/>
      <c r="Q44" s="1698">
        <f t="shared" si="11"/>
        <v>111</v>
      </c>
      <c r="R44" s="3609" t="s">
        <v>16</v>
      </c>
      <c r="S44" s="3138">
        <f t="shared" si="12"/>
        <v>100</v>
      </c>
      <c r="T44" s="3609" t="s">
        <v>16</v>
      </c>
      <c r="U44" s="3138">
        <f t="shared" si="13"/>
        <v>100</v>
      </c>
      <c r="V44" s="3609" t="s">
        <v>16</v>
      </c>
      <c r="W44" s="3138">
        <f t="shared" si="14"/>
        <v>100</v>
      </c>
      <c r="X44" s="482"/>
      <c r="Y44" s="4601"/>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599"/>
      <c r="Q45" s="1507">
        <f t="shared" si="11"/>
        <v>111</v>
      </c>
      <c r="R45" s="3711" t="s">
        <v>16</v>
      </c>
      <c r="S45" s="3139">
        <f t="shared" si="12"/>
        <v>100</v>
      </c>
      <c r="T45" s="3711" t="s">
        <v>16</v>
      </c>
      <c r="U45" s="3139">
        <f t="shared" si="13"/>
        <v>100</v>
      </c>
      <c r="V45" s="3711" t="s">
        <v>16</v>
      </c>
      <c r="W45" s="3139">
        <f t="shared" si="14"/>
        <v>100</v>
      </c>
      <c r="X45" s="909"/>
      <c r="Y45" s="4601"/>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600"/>
      <c r="Q46" s="1507">
        <f t="shared" si="11"/>
        <v>111</v>
      </c>
      <c r="R46" s="3711" t="s">
        <v>15</v>
      </c>
      <c r="S46" s="3139">
        <f t="shared" si="12"/>
        <v>100</v>
      </c>
      <c r="T46" s="3711" t="s">
        <v>15</v>
      </c>
      <c r="U46" s="3139">
        <f t="shared" si="13"/>
        <v>100</v>
      </c>
      <c r="V46" s="3711" t="s">
        <v>15</v>
      </c>
      <c r="W46" s="3139">
        <f t="shared" si="14"/>
        <v>100</v>
      </c>
      <c r="X46" s="909"/>
      <c r="Y46" s="4602"/>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594" t="str">
        <f>A47</f>
        <v>成交单价（元/平方米）</v>
      </c>
      <c r="Q47" s="4594"/>
      <c r="R47" s="4595">
        <f>E47</f>
        <v>0</v>
      </c>
      <c r="S47" s="4595"/>
      <c r="T47" s="4595">
        <f>G47</f>
        <v>0</v>
      </c>
      <c r="U47" s="4595"/>
      <c r="V47" s="4595">
        <f>I47</f>
        <v>0</v>
      </c>
      <c r="W47" s="4595"/>
      <c r="X47" s="265"/>
      <c r="Y47" s="486"/>
      <c r="Z47" s="265"/>
      <c r="AA47" s="265"/>
      <c r="AB47" s="265"/>
      <c r="AC47" s="265"/>
    </row>
    <row r="48" spans="1:29" ht="15.75" thickBot="1">
      <c r="A48" s="289" t="s">
        <v>1616</v>
      </c>
      <c r="B48" s="290"/>
      <c r="C48" s="3709" t="e">
        <f>R49</f>
        <v>#DIV/0!</v>
      </c>
      <c r="D48" s="3822" t="s">
        <v>2040</v>
      </c>
      <c r="E48" s="2867" t="e">
        <f>R48</f>
        <v>#DIV/0!</v>
      </c>
      <c r="F48" s="2783"/>
      <c r="G48" s="2866" t="e">
        <f>T48</f>
        <v>#DIV/0!</v>
      </c>
      <c r="H48" s="2783"/>
      <c r="I48" s="2867" t="e">
        <f>V48</f>
        <v>#DIV/0!</v>
      </c>
      <c r="J48" s="2783"/>
      <c r="K48" s="2837">
        <f>F48+H48+J48</f>
        <v>0</v>
      </c>
      <c r="L48" s="1981"/>
      <c r="M48" s="1974"/>
      <c r="N48" s="1974"/>
      <c r="O48" s="1974"/>
      <c r="P48" s="4594" t="str">
        <f>A48</f>
        <v>比较价值（元/平方米）</v>
      </c>
      <c r="Q48" s="4594"/>
      <c r="R48" s="4595" t="e">
        <f>IF(F1="售价",ROUND(PRODUCT(R47,AA7:AA46),0),ROUND(PRODUCT(R47,AA7:AA46),1))</f>
        <v>#DIV/0!</v>
      </c>
      <c r="S48" s="4595"/>
      <c r="T48" s="4595" t="e">
        <f>IF(F1="售价",ROUND(PRODUCT(T47,AB7:AB46),0),ROUND(PRODUCT(T47,AB7:AB46),1))</f>
        <v>#DIV/0!</v>
      </c>
      <c r="U48" s="4595"/>
      <c r="V48" s="4595" t="e">
        <f>IF(F1="售价",ROUND(PRODUCT(V47,AC7:AC46),0),ROUND(PRODUCT(V47,AC7:AC46),1))</f>
        <v>#DIV/0!</v>
      </c>
      <c r="W48" s="4595"/>
      <c r="X48" s="265"/>
      <c r="Y48" s="265"/>
      <c r="Z48" s="265"/>
      <c r="AA48" s="265"/>
      <c r="AB48" s="265"/>
      <c r="AC48" s="265"/>
    </row>
    <row r="49" spans="1:29" ht="15.75" thickBot="1">
      <c r="A49" s="291" t="s">
        <v>1617</v>
      </c>
      <c r="B49" s="292"/>
      <c r="C49" s="3710" t="e">
        <f>R49</f>
        <v>#DIV/0!</v>
      </c>
      <c r="D49" s="241"/>
      <c r="E49" s="241"/>
      <c r="F49" s="241"/>
      <c r="G49" s="241"/>
      <c r="H49" s="241"/>
      <c r="I49" s="241"/>
      <c r="J49" s="241"/>
      <c r="K49" s="1372"/>
      <c r="L49" s="1981"/>
      <c r="M49" s="1974"/>
      <c r="N49" s="1974"/>
      <c r="O49" s="1974"/>
      <c r="P49" s="4591" t="str">
        <f>A49</f>
        <v>估价对象XX用房的比较价值（楼面单价，元/平方米）</v>
      </c>
      <c r="Q49" s="4592"/>
      <c r="R49" s="4593" t="e">
        <f>IF(F1="售价",ROUND(IF(D48="简单平均",AVERAGE(R48:V48),R48*F48+T48*H48+V48*J48),0),ROUND(IF(D48="简单平均",AVERAGE(R48:V48),R48*F48+T48*H48+V48*J48),1))</f>
        <v>#DIV/0!</v>
      </c>
      <c r="S49" s="4593"/>
      <c r="T49" s="4593"/>
      <c r="U49" s="4593"/>
      <c r="V49" s="4593"/>
      <c r="W49" s="459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690">
        <f>IF(C2="含税",D2,ROUND(D2/(1+F3),0))</f>
        <v>0</v>
      </c>
      <c r="C2" s="2766"/>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62">
        <f>IF(E2="——",C49,ROUND(B2*10000/D3,0))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ht="15">
      <c r="A4" s="235" t="s">
        <v>1676</v>
      </c>
      <c r="B4" s="236"/>
      <c r="C4" s="4610" t="s">
        <v>1677</v>
      </c>
      <c r="D4" s="4611"/>
      <c r="E4" s="4612" t="s">
        <v>1678</v>
      </c>
      <c r="F4" s="4613"/>
      <c r="G4" s="4610" t="s">
        <v>1679</v>
      </c>
      <c r="H4" s="4611"/>
      <c r="I4" s="4610" t="s">
        <v>1680</v>
      </c>
      <c r="J4" s="4611"/>
      <c r="K4" s="2845" t="s">
        <v>1681</v>
      </c>
      <c r="L4" s="1973"/>
      <c r="M4" s="1974"/>
      <c r="N4" s="1974"/>
      <c r="O4" s="1974"/>
      <c r="P4" s="4614" t="s">
        <v>1682</v>
      </c>
      <c r="Q4" s="4615"/>
      <c r="R4" s="4620" t="s">
        <v>1678</v>
      </c>
      <c r="S4" s="4621"/>
      <c r="T4" s="4620" t="s">
        <v>1679</v>
      </c>
      <c r="U4" s="4621"/>
      <c r="V4" s="4626" t="s">
        <v>1680</v>
      </c>
      <c r="W4" s="4626"/>
      <c r="X4" s="909"/>
      <c r="Y4" s="4635" t="s">
        <v>1682</v>
      </c>
      <c r="Z4" s="4636"/>
      <c r="AA4" s="4607" t="s">
        <v>1678</v>
      </c>
      <c r="AB4" s="4646" t="s">
        <v>1679</v>
      </c>
      <c r="AC4" s="4607" t="s">
        <v>1680</v>
      </c>
    </row>
    <row r="5" spans="1:29" ht="15">
      <c r="A5" s="238"/>
      <c r="B5" s="239"/>
      <c r="C5" s="4629" t="s">
        <v>1580</v>
      </c>
      <c r="D5" s="4630"/>
      <c r="E5" s="4644" t="s">
        <v>1581</v>
      </c>
      <c r="F5" s="4645"/>
      <c r="G5" s="4629" t="s">
        <v>1582</v>
      </c>
      <c r="H5" s="4630"/>
      <c r="I5" s="4629" t="s">
        <v>1583</v>
      </c>
      <c r="J5" s="4630"/>
      <c r="K5" s="2845"/>
      <c r="L5" s="1973"/>
      <c r="M5" s="1974"/>
      <c r="N5" s="1974"/>
      <c r="O5" s="1974"/>
      <c r="P5" s="4616"/>
      <c r="Q5" s="4617"/>
      <c r="R5" s="4622"/>
      <c r="S5" s="4623"/>
      <c r="T5" s="4622"/>
      <c r="U5" s="4623"/>
      <c r="V5" s="4626"/>
      <c r="W5" s="4626"/>
      <c r="X5" s="909"/>
      <c r="Y5" s="4637"/>
      <c r="Z5" s="4638"/>
      <c r="AA5" s="4608"/>
      <c r="AB5" s="4646"/>
      <c r="AC5" s="4608"/>
    </row>
    <row r="6" spans="1:29" ht="15.75" thickBot="1">
      <c r="A6" s="240"/>
      <c r="B6" s="241"/>
      <c r="C6" s="4627" t="s">
        <v>1584</v>
      </c>
      <c r="D6" s="4628"/>
      <c r="E6" s="4642" t="s">
        <v>1584</v>
      </c>
      <c r="F6" s="4643"/>
      <c r="G6" s="4627" t="s">
        <v>1584</v>
      </c>
      <c r="H6" s="4628"/>
      <c r="I6" s="4627" t="s">
        <v>1584</v>
      </c>
      <c r="J6" s="4628"/>
      <c r="K6" s="2845" t="s">
        <v>1585</v>
      </c>
      <c r="L6" s="1973"/>
      <c r="M6" s="1974"/>
      <c r="N6" s="1974"/>
      <c r="O6" s="1974"/>
      <c r="P6" s="4618"/>
      <c r="Q6" s="4619"/>
      <c r="R6" s="4622"/>
      <c r="S6" s="4623"/>
      <c r="T6" s="4624"/>
      <c r="U6" s="4625"/>
      <c r="V6" s="4626"/>
      <c r="W6" s="4626"/>
      <c r="X6" s="909"/>
      <c r="Y6" s="4639"/>
      <c r="Z6" s="4640"/>
      <c r="AA6" s="4609"/>
      <c r="AB6" s="4646"/>
      <c r="AC6" s="4609"/>
    </row>
    <row r="7" spans="1:29" s="46" customFormat="1" ht="15.75" thickBot="1">
      <c r="A7" s="242" t="s">
        <v>1586</v>
      </c>
      <c r="B7" s="243"/>
      <c r="C7" s="244">
        <f>'数据-取费表'!B2</f>
        <v>46126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31" t="s">
        <v>1587</v>
      </c>
      <c r="Q7" s="4641"/>
      <c r="R7" s="3609" t="s">
        <v>13</v>
      </c>
      <c r="S7" s="3138">
        <f t="shared" ref="S7:S15" si="0">F7</f>
        <v>0</v>
      </c>
      <c r="T7" s="3609" t="s">
        <v>13</v>
      </c>
      <c r="U7" s="3138">
        <f t="shared" ref="U7:U15" si="1">H7</f>
        <v>0</v>
      </c>
      <c r="V7" s="3609" t="s">
        <v>13</v>
      </c>
      <c r="W7" s="3138">
        <f t="shared" ref="W7:W15" si="2">J7</f>
        <v>0</v>
      </c>
      <c r="X7" s="482"/>
      <c r="Y7" s="4633" t="s">
        <v>1587</v>
      </c>
      <c r="Z7" s="4634"/>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31" t="s">
        <v>1590</v>
      </c>
      <c r="Q8" s="4632"/>
      <c r="R8" s="3609" t="s">
        <v>13</v>
      </c>
      <c r="S8" s="3138">
        <f t="shared" si="0"/>
        <v>100</v>
      </c>
      <c r="T8" s="3609" t="s">
        <v>13</v>
      </c>
      <c r="U8" s="3138">
        <f t="shared" si="1"/>
        <v>100</v>
      </c>
      <c r="V8" s="3609" t="s">
        <v>13</v>
      </c>
      <c r="W8" s="3138">
        <f t="shared" si="2"/>
        <v>100</v>
      </c>
      <c r="X8" s="482"/>
      <c r="Y8" s="4633" t="s">
        <v>1590</v>
      </c>
      <c r="Z8" s="4634"/>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605" t="s">
        <v>1593</v>
      </c>
      <c r="Q9" s="1698" t="str">
        <f t="shared" ref="Q9:Q15" si="6">B9</f>
        <v>用途</v>
      </c>
      <c r="R9" s="3609" t="s">
        <v>13</v>
      </c>
      <c r="S9" s="3138">
        <f t="shared" si="0"/>
        <v>100</v>
      </c>
      <c r="T9" s="3609" t="s">
        <v>13</v>
      </c>
      <c r="U9" s="3138">
        <f t="shared" si="1"/>
        <v>100</v>
      </c>
      <c r="V9" s="3609" t="s">
        <v>13</v>
      </c>
      <c r="W9" s="3138">
        <f t="shared" si="2"/>
        <v>100</v>
      </c>
      <c r="X9" s="482"/>
      <c r="Y9" s="4606"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605"/>
      <c r="Q10" s="1698" t="str">
        <f t="shared" si="6"/>
        <v>土地使用年限（年）</v>
      </c>
      <c r="R10" s="3609" t="s">
        <v>13</v>
      </c>
      <c r="S10" s="3138">
        <f t="shared" si="0"/>
        <v>100</v>
      </c>
      <c r="T10" s="3609" t="s">
        <v>13</v>
      </c>
      <c r="U10" s="3138">
        <f t="shared" si="1"/>
        <v>100</v>
      </c>
      <c r="V10" s="3609" t="s">
        <v>13</v>
      </c>
      <c r="W10" s="3138">
        <f t="shared" si="2"/>
        <v>100</v>
      </c>
      <c r="X10" s="482"/>
      <c r="Y10" s="4606"/>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605"/>
      <c r="Q11" s="1698" t="str">
        <f t="shared" si="6"/>
        <v>容积率</v>
      </c>
      <c r="R11" s="3609" t="s">
        <v>13</v>
      </c>
      <c r="S11" s="3138">
        <f t="shared" si="0"/>
        <v>100</v>
      </c>
      <c r="T11" s="3609" t="s">
        <v>13</v>
      </c>
      <c r="U11" s="3138">
        <f t="shared" si="1"/>
        <v>100</v>
      </c>
      <c r="V11" s="3609" t="s">
        <v>13</v>
      </c>
      <c r="W11" s="3138">
        <f t="shared" si="2"/>
        <v>100</v>
      </c>
      <c r="X11" s="482"/>
      <c r="Y11" s="4606"/>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605"/>
      <c r="Q12" s="1698">
        <f t="shared" si="6"/>
        <v>111</v>
      </c>
      <c r="R12" s="3609" t="s">
        <v>13</v>
      </c>
      <c r="S12" s="3138">
        <f t="shared" si="0"/>
        <v>100</v>
      </c>
      <c r="T12" s="3609" t="s">
        <v>13</v>
      </c>
      <c r="U12" s="3138">
        <f t="shared" si="1"/>
        <v>100</v>
      </c>
      <c r="V12" s="3609" t="s">
        <v>13</v>
      </c>
      <c r="W12" s="3138">
        <f t="shared" si="2"/>
        <v>100</v>
      </c>
      <c r="X12" s="482"/>
      <c r="Y12" s="4606"/>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605"/>
      <c r="Q13" s="1698">
        <f t="shared" si="6"/>
        <v>111</v>
      </c>
      <c r="R13" s="3609" t="s">
        <v>13</v>
      </c>
      <c r="S13" s="3138">
        <f t="shared" si="0"/>
        <v>100</v>
      </c>
      <c r="T13" s="3609" t="s">
        <v>13</v>
      </c>
      <c r="U13" s="3138">
        <f t="shared" si="1"/>
        <v>100</v>
      </c>
      <c r="V13" s="3609" t="s">
        <v>13</v>
      </c>
      <c r="W13" s="3138">
        <f t="shared" si="2"/>
        <v>100</v>
      </c>
      <c r="X13" s="482"/>
      <c r="Y13" s="4606"/>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605"/>
      <c r="Q14" s="1698">
        <f t="shared" si="6"/>
        <v>111</v>
      </c>
      <c r="R14" s="3609" t="s">
        <v>13</v>
      </c>
      <c r="S14" s="3138">
        <f t="shared" si="0"/>
        <v>100</v>
      </c>
      <c r="T14" s="3609" t="s">
        <v>13</v>
      </c>
      <c r="U14" s="3138">
        <f t="shared" si="1"/>
        <v>100</v>
      </c>
      <c r="V14" s="3609" t="s">
        <v>13</v>
      </c>
      <c r="W14" s="3138">
        <f t="shared" si="2"/>
        <v>100</v>
      </c>
      <c r="X14" s="482"/>
      <c r="Y14" s="4606"/>
      <c r="Z14" s="28">
        <f t="shared" si="7"/>
        <v>111</v>
      </c>
      <c r="AA14" s="28">
        <f t="shared" si="3"/>
        <v>1</v>
      </c>
      <c r="AB14" s="28">
        <f t="shared" si="4"/>
        <v>1</v>
      </c>
      <c r="AC14" s="28">
        <f t="shared" si="5"/>
        <v>1</v>
      </c>
    </row>
    <row r="15" spans="1:29" ht="128.25">
      <c r="A15" s="262" t="s">
        <v>1597</v>
      </c>
      <c r="B15" s="2777" t="s">
        <v>1684</v>
      </c>
      <c r="C15" s="2801" t="str">
        <f>估价对象房地状况!C4</f>
        <v>估价对象周边3公里范围有华冠购物中心、国泰良辰百货等购物中心及社区配套商业用房，人流量较大，集中程度较好，商业繁华度较好。</v>
      </c>
      <c r="D15" s="2874">
        <v>100</v>
      </c>
      <c r="E15" s="2826"/>
      <c r="F15" s="3715">
        <f>SUMIF(76:76,E16,77:77)-SUMIF(76:76,C16,77:77)+100</f>
        <v>100</v>
      </c>
      <c r="G15" s="2832"/>
      <c r="H15" s="3697">
        <f>SUMIF(76:76,G16,77:77)-SUMIF(76:76,C16,77:77)+100</f>
        <v>100</v>
      </c>
      <c r="I15" s="2826"/>
      <c r="J15" s="3697">
        <f>SUMIF(76:76,I16,77:77)-SUMIF(76:76,C16,77:77)+100</f>
        <v>100</v>
      </c>
      <c r="K15" s="2841"/>
      <c r="L15" s="1979"/>
      <c r="M15" s="1974"/>
      <c r="N15" s="1974"/>
      <c r="O15" s="1974"/>
      <c r="P15" s="4603" t="s">
        <v>1598</v>
      </c>
      <c r="Q15" s="1507" t="str">
        <f t="shared" si="6"/>
        <v>商业繁华度</v>
      </c>
      <c r="R15" s="3711" t="s">
        <v>13</v>
      </c>
      <c r="S15" s="3139">
        <f t="shared" si="0"/>
        <v>100</v>
      </c>
      <c r="T15" s="3711" t="s">
        <v>13</v>
      </c>
      <c r="U15" s="3139">
        <f t="shared" si="1"/>
        <v>100</v>
      </c>
      <c r="V15" s="3711" t="s">
        <v>13</v>
      </c>
      <c r="W15" s="3139">
        <f t="shared" si="2"/>
        <v>100</v>
      </c>
      <c r="X15" s="909"/>
      <c r="Y15" s="4596" t="s">
        <v>1598</v>
      </c>
      <c r="Z15" s="907" t="str">
        <f t="shared" si="7"/>
        <v>商业繁华度</v>
      </c>
      <c r="AA15" s="907">
        <f t="shared" si="3"/>
        <v>1</v>
      </c>
      <c r="AB15" s="907">
        <f t="shared" si="4"/>
        <v>1</v>
      </c>
      <c r="AC15" s="907">
        <f t="shared" si="5"/>
        <v>1</v>
      </c>
    </row>
    <row r="16" spans="1:29" ht="15">
      <c r="A16" s="254"/>
      <c r="B16" s="2778"/>
      <c r="C16" s="2802"/>
      <c r="D16" s="2875"/>
      <c r="E16" s="2802"/>
      <c r="F16" s="3716"/>
      <c r="G16" s="2802"/>
      <c r="H16" s="3699"/>
      <c r="I16" s="2802"/>
      <c r="J16" s="3698"/>
      <c r="K16" s="2842"/>
      <c r="L16" s="1979"/>
      <c r="M16" s="1974"/>
      <c r="N16" s="1974"/>
      <c r="O16" s="1974"/>
      <c r="P16" s="4604"/>
      <c r="Q16" s="1507"/>
      <c r="R16" s="3711"/>
      <c r="S16" s="3139"/>
      <c r="T16" s="3711"/>
      <c r="U16" s="3139"/>
      <c r="V16" s="3711"/>
      <c r="W16" s="3139"/>
      <c r="X16" s="909"/>
      <c r="Y16" s="4597"/>
      <c r="Z16" s="907"/>
      <c r="AA16" s="907">
        <v>1</v>
      </c>
      <c r="AB16" s="907">
        <v>1</v>
      </c>
      <c r="AC16" s="907">
        <v>1</v>
      </c>
    </row>
    <row r="17" spans="1:29" ht="156.75">
      <c r="A17" s="254"/>
      <c r="B17" s="2779" t="s">
        <v>1237</v>
      </c>
      <c r="C17" s="2803" t="str">
        <f>估价对象房地状况!C6</f>
        <v>估价对象周边有多条城市主次干道通过，路网密集程度较好，道路通达程度较好。周边有952路、953路、F33路、F37路、F85路等多条公交线路，综合评价交通便捷度较好。</v>
      </c>
      <c r="D17" s="2876">
        <v>100</v>
      </c>
      <c r="E17" s="2827"/>
      <c r="F17" s="3717">
        <f>SUMIF(78:78,E18,79:79)-SUMIF(78:78,C18,79:79)+100</f>
        <v>100</v>
      </c>
      <c r="G17" s="2833"/>
      <c r="H17" s="3700">
        <f>SUMIF(78:78,G18,79:79)-SUMIF(78:78,C18,79:79)+100</f>
        <v>100</v>
      </c>
      <c r="I17" s="2827"/>
      <c r="J17" s="3700">
        <f>SUMIF(78:78,I18,79:79)-SUMIF(78:78,C18,79:79)+100</f>
        <v>100</v>
      </c>
      <c r="K17" s="2841"/>
      <c r="L17" s="1979"/>
      <c r="M17" s="1974"/>
      <c r="N17" s="1974"/>
      <c r="O17" s="1974"/>
      <c r="P17" s="4604"/>
      <c r="Q17" s="1507" t="str">
        <f>B17</f>
        <v>交通便捷度</v>
      </c>
      <c r="R17" s="3711" t="s">
        <v>13</v>
      </c>
      <c r="S17" s="3139">
        <f>F17</f>
        <v>100</v>
      </c>
      <c r="T17" s="3711" t="s">
        <v>13</v>
      </c>
      <c r="U17" s="3139">
        <f>H17</f>
        <v>100</v>
      </c>
      <c r="V17" s="3711" t="s">
        <v>13</v>
      </c>
      <c r="W17" s="3139">
        <f>J17</f>
        <v>100</v>
      </c>
      <c r="X17" s="909"/>
      <c r="Y17" s="4597"/>
      <c r="Z17" s="907" t="str">
        <f>Q17</f>
        <v>交通便捷度</v>
      </c>
      <c r="AA17" s="907">
        <f t="shared" si="3"/>
        <v>1</v>
      </c>
      <c r="AB17" s="907">
        <f t="shared" si="4"/>
        <v>1</v>
      </c>
      <c r="AC17" s="907">
        <f t="shared" si="5"/>
        <v>1</v>
      </c>
    </row>
    <row r="18" spans="1:29" ht="15">
      <c r="A18" s="254"/>
      <c r="B18" s="2780"/>
      <c r="C18" s="2804"/>
      <c r="D18" s="2876"/>
      <c r="E18" s="2828"/>
      <c r="F18" s="3717"/>
      <c r="G18" s="2834"/>
      <c r="H18" s="3698"/>
      <c r="I18" s="2828"/>
      <c r="J18" s="3698"/>
      <c r="K18" s="2842"/>
      <c r="L18" s="1979"/>
      <c r="M18" s="1974"/>
      <c r="N18" s="1974"/>
      <c r="O18" s="1974"/>
      <c r="P18" s="4604"/>
      <c r="Q18" s="1507"/>
      <c r="R18" s="3711"/>
      <c r="S18" s="3139"/>
      <c r="T18" s="3711"/>
      <c r="U18" s="3139"/>
      <c r="V18" s="3711"/>
      <c r="W18" s="3139"/>
      <c r="X18" s="909"/>
      <c r="Y18" s="4597"/>
      <c r="Z18" s="907"/>
      <c r="AA18" s="907">
        <v>1</v>
      </c>
      <c r="AB18" s="907">
        <v>1</v>
      </c>
      <c r="AC18" s="907">
        <v>1</v>
      </c>
    </row>
    <row r="19" spans="1:29" ht="256.5">
      <c r="A19" s="254"/>
      <c r="B19" s="2779" t="s">
        <v>1685</v>
      </c>
      <c r="C19" s="2803"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77">
        <v>100</v>
      </c>
      <c r="E19" s="2829"/>
      <c r="F19" s="3718">
        <f>SUMIF(80:80,E20,81:81)-SUMIF(80:80,C20,81:81)+100</f>
        <v>100</v>
      </c>
      <c r="G19" s="2835"/>
      <c r="H19" s="3699">
        <f>SUMIF(80:80,G20,81:81)-SUMIF(80:80,C20,81:81)+100</f>
        <v>100</v>
      </c>
      <c r="I19" s="2829"/>
      <c r="J19" s="3699">
        <f>SUMIF(80:80,I20,81:81)-SUMIF(80:80,C20,81:81)+100</f>
        <v>100</v>
      </c>
      <c r="K19" s="2841"/>
      <c r="L19" s="1979"/>
      <c r="M19" s="1974"/>
      <c r="N19" s="1974"/>
      <c r="O19" s="1974"/>
      <c r="P19" s="4604"/>
      <c r="Q19" s="1507" t="str">
        <f>B19</f>
        <v>公共配套设施</v>
      </c>
      <c r="R19" s="3711" t="s">
        <v>13</v>
      </c>
      <c r="S19" s="3139">
        <f>F19</f>
        <v>100</v>
      </c>
      <c r="T19" s="3711" t="s">
        <v>13</v>
      </c>
      <c r="U19" s="3139">
        <f>H19</f>
        <v>100</v>
      </c>
      <c r="V19" s="3711" t="s">
        <v>13</v>
      </c>
      <c r="W19" s="3139">
        <f>J19</f>
        <v>100</v>
      </c>
      <c r="X19" s="909"/>
      <c r="Y19" s="4597"/>
      <c r="Z19" s="907" t="str">
        <f>Q19</f>
        <v>公共配套设施</v>
      </c>
      <c r="AA19" s="907">
        <f t="shared" si="3"/>
        <v>1</v>
      </c>
      <c r="AB19" s="907">
        <f t="shared" si="4"/>
        <v>1</v>
      </c>
      <c r="AC19" s="907">
        <f t="shared" si="5"/>
        <v>1</v>
      </c>
    </row>
    <row r="20" spans="1:29" ht="15">
      <c r="A20" s="254"/>
      <c r="B20" s="2780"/>
      <c r="C20" s="2802"/>
      <c r="D20" s="2875"/>
      <c r="E20" s="2830"/>
      <c r="F20" s="3716"/>
      <c r="G20" s="2836"/>
      <c r="H20" s="3698"/>
      <c r="I20" s="2830"/>
      <c r="J20" s="3698"/>
      <c r="K20" s="2842"/>
      <c r="L20" s="1979"/>
      <c r="M20" s="1974"/>
      <c r="N20" s="1974"/>
      <c r="O20" s="1974"/>
      <c r="P20" s="4604"/>
      <c r="Q20" s="1507"/>
      <c r="R20" s="3711"/>
      <c r="S20" s="3139"/>
      <c r="T20" s="3711"/>
      <c r="U20" s="3139"/>
      <c r="V20" s="3711"/>
      <c r="W20" s="3139"/>
      <c r="X20" s="909"/>
      <c r="Y20" s="4597"/>
      <c r="Z20" s="907"/>
      <c r="AA20" s="907">
        <v>1</v>
      </c>
      <c r="AB20" s="907">
        <v>1</v>
      </c>
      <c r="AC20" s="907">
        <v>1</v>
      </c>
    </row>
    <row r="21" spans="1:29" ht="15">
      <c r="A21" s="254"/>
      <c r="B21" s="2781" t="s">
        <v>1686</v>
      </c>
      <c r="C21" s="2803" t="str">
        <f>估价对象房地状况!C8</f>
        <v>七通</v>
      </c>
      <c r="D21" s="2877">
        <v>100</v>
      </c>
      <c r="E21" s="2829"/>
      <c r="F21" s="3718">
        <f>SUMIF(82:82,E22,83:83)-SUMIF(82:82,C22,83:83)+100</f>
        <v>100</v>
      </c>
      <c r="G21" s="2835"/>
      <c r="H21" s="3699">
        <f>SUMIF(82:82,G22,83:83)-SUMIF(82:82,C22,83:83)+100</f>
        <v>100</v>
      </c>
      <c r="I21" s="2829"/>
      <c r="J21" s="3699">
        <f>SUMIF(82:82,I22,83:83)-SUMIF(82:82,C22,83:83)+100</f>
        <v>100</v>
      </c>
      <c r="K21" s="2841"/>
      <c r="L21" s="1979"/>
      <c r="M21" s="1974"/>
      <c r="N21" s="1974"/>
      <c r="O21" s="1974"/>
      <c r="P21" s="4604"/>
      <c r="Q21" s="1507" t="str">
        <f>B21</f>
        <v>基础设施水平</v>
      </c>
      <c r="R21" s="3711" t="s">
        <v>13</v>
      </c>
      <c r="S21" s="3139">
        <f>F21</f>
        <v>100</v>
      </c>
      <c r="T21" s="3711" t="s">
        <v>13</v>
      </c>
      <c r="U21" s="3139">
        <f>H21</f>
        <v>100</v>
      </c>
      <c r="V21" s="3711" t="s">
        <v>13</v>
      </c>
      <c r="W21" s="3139">
        <f>J21</f>
        <v>100</v>
      </c>
      <c r="X21" s="909"/>
      <c r="Y21" s="4597"/>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6"/>
      <c r="G22" s="2802"/>
      <c r="H22" s="3698"/>
      <c r="I22" s="2802"/>
      <c r="J22" s="3698"/>
      <c r="K22" s="2843"/>
      <c r="L22" s="1979"/>
      <c r="M22" s="1974"/>
      <c r="N22" s="1974"/>
      <c r="O22" s="1974"/>
      <c r="P22" s="4604"/>
      <c r="Q22" s="1507"/>
      <c r="R22" s="3711"/>
      <c r="S22" s="3139"/>
      <c r="T22" s="3711"/>
      <c r="U22" s="3139"/>
      <c r="V22" s="3711"/>
      <c r="W22" s="3139"/>
      <c r="X22" s="909"/>
      <c r="Y22" s="4597"/>
      <c r="Z22" s="907"/>
      <c r="AA22" s="907">
        <v>1</v>
      </c>
      <c r="AB22" s="907">
        <v>1</v>
      </c>
      <c r="AC22" s="907">
        <v>1</v>
      </c>
    </row>
    <row r="23" spans="1:29" ht="142.5">
      <c r="A23" s="254"/>
      <c r="B23" s="2779" t="s">
        <v>1239</v>
      </c>
      <c r="C23" s="2817" t="str">
        <f>估价对象房地状况!C9</f>
        <v>估价对象周边有房山人民公园、北潞园健身公园等绿化景观，自然环境较好；有房山区良乡体育中心等人文场所，人文环境较好；综合评价环境状况较好。</v>
      </c>
      <c r="D23" s="2876">
        <v>100</v>
      </c>
      <c r="E23" s="2827"/>
      <c r="F23" s="3717">
        <f>SUMIF(84:84,E24,85:85)-SUMIF(84:84,C24,85:85)+100</f>
        <v>100</v>
      </c>
      <c r="G23" s="2833"/>
      <c r="H23" s="3699">
        <f>SUMIF(84:84,G24,85:85)-SUMIF(84:84,C24,85:85)+100</f>
        <v>100</v>
      </c>
      <c r="I23" s="2827"/>
      <c r="J23" s="3699">
        <f>SUMIF(84:84,I24,85:85)-SUMIF(84:84,C24,85:85)+100</f>
        <v>100</v>
      </c>
      <c r="K23" s="2841"/>
      <c r="L23" s="1979"/>
      <c r="M23" s="1974"/>
      <c r="N23" s="1974"/>
      <c r="O23" s="1974"/>
      <c r="P23" s="4604"/>
      <c r="Q23" s="1507" t="str">
        <f>B23</f>
        <v>自然及人文环境</v>
      </c>
      <c r="R23" s="3711" t="s">
        <v>13</v>
      </c>
      <c r="S23" s="3139">
        <f>F23</f>
        <v>100</v>
      </c>
      <c r="T23" s="3711" t="s">
        <v>13</v>
      </c>
      <c r="U23" s="3139">
        <f>H23</f>
        <v>100</v>
      </c>
      <c r="V23" s="3711" t="s">
        <v>13</v>
      </c>
      <c r="W23" s="3139">
        <f>J23</f>
        <v>100</v>
      </c>
      <c r="X23" s="909"/>
      <c r="Y23" s="4597"/>
      <c r="Z23" s="907" t="str">
        <f>Q23</f>
        <v>自然及人文环境</v>
      </c>
      <c r="AA23" s="907">
        <f t="shared" si="3"/>
        <v>1</v>
      </c>
      <c r="AB23" s="907">
        <f t="shared" si="4"/>
        <v>1</v>
      </c>
      <c r="AC23" s="907">
        <f t="shared" si="5"/>
        <v>1</v>
      </c>
    </row>
    <row r="24" spans="1:29" ht="15">
      <c r="A24" s="254"/>
      <c r="B24" s="2780"/>
      <c r="C24" s="2802"/>
      <c r="D24" s="2875"/>
      <c r="E24" s="2830"/>
      <c r="F24" s="3716"/>
      <c r="G24" s="2836"/>
      <c r="H24" s="3698"/>
      <c r="I24" s="2830"/>
      <c r="J24" s="3698"/>
      <c r="K24" s="2842"/>
      <c r="L24" s="1979"/>
      <c r="M24" s="1974"/>
      <c r="N24" s="1974"/>
      <c r="O24" s="1974"/>
      <c r="P24" s="4604"/>
      <c r="Q24" s="1507"/>
      <c r="R24" s="3711"/>
      <c r="S24" s="3139"/>
      <c r="T24" s="3711"/>
      <c r="U24" s="3139"/>
      <c r="V24" s="3711"/>
      <c r="W24" s="3139"/>
      <c r="X24" s="909"/>
      <c r="Y24" s="4597"/>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604"/>
      <c r="Q25" s="1507" t="str">
        <f t="shared" ref="Q25:Q46" si="11">B25</f>
        <v>临街状况</v>
      </c>
      <c r="R25" s="3711" t="s">
        <v>13</v>
      </c>
      <c r="S25" s="3139">
        <f>F25</f>
        <v>100</v>
      </c>
      <c r="T25" s="3711" t="s">
        <v>13</v>
      </c>
      <c r="U25" s="3139">
        <f>H25</f>
        <v>100</v>
      </c>
      <c r="V25" s="3711" t="s">
        <v>13</v>
      </c>
      <c r="W25" s="3139">
        <f>J25</f>
        <v>100</v>
      </c>
      <c r="X25" s="909"/>
      <c r="Y25" s="4597"/>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604"/>
      <c r="Q26" s="1507" t="str">
        <f t="shared" si="11"/>
        <v>平面位置/可视性</v>
      </c>
      <c r="R26" s="3711" t="s">
        <v>13</v>
      </c>
      <c r="S26" s="3139">
        <f>F26</f>
        <v>100</v>
      </c>
      <c r="T26" s="3711" t="s">
        <v>13</v>
      </c>
      <c r="U26" s="3139">
        <f>H26</f>
        <v>100</v>
      </c>
      <c r="V26" s="3711" t="s">
        <v>13</v>
      </c>
      <c r="W26" s="3139">
        <f>J26</f>
        <v>100</v>
      </c>
      <c r="X26" s="909"/>
      <c r="Y26" s="4597"/>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9">
        <f>SUMIF(90:90,E27,91:91)-SUMIF(90:90,C27,91:91)+100</f>
        <v>100</v>
      </c>
      <c r="G27" s="2819"/>
      <c r="H27" s="3702">
        <f>SUMIF(90:90,G27,91:91)-SUMIF(90:90,C27,91:91)+100</f>
        <v>100</v>
      </c>
      <c r="I27" s="2819"/>
      <c r="J27" s="3702">
        <f>SUMIF(90:90,I27,91:91)-SUMIF(90:90,C27,91:91)+100</f>
        <v>100</v>
      </c>
      <c r="K27" s="2839"/>
      <c r="L27" s="1975"/>
      <c r="M27" s="1928"/>
      <c r="N27" s="1928"/>
      <c r="O27" s="1928"/>
      <c r="P27" s="4604"/>
      <c r="Q27" s="1698" t="str">
        <f t="shared" si="11"/>
        <v>人流量</v>
      </c>
      <c r="R27" s="3609" t="s">
        <v>13</v>
      </c>
      <c r="S27" s="3138">
        <f>F27</f>
        <v>100</v>
      </c>
      <c r="T27" s="3609" t="s">
        <v>13</v>
      </c>
      <c r="U27" s="3138">
        <f>H27</f>
        <v>100</v>
      </c>
      <c r="V27" s="3609" t="s">
        <v>13</v>
      </c>
      <c r="W27" s="3138">
        <f>J27</f>
        <v>100</v>
      </c>
      <c r="X27" s="482"/>
      <c r="Y27" s="4597"/>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604"/>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597"/>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604"/>
      <c r="Q29" s="1507">
        <f t="shared" si="11"/>
        <v>111</v>
      </c>
      <c r="R29" s="3711" t="s">
        <v>13</v>
      </c>
      <c r="S29" s="3139">
        <f t="shared" si="12"/>
        <v>100</v>
      </c>
      <c r="T29" s="3711" t="s">
        <v>13</v>
      </c>
      <c r="U29" s="3139">
        <f t="shared" si="13"/>
        <v>100</v>
      </c>
      <c r="V29" s="3711" t="s">
        <v>13</v>
      </c>
      <c r="W29" s="3139">
        <f t="shared" si="14"/>
        <v>100</v>
      </c>
      <c r="X29" s="909"/>
      <c r="Y29" s="4597"/>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604"/>
      <c r="Q30" s="1507">
        <f t="shared" si="11"/>
        <v>111</v>
      </c>
      <c r="R30" s="3711" t="s">
        <v>13</v>
      </c>
      <c r="S30" s="3139">
        <f t="shared" si="12"/>
        <v>100</v>
      </c>
      <c r="T30" s="3711" t="s">
        <v>13</v>
      </c>
      <c r="U30" s="3139">
        <f t="shared" si="13"/>
        <v>100</v>
      </c>
      <c r="V30" s="3711" t="s">
        <v>13</v>
      </c>
      <c r="W30" s="3139">
        <f t="shared" si="14"/>
        <v>100</v>
      </c>
      <c r="X30" s="909"/>
      <c r="Y30" s="4597"/>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604"/>
      <c r="Q31" s="1507">
        <f t="shared" si="11"/>
        <v>111</v>
      </c>
      <c r="R31" s="3711" t="s">
        <v>13</v>
      </c>
      <c r="S31" s="3139">
        <f t="shared" si="12"/>
        <v>100</v>
      </c>
      <c r="T31" s="3711" t="s">
        <v>13</v>
      </c>
      <c r="U31" s="3139">
        <f t="shared" si="13"/>
        <v>100</v>
      </c>
      <c r="V31" s="3711" t="s">
        <v>13</v>
      </c>
      <c r="W31" s="3139">
        <f t="shared" si="14"/>
        <v>100</v>
      </c>
      <c r="X31" s="909"/>
      <c r="Y31" s="4597"/>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598" t="s">
        <v>1603</v>
      </c>
      <c r="Q32" s="1507" t="str">
        <f t="shared" si="11"/>
        <v>商业类型</v>
      </c>
      <c r="R32" s="3711" t="s">
        <v>13</v>
      </c>
      <c r="S32" s="3139">
        <f t="shared" si="12"/>
        <v>100</v>
      </c>
      <c r="T32" s="3711" t="s">
        <v>13</v>
      </c>
      <c r="U32" s="3139">
        <f t="shared" si="13"/>
        <v>100</v>
      </c>
      <c r="V32" s="3711" t="s">
        <v>13</v>
      </c>
      <c r="W32" s="3139">
        <f t="shared" si="14"/>
        <v>100</v>
      </c>
      <c r="X32" s="909"/>
      <c r="Y32" s="4601"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599"/>
      <c r="Q33" s="2846" t="str">
        <f t="shared" si="11"/>
        <v>项目建筑规模</v>
      </c>
      <c r="R33" s="3712" t="s">
        <v>13</v>
      </c>
      <c r="S33" s="3140" t="e">
        <f t="shared" si="12"/>
        <v>#N/A</v>
      </c>
      <c r="T33" s="3712" t="s">
        <v>13</v>
      </c>
      <c r="U33" s="3140" t="e">
        <f t="shared" si="13"/>
        <v>#N/A</v>
      </c>
      <c r="V33" s="3712" t="s">
        <v>13</v>
      </c>
      <c r="W33" s="3140" t="e">
        <f t="shared" si="14"/>
        <v>#N/A</v>
      </c>
      <c r="X33" s="484"/>
      <c r="Y33" s="4601"/>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599"/>
      <c r="Q34" s="1507" t="str">
        <f t="shared" si="11"/>
        <v>建筑结构</v>
      </c>
      <c r="R34" s="3711" t="s">
        <v>13</v>
      </c>
      <c r="S34" s="3139">
        <f t="shared" si="12"/>
        <v>100</v>
      </c>
      <c r="T34" s="3711" t="s">
        <v>13</v>
      </c>
      <c r="U34" s="3139">
        <f t="shared" si="13"/>
        <v>100</v>
      </c>
      <c r="V34" s="3711" t="s">
        <v>13</v>
      </c>
      <c r="W34" s="3139">
        <f t="shared" si="14"/>
        <v>100</v>
      </c>
      <c r="X34" s="909"/>
      <c r="Y34" s="4601"/>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599"/>
      <c r="Q35" s="1507" t="str">
        <f t="shared" si="11"/>
        <v>公共部分装修</v>
      </c>
      <c r="R35" s="3711" t="s">
        <v>13</v>
      </c>
      <c r="S35" s="3139">
        <f t="shared" si="12"/>
        <v>100</v>
      </c>
      <c r="T35" s="3711" t="s">
        <v>13</v>
      </c>
      <c r="U35" s="3139">
        <f t="shared" si="13"/>
        <v>100</v>
      </c>
      <c r="V35" s="3711" t="s">
        <v>13</v>
      </c>
      <c r="W35" s="3139">
        <f t="shared" si="14"/>
        <v>100</v>
      </c>
      <c r="X35" s="909"/>
      <c r="Y35" s="4601"/>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599"/>
      <c r="Q36" s="1507" t="str">
        <f t="shared" si="11"/>
        <v>成新度</v>
      </c>
      <c r="R36" s="3711" t="s">
        <v>13</v>
      </c>
      <c r="S36" s="3139" t="e">
        <f t="shared" si="12"/>
        <v>#N/A</v>
      </c>
      <c r="T36" s="3711" t="s">
        <v>13</v>
      </c>
      <c r="U36" s="3139" t="e">
        <f t="shared" si="13"/>
        <v>#N/A</v>
      </c>
      <c r="V36" s="3711" t="s">
        <v>13</v>
      </c>
      <c r="W36" s="3139" t="e">
        <f t="shared" si="14"/>
        <v>#N/A</v>
      </c>
      <c r="X36" s="909"/>
      <c r="Y36" s="4601"/>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599"/>
      <c r="Q37" s="1698" t="str">
        <f t="shared" si="11"/>
        <v>市政基础设施</v>
      </c>
      <c r="R37" s="3609" t="s">
        <v>13</v>
      </c>
      <c r="S37" s="3138">
        <f t="shared" si="12"/>
        <v>100</v>
      </c>
      <c r="T37" s="3609" t="s">
        <v>13</v>
      </c>
      <c r="U37" s="3138">
        <f t="shared" si="13"/>
        <v>100</v>
      </c>
      <c r="V37" s="3609" t="s">
        <v>13</v>
      </c>
      <c r="W37" s="3138">
        <f t="shared" si="14"/>
        <v>100</v>
      </c>
      <c r="X37" s="482"/>
      <c r="Y37" s="4601"/>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599" t="s">
        <v>1603</v>
      </c>
      <c r="Q38" s="1507" t="str">
        <f t="shared" si="11"/>
        <v>业态</v>
      </c>
      <c r="R38" s="3711" t="s">
        <v>13</v>
      </c>
      <c r="S38" s="3139">
        <f t="shared" si="12"/>
        <v>100</v>
      </c>
      <c r="T38" s="3711" t="s">
        <v>13</v>
      </c>
      <c r="U38" s="3139">
        <f t="shared" si="13"/>
        <v>100</v>
      </c>
      <c r="V38" s="3711" t="s">
        <v>13</v>
      </c>
      <c r="W38" s="3139">
        <f t="shared" si="14"/>
        <v>100</v>
      </c>
      <c r="X38" s="909"/>
      <c r="Y38" s="4601"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599"/>
      <c r="Q39" s="1507" t="str">
        <f t="shared" si="11"/>
        <v>层高</v>
      </c>
      <c r="R39" s="3711" t="s">
        <v>13</v>
      </c>
      <c r="S39" s="3139">
        <f t="shared" si="12"/>
        <v>100</v>
      </c>
      <c r="T39" s="3711" t="s">
        <v>13</v>
      </c>
      <c r="U39" s="3139">
        <f t="shared" si="13"/>
        <v>100</v>
      </c>
      <c r="V39" s="3711" t="s">
        <v>13</v>
      </c>
      <c r="W39" s="3139">
        <f t="shared" si="14"/>
        <v>100</v>
      </c>
      <c r="X39" s="909"/>
      <c r="Y39" s="4601"/>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599"/>
      <c r="Q40" s="1507" t="str">
        <f t="shared" si="11"/>
        <v>单套建筑面积</v>
      </c>
      <c r="R40" s="3711" t="s">
        <v>13</v>
      </c>
      <c r="S40" s="3139">
        <f t="shared" si="12"/>
        <v>100</v>
      </c>
      <c r="T40" s="3711" t="s">
        <v>13</v>
      </c>
      <c r="U40" s="3139">
        <f t="shared" si="13"/>
        <v>100</v>
      </c>
      <c r="V40" s="3711" t="s">
        <v>13</v>
      </c>
      <c r="W40" s="3139">
        <f t="shared" si="14"/>
        <v>100</v>
      </c>
      <c r="X40" s="909"/>
      <c r="Y40" s="4601"/>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599"/>
      <c r="Q41" s="2846" t="str">
        <f t="shared" si="11"/>
        <v>进深比</v>
      </c>
      <c r="R41" s="3712" t="s">
        <v>13</v>
      </c>
      <c r="S41" s="3140">
        <f t="shared" si="12"/>
        <v>100</v>
      </c>
      <c r="T41" s="3712" t="s">
        <v>13</v>
      </c>
      <c r="U41" s="3140">
        <f t="shared" si="13"/>
        <v>100</v>
      </c>
      <c r="V41" s="3712" t="s">
        <v>13</v>
      </c>
      <c r="W41" s="3140">
        <f t="shared" si="14"/>
        <v>100</v>
      </c>
      <c r="X41" s="484"/>
      <c r="Y41" s="4601"/>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599"/>
      <c r="Q42" s="1507" t="str">
        <f t="shared" si="11"/>
        <v>内部装修</v>
      </c>
      <c r="R42" s="3711" t="s">
        <v>13</v>
      </c>
      <c r="S42" s="3139">
        <f t="shared" si="12"/>
        <v>100</v>
      </c>
      <c r="T42" s="3711" t="s">
        <v>13</v>
      </c>
      <c r="U42" s="3139">
        <f t="shared" si="13"/>
        <v>100</v>
      </c>
      <c r="V42" s="3711" t="s">
        <v>13</v>
      </c>
      <c r="W42" s="3139">
        <f t="shared" si="14"/>
        <v>100</v>
      </c>
      <c r="X42" s="909"/>
      <c r="Y42" s="4601"/>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599"/>
      <c r="Q43" s="1507" t="str">
        <f t="shared" si="11"/>
        <v>内部装修维护情况</v>
      </c>
      <c r="R43" s="3711" t="s">
        <v>13</v>
      </c>
      <c r="S43" s="3139">
        <f t="shared" si="12"/>
        <v>100</v>
      </c>
      <c r="T43" s="3711" t="s">
        <v>13</v>
      </c>
      <c r="U43" s="3139">
        <f t="shared" si="13"/>
        <v>100</v>
      </c>
      <c r="V43" s="3711" t="s">
        <v>13</v>
      </c>
      <c r="W43" s="3139">
        <f t="shared" si="14"/>
        <v>100</v>
      </c>
      <c r="X43" s="909"/>
      <c r="Y43" s="4601"/>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599"/>
      <c r="Q44" s="1698">
        <f t="shared" si="11"/>
        <v>111</v>
      </c>
      <c r="R44" s="3609" t="s">
        <v>13</v>
      </c>
      <c r="S44" s="3138">
        <f t="shared" si="12"/>
        <v>100</v>
      </c>
      <c r="T44" s="3609" t="s">
        <v>13</v>
      </c>
      <c r="U44" s="3138">
        <f t="shared" si="13"/>
        <v>100</v>
      </c>
      <c r="V44" s="3609" t="s">
        <v>13</v>
      </c>
      <c r="W44" s="3138">
        <f t="shared" si="14"/>
        <v>100</v>
      </c>
      <c r="X44" s="482"/>
      <c r="Y44" s="4601"/>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599"/>
      <c r="Q45" s="1507">
        <f t="shared" si="11"/>
        <v>111</v>
      </c>
      <c r="R45" s="3711" t="s">
        <v>13</v>
      </c>
      <c r="S45" s="3139">
        <f t="shared" si="12"/>
        <v>100</v>
      </c>
      <c r="T45" s="3711" t="s">
        <v>13</v>
      </c>
      <c r="U45" s="3139">
        <f t="shared" si="13"/>
        <v>100</v>
      </c>
      <c r="V45" s="3711" t="s">
        <v>13</v>
      </c>
      <c r="W45" s="3139">
        <f t="shared" si="14"/>
        <v>100</v>
      </c>
      <c r="X45" s="909"/>
      <c r="Y45" s="4601"/>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600"/>
      <c r="Q46" s="1507">
        <f t="shared" si="11"/>
        <v>111</v>
      </c>
      <c r="R46" s="3711" t="s">
        <v>13</v>
      </c>
      <c r="S46" s="3139">
        <f t="shared" si="12"/>
        <v>100</v>
      </c>
      <c r="T46" s="3711" t="s">
        <v>13</v>
      </c>
      <c r="U46" s="3139">
        <f t="shared" si="13"/>
        <v>100</v>
      </c>
      <c r="V46" s="3711" t="s">
        <v>13</v>
      </c>
      <c r="W46" s="3139">
        <f t="shared" si="14"/>
        <v>100</v>
      </c>
      <c r="X46" s="909"/>
      <c r="Y46" s="4602"/>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594" t="str">
        <f>A47</f>
        <v>成交单价（元/平方米）</v>
      </c>
      <c r="Q47" s="4594"/>
      <c r="R47" s="4595">
        <f>E47</f>
        <v>0</v>
      </c>
      <c r="S47" s="4595"/>
      <c r="T47" s="4595">
        <f>G47</f>
        <v>0</v>
      </c>
      <c r="U47" s="4595"/>
      <c r="V47" s="4595">
        <f>I47</f>
        <v>0</v>
      </c>
      <c r="W47" s="4595"/>
      <c r="X47" s="265"/>
      <c r="Y47" s="486"/>
      <c r="Z47" s="265"/>
      <c r="AA47" s="265"/>
      <c r="AB47" s="265"/>
      <c r="AC47" s="265"/>
    </row>
    <row r="48" spans="1:29" ht="15.75" thickBot="1">
      <c r="A48" s="289" t="s">
        <v>1700</v>
      </c>
      <c r="B48" s="290"/>
      <c r="C48" s="3709" t="e">
        <f>R49</f>
        <v>#DIV/0!</v>
      </c>
      <c r="D48" s="3822" t="s">
        <v>2040</v>
      </c>
      <c r="E48" s="3720" t="e">
        <f>R48</f>
        <v>#DIV/0!</v>
      </c>
      <c r="F48" s="2783"/>
      <c r="G48" s="3709" t="e">
        <f>T48</f>
        <v>#DIV/0!</v>
      </c>
      <c r="H48" s="2783"/>
      <c r="I48" s="3720" t="e">
        <f>V48</f>
        <v>#DIV/0!</v>
      </c>
      <c r="J48" s="2783"/>
      <c r="K48" s="2837">
        <f>F48+H48+J48</f>
        <v>0</v>
      </c>
      <c r="L48" s="1981"/>
      <c r="M48" s="1974"/>
      <c r="N48" s="1974"/>
      <c r="O48" s="1974"/>
      <c r="P48" s="4594" t="str">
        <f>A48</f>
        <v>比较价值（元/平方米）</v>
      </c>
      <c r="Q48" s="4594"/>
      <c r="R48" s="4595" t="e">
        <f>IF(F1="售价",ROUND(PRODUCT(R47,AA7:AA46),0),ROUND(PRODUCT(R47,AA7:AA46),1))</f>
        <v>#DIV/0!</v>
      </c>
      <c r="S48" s="4595"/>
      <c r="T48" s="4595" t="e">
        <f>IF(F1="售价",ROUND(PRODUCT(T47,AB7:AB46),0),ROUND(PRODUCT(T47,AB7:AB46),1))</f>
        <v>#DIV/0!</v>
      </c>
      <c r="U48" s="4595"/>
      <c r="V48" s="4595" t="e">
        <f>IF(F1="售价",ROUND(PRODUCT(V47,AC7:AC46),0),ROUND(PRODUCT(V47,AC7:AC46),1))</f>
        <v>#DIV/0!</v>
      </c>
      <c r="W48" s="4595"/>
      <c r="X48" s="265"/>
      <c r="Y48" s="265"/>
      <c r="Z48" s="265"/>
      <c r="AA48" s="265"/>
      <c r="AB48" s="265"/>
      <c r="AC48" s="265"/>
    </row>
    <row r="49" spans="1:29" ht="15.75" thickBot="1">
      <c r="A49" s="291" t="s">
        <v>1701</v>
      </c>
      <c r="B49" s="292"/>
      <c r="C49" s="3721" t="e">
        <f>R49</f>
        <v>#DIV/0!</v>
      </c>
      <c r="D49" s="241"/>
      <c r="E49" s="241"/>
      <c r="F49" s="241"/>
      <c r="G49" s="241"/>
      <c r="H49" s="241"/>
      <c r="I49" s="241"/>
      <c r="J49" s="241"/>
      <c r="K49" s="487"/>
      <c r="L49" s="1981"/>
      <c r="M49" s="1974"/>
      <c r="N49" s="1974"/>
      <c r="O49" s="1974"/>
      <c r="P49" s="4591" t="str">
        <f>A49</f>
        <v>估价对象XX用房的比较价值（楼面单价，元/平方米）</v>
      </c>
      <c r="Q49" s="4592"/>
      <c r="R49" s="4593" t="e">
        <f>IF(F1="售价",ROUND(IF(D48="简单平均",AVERAGE(R48:V48),R48*F48+T48*H48+V48*J48),0),ROUND(IF(D48="简单平均",AVERAGE(R48:V48),R48*F48+T48*H48+V48*J48),1))</f>
        <v>#DIV/0!</v>
      </c>
      <c r="S49" s="4593"/>
      <c r="T49" s="4593"/>
      <c r="U49" s="4593"/>
      <c r="V49" s="4593"/>
      <c r="W49" s="4593"/>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3866</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4"/>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IF(E1="项目模式",IF(E2="——",ROUND(C50*D3/10000,0),ROUND(C50*D3/10000,0)-F2),IF(E1="单套模式",IF(E2="——",ROUND(C50*D3/10000,4),ROUND(C50*D3/10000,4)-F2)))</f>
        <v>0</v>
      </c>
      <c r="E2" s="1355"/>
      <c r="F2" s="3722"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0</v>
      </c>
      <c r="C3" s="234" t="s">
        <v>1675</v>
      </c>
      <c r="D3" s="2862">
        <f>IF(D1="",'数据-汇总表'!E3,SUMIF('数据-汇总表'!$C19:$C33,D1,'数据-汇总表'!$E19:$E33))</f>
        <v>119963.53</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653" t="s">
        <v>1677</v>
      </c>
      <c r="D4" s="4654"/>
      <c r="E4" s="4655" t="s">
        <v>1678</v>
      </c>
      <c r="F4" s="4656"/>
      <c r="G4" s="4653" t="s">
        <v>1679</v>
      </c>
      <c r="H4" s="4654"/>
      <c r="I4" s="4653" t="s">
        <v>1680</v>
      </c>
      <c r="J4" s="4654"/>
      <c r="K4" s="393" t="s">
        <v>1681</v>
      </c>
      <c r="L4" s="1973"/>
      <c r="M4" s="1974"/>
      <c r="N4" s="1974"/>
      <c r="O4" s="1974"/>
      <c r="P4" s="4657" t="s">
        <v>1682</v>
      </c>
      <c r="Q4" s="4658"/>
      <c r="R4" s="4661" t="s">
        <v>1678</v>
      </c>
      <c r="S4" s="4662"/>
      <c r="T4" s="4661" t="s">
        <v>1679</v>
      </c>
      <c r="U4" s="4662"/>
      <c r="V4" s="4663" t="s">
        <v>1680</v>
      </c>
      <c r="W4" s="4663"/>
      <c r="X4" s="1413"/>
      <c r="Y4" s="4669" t="s">
        <v>1682</v>
      </c>
      <c r="Z4" s="4670"/>
      <c r="AA4" s="4673" t="s">
        <v>1678</v>
      </c>
      <c r="AB4" s="4673" t="s">
        <v>1679</v>
      </c>
      <c r="AC4" s="4650" t="s">
        <v>1680</v>
      </c>
    </row>
    <row r="5" spans="1:29" ht="15">
      <c r="A5" s="238"/>
      <c r="B5" s="239"/>
      <c r="C5" s="4666" t="s">
        <v>1580</v>
      </c>
      <c r="D5" s="4667"/>
      <c r="E5" s="4674" t="s">
        <v>1581</v>
      </c>
      <c r="F5" s="4675"/>
      <c r="G5" s="4666" t="s">
        <v>1582</v>
      </c>
      <c r="H5" s="4667"/>
      <c r="I5" s="4666" t="s">
        <v>1583</v>
      </c>
      <c r="J5" s="4667"/>
      <c r="K5" s="393"/>
      <c r="L5" s="1973"/>
      <c r="M5" s="1974"/>
      <c r="N5" s="1974"/>
      <c r="O5" s="1974"/>
      <c r="P5" s="4659"/>
      <c r="Q5" s="4617"/>
      <c r="R5" s="4622"/>
      <c r="S5" s="4623"/>
      <c r="T5" s="4622"/>
      <c r="U5" s="4623"/>
      <c r="V5" s="4626"/>
      <c r="W5" s="4626"/>
      <c r="X5" s="909"/>
      <c r="Y5" s="4637"/>
      <c r="Z5" s="4638"/>
      <c r="AA5" s="4608"/>
      <c r="AB5" s="4608"/>
      <c r="AC5" s="4651"/>
    </row>
    <row r="6" spans="1:29" ht="15.75" thickBot="1">
      <c r="A6" s="240"/>
      <c r="B6" s="241"/>
      <c r="C6" s="4664" t="s">
        <v>1584</v>
      </c>
      <c r="D6" s="4665"/>
      <c r="E6" s="4671" t="s">
        <v>1584</v>
      </c>
      <c r="F6" s="4672"/>
      <c r="G6" s="4664" t="s">
        <v>1584</v>
      </c>
      <c r="H6" s="4665"/>
      <c r="I6" s="4664" t="s">
        <v>1584</v>
      </c>
      <c r="J6" s="4665"/>
      <c r="K6" s="393" t="s">
        <v>1585</v>
      </c>
      <c r="L6" s="1973"/>
      <c r="M6" s="1974"/>
      <c r="N6" s="1974"/>
      <c r="O6" s="1974"/>
      <c r="P6" s="4660"/>
      <c r="Q6" s="4619"/>
      <c r="R6" s="4622"/>
      <c r="S6" s="4623"/>
      <c r="T6" s="4624"/>
      <c r="U6" s="4625"/>
      <c r="V6" s="4626"/>
      <c r="W6" s="4626"/>
      <c r="X6" s="909"/>
      <c r="Y6" s="4639"/>
      <c r="Z6" s="4640"/>
      <c r="AA6" s="4609"/>
      <c r="AB6" s="4609"/>
      <c r="AC6" s="4652"/>
    </row>
    <row r="7" spans="1:29" s="46" customFormat="1" ht="15.75" thickBot="1">
      <c r="A7" s="242" t="s">
        <v>1586</v>
      </c>
      <c r="B7" s="243"/>
      <c r="C7" s="244">
        <f>'数据-取费表'!B2</f>
        <v>46126</v>
      </c>
      <c r="D7" s="2880">
        <v>100</v>
      </c>
      <c r="E7" s="245"/>
      <c r="F7" s="3723">
        <f>SUMIF(59:59,YEAR(E7)&amp;"-"&amp;MONTH(E7),60:60)</f>
        <v>0</v>
      </c>
      <c r="G7" s="245"/>
      <c r="H7" s="3729">
        <f>SUMIF(59:59,YEAR(G7)&amp;"-"&amp;MONTH(G7),60:60)</f>
        <v>0</v>
      </c>
      <c r="I7" s="245"/>
      <c r="J7" s="3729">
        <f>SUMIF(59:59,YEAR(I7)&amp;"-"&amp;MONTH(I7),60:60)</f>
        <v>0</v>
      </c>
      <c r="K7" s="22"/>
      <c r="L7" s="1975"/>
      <c r="M7" s="1928"/>
      <c r="N7" s="1928"/>
      <c r="O7" s="1928"/>
      <c r="P7" s="4668" t="s">
        <v>1587</v>
      </c>
      <c r="Q7" s="4641"/>
      <c r="R7" s="3609" t="s">
        <v>13</v>
      </c>
      <c r="S7" s="3138">
        <f t="shared" ref="S7:S15" si="0">F7</f>
        <v>0</v>
      </c>
      <c r="T7" s="3609" t="s">
        <v>13</v>
      </c>
      <c r="U7" s="3138">
        <f t="shared" ref="U7:U15" si="1">H7</f>
        <v>0</v>
      </c>
      <c r="V7" s="3609" t="s">
        <v>13</v>
      </c>
      <c r="W7" s="3138">
        <f t="shared" ref="W7:W15" si="2">J7</f>
        <v>0</v>
      </c>
      <c r="X7" s="482"/>
      <c r="Y7" s="4633" t="s">
        <v>1587</v>
      </c>
      <c r="Z7" s="4634"/>
      <c r="AA7" s="28" t="e">
        <f>D7/F7</f>
        <v>#DIV/0!</v>
      </c>
      <c r="AB7" s="28" t="e">
        <f>D7/H7</f>
        <v>#DIV/0!</v>
      </c>
      <c r="AC7" s="545" t="e">
        <f>D7/J7</f>
        <v>#DIV/0!</v>
      </c>
    </row>
    <row r="8" spans="1:29" s="46" customFormat="1" ht="15.75" thickBot="1">
      <c r="A8" s="242" t="s">
        <v>1588</v>
      </c>
      <c r="B8" s="243"/>
      <c r="C8" s="246"/>
      <c r="D8" s="2880">
        <v>100</v>
      </c>
      <c r="E8" s="246"/>
      <c r="F8" s="3723">
        <f>SUMIF(62:62,E8,63:63)-SUMIF(62:62,C8,63:63)+100</f>
        <v>100</v>
      </c>
      <c r="G8" s="246"/>
      <c r="H8" s="3729">
        <f>SUMIF(62:62,G8,63:63)-SUMIF(62:62,C8,63:63)+100</f>
        <v>100</v>
      </c>
      <c r="I8" s="246"/>
      <c r="J8" s="3729">
        <f>SUMIF(62:62,I8,63:63)-SUMIF(62:62,C8,63:63)+100</f>
        <v>100</v>
      </c>
      <c r="K8" s="22"/>
      <c r="L8" s="1975"/>
      <c r="M8" s="1928"/>
      <c r="N8" s="1928"/>
      <c r="O8" s="1928"/>
      <c r="P8" s="4668" t="s">
        <v>1590</v>
      </c>
      <c r="Q8" s="4632"/>
      <c r="R8" s="3609" t="s">
        <v>13</v>
      </c>
      <c r="S8" s="3138">
        <f t="shared" si="0"/>
        <v>100</v>
      </c>
      <c r="T8" s="3609" t="s">
        <v>13</v>
      </c>
      <c r="U8" s="3138">
        <f t="shared" si="1"/>
        <v>100</v>
      </c>
      <c r="V8" s="3609" t="s">
        <v>13</v>
      </c>
      <c r="W8" s="3138">
        <f t="shared" si="2"/>
        <v>100</v>
      </c>
      <c r="X8" s="482"/>
      <c r="Y8" s="4633" t="s">
        <v>1590</v>
      </c>
      <c r="Z8" s="4634"/>
      <c r="AA8" s="28">
        <f t="shared" ref="AA8:AA47" si="3">D8/F8</f>
        <v>1</v>
      </c>
      <c r="AB8" s="28">
        <f t="shared" ref="AB8:AB47" si="4">D8/H8</f>
        <v>1</v>
      </c>
      <c r="AC8" s="545">
        <f t="shared" ref="AC8:AC47" si="5">D8/J8</f>
        <v>1</v>
      </c>
    </row>
    <row r="9" spans="1:29" s="46" customFormat="1">
      <c r="A9" s="247" t="s">
        <v>1591</v>
      </c>
      <c r="B9" s="34" t="s">
        <v>1592</v>
      </c>
      <c r="C9" s="248"/>
      <c r="D9" s="2881">
        <v>100</v>
      </c>
      <c r="E9" s="250"/>
      <c r="F9" s="33">
        <f>SUMIF(64:64,E9,65:65)-SUMIF(64:64,C9,65:65)+100</f>
        <v>100</v>
      </c>
      <c r="G9" s="249"/>
      <c r="H9" s="33">
        <f>SUMIF(64:64,G9,65:65)-SUMIF(64:64,C9,65:65)+100</f>
        <v>100</v>
      </c>
      <c r="I9" s="249"/>
      <c r="J9" s="33">
        <f>SUMIF(64:64,I9,65:65)-SUMIF(64:64,C9,65:65)+100</f>
        <v>100</v>
      </c>
      <c r="K9" s="22"/>
      <c r="L9" s="1975"/>
      <c r="M9" s="1928"/>
      <c r="N9" s="1928"/>
      <c r="O9" s="1928"/>
      <c r="P9" s="4605" t="s">
        <v>1593</v>
      </c>
      <c r="Q9" s="1698" t="str">
        <f t="shared" ref="Q9:Q15" si="6">B9</f>
        <v>用途</v>
      </c>
      <c r="R9" s="3609" t="s">
        <v>13</v>
      </c>
      <c r="S9" s="3138">
        <f t="shared" si="0"/>
        <v>100</v>
      </c>
      <c r="T9" s="3609" t="s">
        <v>13</v>
      </c>
      <c r="U9" s="3138">
        <f t="shared" si="1"/>
        <v>100</v>
      </c>
      <c r="V9" s="3609" t="s">
        <v>13</v>
      </c>
      <c r="W9" s="3138">
        <f t="shared" si="2"/>
        <v>100</v>
      </c>
      <c r="X9" s="482"/>
      <c r="Y9" s="4606" t="s">
        <v>1594</v>
      </c>
      <c r="Z9" s="28" t="str">
        <f t="shared" ref="Z9:Z15" si="7">Q9</f>
        <v>用途</v>
      </c>
      <c r="AA9" s="28">
        <f t="shared" si="3"/>
        <v>1</v>
      </c>
      <c r="AB9" s="28">
        <f t="shared" si="4"/>
        <v>1</v>
      </c>
      <c r="AC9" s="545">
        <f t="shared" si="5"/>
        <v>1</v>
      </c>
    </row>
    <row r="10" spans="1:29" s="253" customFormat="1" ht="27">
      <c r="A10" s="251"/>
      <c r="B10" s="252" t="s">
        <v>1595</v>
      </c>
      <c r="C10" s="2459"/>
      <c r="D10" s="2882">
        <v>100</v>
      </c>
      <c r="E10" s="2459"/>
      <c r="F10" s="422">
        <f>SUMIF(66:66,E10,67:67)-SUMIF(66:66,C10,67:67)+100</f>
        <v>100</v>
      </c>
      <c r="G10" s="2460"/>
      <c r="H10" s="422">
        <f>SUMIF(66:66,G10,67:67)-SUMIF(66:66,C10,67:67)+100</f>
        <v>100</v>
      </c>
      <c r="I10" s="2459"/>
      <c r="J10" s="422">
        <f>SUMIF(66:66,I10,67:67)-SUMIF(66:66,C10,67:67)+100</f>
        <v>100</v>
      </c>
      <c r="K10" s="22"/>
      <c r="L10" s="1976"/>
      <c r="M10" s="1977"/>
      <c r="N10" s="1977"/>
      <c r="O10" s="1977"/>
      <c r="P10" s="4605"/>
      <c r="Q10" s="1698" t="str">
        <f t="shared" si="6"/>
        <v>土地使用年限（年）</v>
      </c>
      <c r="R10" s="3609" t="s">
        <v>13</v>
      </c>
      <c r="S10" s="3138">
        <f t="shared" si="0"/>
        <v>100</v>
      </c>
      <c r="T10" s="3609" t="s">
        <v>13</v>
      </c>
      <c r="U10" s="3138">
        <f t="shared" si="1"/>
        <v>100</v>
      </c>
      <c r="V10" s="3609" t="s">
        <v>13</v>
      </c>
      <c r="W10" s="3138">
        <f t="shared" si="2"/>
        <v>100</v>
      </c>
      <c r="X10" s="482"/>
      <c r="Y10" s="4606"/>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605"/>
      <c r="Q11" s="1698" t="str">
        <f t="shared" si="6"/>
        <v>容积率</v>
      </c>
      <c r="R11" s="3609" t="s">
        <v>13</v>
      </c>
      <c r="S11" s="3138">
        <f t="shared" si="0"/>
        <v>100</v>
      </c>
      <c r="T11" s="3609" t="s">
        <v>13</v>
      </c>
      <c r="U11" s="3138">
        <f t="shared" si="1"/>
        <v>100</v>
      </c>
      <c r="V11" s="3609" t="s">
        <v>13</v>
      </c>
      <c r="W11" s="3138">
        <f t="shared" si="2"/>
        <v>100</v>
      </c>
      <c r="X11" s="482"/>
      <c r="Y11" s="4606"/>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4"/>
      <c r="H12" s="422">
        <f>SUMIF(71:71,G12,72:72)-SUMIF(71:71,C12,72:72)+100</f>
        <v>100</v>
      </c>
      <c r="I12" s="258"/>
      <c r="J12" s="422">
        <f>SUMIF(71:71,I12,72:72)-SUMIF(71:71,C12,72:72)+100</f>
        <v>100</v>
      </c>
      <c r="K12" s="395"/>
      <c r="L12" s="1975"/>
      <c r="M12" s="1928"/>
      <c r="N12" s="1928"/>
      <c r="O12" s="1928"/>
      <c r="P12" s="4605"/>
      <c r="Q12" s="1698">
        <f t="shared" si="6"/>
        <v>111</v>
      </c>
      <c r="R12" s="3609" t="s">
        <v>13</v>
      </c>
      <c r="S12" s="3138">
        <f t="shared" si="0"/>
        <v>100</v>
      </c>
      <c r="T12" s="3609" t="s">
        <v>13</v>
      </c>
      <c r="U12" s="3138">
        <f t="shared" si="1"/>
        <v>100</v>
      </c>
      <c r="V12" s="3609" t="s">
        <v>13</v>
      </c>
      <c r="W12" s="3138">
        <f t="shared" si="2"/>
        <v>100</v>
      </c>
      <c r="X12" s="482"/>
      <c r="Y12" s="4606"/>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4"/>
      <c r="H13" s="3727">
        <f>SUMIF(73:73,G13,74:74)-SUMIF(73:73,C13,74:74)+100</f>
        <v>100</v>
      </c>
      <c r="I13" s="258"/>
      <c r="J13" s="3727">
        <f>SUMIF(73:73,I13,74:74)-SUMIF(73:73,C13,74:74)+100</f>
        <v>100</v>
      </c>
      <c r="K13" s="395"/>
      <c r="L13" s="1979"/>
      <c r="M13" s="1974"/>
      <c r="N13" s="1974"/>
      <c r="O13" s="1974"/>
      <c r="P13" s="4605"/>
      <c r="Q13" s="1698">
        <f t="shared" si="6"/>
        <v>111</v>
      </c>
      <c r="R13" s="3609" t="s">
        <v>13</v>
      </c>
      <c r="S13" s="3138">
        <f t="shared" si="0"/>
        <v>100</v>
      </c>
      <c r="T13" s="3609" t="s">
        <v>13</v>
      </c>
      <c r="U13" s="3138">
        <f t="shared" si="1"/>
        <v>100</v>
      </c>
      <c r="V13" s="3609" t="s">
        <v>13</v>
      </c>
      <c r="W13" s="3138">
        <f t="shared" si="2"/>
        <v>100</v>
      </c>
      <c r="X13" s="482"/>
      <c r="Y13" s="4606"/>
      <c r="Z13" s="28">
        <f t="shared" si="7"/>
        <v>111</v>
      </c>
      <c r="AA13" s="28">
        <f t="shared" si="3"/>
        <v>1</v>
      </c>
      <c r="AB13" s="28">
        <f t="shared" si="4"/>
        <v>1</v>
      </c>
      <c r="AC13" s="545">
        <f t="shared" si="5"/>
        <v>1</v>
      </c>
    </row>
    <row r="14" spans="1:29" ht="15.75" thickBot="1">
      <c r="A14" s="260"/>
      <c r="B14" s="1361">
        <v>111</v>
      </c>
      <c r="C14" s="261"/>
      <c r="D14" s="2885">
        <v>100</v>
      </c>
      <c r="E14" s="402"/>
      <c r="F14" s="3724">
        <f>SUMIF(75:75,E14,76:76)-SUMIF(75:75,C14,76:76)+100</f>
        <v>100</v>
      </c>
      <c r="G14" s="1414"/>
      <c r="H14" s="3724">
        <f>SUMIF(75:75,G14,76:76)-SUMIF(75:75,C14,76:76)+100</f>
        <v>100</v>
      </c>
      <c r="I14" s="258"/>
      <c r="J14" s="3724">
        <f>SUMIF(75:75,I14,76:76)-SUMIF(75:75,C14,76:76)+100</f>
        <v>100</v>
      </c>
      <c r="K14" s="395"/>
      <c r="L14" s="1979"/>
      <c r="M14" s="1974"/>
      <c r="N14" s="1974"/>
      <c r="O14" s="1974"/>
      <c r="P14" s="4605"/>
      <c r="Q14" s="1698">
        <f t="shared" si="6"/>
        <v>111</v>
      </c>
      <c r="R14" s="3609" t="s">
        <v>13</v>
      </c>
      <c r="S14" s="3138">
        <f t="shared" si="0"/>
        <v>100</v>
      </c>
      <c r="T14" s="3609" t="s">
        <v>13</v>
      </c>
      <c r="U14" s="3138">
        <f t="shared" si="1"/>
        <v>100</v>
      </c>
      <c r="V14" s="3609" t="s">
        <v>13</v>
      </c>
      <c r="W14" s="3138">
        <f t="shared" si="2"/>
        <v>100</v>
      </c>
      <c r="X14" s="482"/>
      <c r="Y14" s="4606"/>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86">
        <v>100</v>
      </c>
      <c r="E15" s="264"/>
      <c r="F15" s="3725">
        <f>SUMIF(77:77,E16,78:78)-SUMIF(77:77,C16,78:78)+100</f>
        <v>100</v>
      </c>
      <c r="G15" s="263"/>
      <c r="H15" s="3725">
        <f>SUMIF(77:77,G16,78:78)-SUMIF(77:77,C16,78:78)+100</f>
        <v>100</v>
      </c>
      <c r="I15" s="263"/>
      <c r="J15" s="3725">
        <f>SUMIF(77:77,I16,78:78)-SUMIF(77:77,C16,78:78)+100</f>
        <v>100</v>
      </c>
      <c r="K15" s="396"/>
      <c r="L15" s="1979"/>
      <c r="M15" s="1974"/>
      <c r="N15" s="1974"/>
      <c r="O15" s="1974"/>
      <c r="P15" s="4603" t="s">
        <v>1598</v>
      </c>
      <c r="Q15" s="1507" t="str">
        <f t="shared" si="6"/>
        <v>办公集聚程度</v>
      </c>
      <c r="R15" s="3711" t="s">
        <v>13</v>
      </c>
      <c r="S15" s="3139">
        <f t="shared" si="0"/>
        <v>100</v>
      </c>
      <c r="T15" s="3711" t="s">
        <v>13</v>
      </c>
      <c r="U15" s="3139">
        <f t="shared" si="1"/>
        <v>100</v>
      </c>
      <c r="V15" s="3711" t="s">
        <v>13</v>
      </c>
      <c r="W15" s="3139">
        <f t="shared" si="2"/>
        <v>100</v>
      </c>
      <c r="X15" s="909"/>
      <c r="Y15" s="4596" t="s">
        <v>1598</v>
      </c>
      <c r="Z15" s="907" t="str">
        <f t="shared" si="7"/>
        <v>办公集聚程度</v>
      </c>
      <c r="AA15" s="907">
        <f t="shared" si="3"/>
        <v>1</v>
      </c>
      <c r="AB15" s="907">
        <f t="shared" si="4"/>
        <v>1</v>
      </c>
      <c r="AC15" s="1416">
        <f t="shared" si="5"/>
        <v>1</v>
      </c>
    </row>
    <row r="16" spans="1:29" ht="15">
      <c r="A16" s="254"/>
      <c r="B16" s="404"/>
      <c r="C16" s="1368"/>
      <c r="D16" s="2887"/>
      <c r="E16" s="266"/>
      <c r="F16" s="267"/>
      <c r="G16" s="1368"/>
      <c r="H16" s="268"/>
      <c r="I16" s="266"/>
      <c r="J16" s="267"/>
      <c r="K16" s="397"/>
      <c r="L16" s="1979"/>
      <c r="M16" s="1974"/>
      <c r="N16" s="1974"/>
      <c r="O16" s="1974"/>
      <c r="P16" s="4604"/>
      <c r="Q16" s="1507"/>
      <c r="R16" s="3711"/>
      <c r="S16" s="3139"/>
      <c r="T16" s="3711"/>
      <c r="U16" s="3139"/>
      <c r="V16" s="3711"/>
      <c r="W16" s="3139"/>
      <c r="X16" s="909"/>
      <c r="Y16" s="4597"/>
      <c r="Z16" s="907"/>
      <c r="AA16" s="907">
        <v>1</v>
      </c>
      <c r="AB16" s="907">
        <v>1</v>
      </c>
      <c r="AC16" s="1416">
        <v>1</v>
      </c>
    </row>
    <row r="17" spans="1:29" ht="142.5">
      <c r="A17" s="254"/>
      <c r="B17" s="405" t="s">
        <v>1237</v>
      </c>
      <c r="C17" s="1417" t="str">
        <f>估价对象房地状况!C6</f>
        <v>估价对象周边有多条城市主次干道通过，路网密集程度较好，道路通达程度较好。周边有952路、953路、F33路、F37路、F85路等多条公交线路，综合评价交通便捷度较好。</v>
      </c>
      <c r="D17" s="2888">
        <v>100</v>
      </c>
      <c r="E17" s="271"/>
      <c r="F17" s="268">
        <f>SUMIF(79:79,E18,80:80)-SUMIF(79:79,C18,80:80)+100</f>
        <v>100</v>
      </c>
      <c r="G17" s="270"/>
      <c r="H17" s="3726">
        <f>SUMIF(79:79,G18,80:80)-SUMIF(79:79,C18,80:80)+100</f>
        <v>100</v>
      </c>
      <c r="I17" s="270"/>
      <c r="J17" s="3726">
        <f>SUMIF(79:79,I18,80:80)-SUMIF(79:79,C18,80:80)+100</f>
        <v>100</v>
      </c>
      <c r="K17" s="396"/>
      <c r="L17" s="1979"/>
      <c r="M17" s="1974"/>
      <c r="N17" s="1974"/>
      <c r="O17" s="1974"/>
      <c r="P17" s="4604"/>
      <c r="Q17" s="1507" t="str">
        <f>B17</f>
        <v>交通便捷度</v>
      </c>
      <c r="R17" s="3711" t="s">
        <v>13</v>
      </c>
      <c r="S17" s="3139">
        <f>F17</f>
        <v>100</v>
      </c>
      <c r="T17" s="3711" t="s">
        <v>13</v>
      </c>
      <c r="U17" s="3139">
        <f>H17</f>
        <v>100</v>
      </c>
      <c r="V17" s="3711" t="s">
        <v>13</v>
      </c>
      <c r="W17" s="3139">
        <f>J17</f>
        <v>100</v>
      </c>
      <c r="X17" s="909"/>
      <c r="Y17" s="4597"/>
      <c r="Z17" s="907" t="str">
        <f>Q17</f>
        <v>交通便捷度</v>
      </c>
      <c r="AA17" s="907">
        <f t="shared" si="3"/>
        <v>1</v>
      </c>
      <c r="AB17" s="907">
        <f t="shared" si="4"/>
        <v>1</v>
      </c>
      <c r="AC17" s="1416">
        <f t="shared" si="5"/>
        <v>1</v>
      </c>
    </row>
    <row r="18" spans="1:29" ht="15">
      <c r="A18" s="254"/>
      <c r="B18" s="406"/>
      <c r="C18" s="1418"/>
      <c r="D18" s="2888"/>
      <c r="E18" s="1366"/>
      <c r="F18" s="268"/>
      <c r="G18" s="1367"/>
      <c r="H18" s="267"/>
      <c r="I18" s="1367"/>
      <c r="J18" s="267"/>
      <c r="K18" s="397"/>
      <c r="L18" s="1979"/>
      <c r="M18" s="1974"/>
      <c r="N18" s="1974"/>
      <c r="O18" s="1974"/>
      <c r="P18" s="4604"/>
      <c r="Q18" s="1507"/>
      <c r="R18" s="3711"/>
      <c r="S18" s="3139"/>
      <c r="T18" s="3711"/>
      <c r="U18" s="3139"/>
      <c r="V18" s="3711"/>
      <c r="W18" s="3139"/>
      <c r="X18" s="909"/>
      <c r="Y18" s="4597"/>
      <c r="Z18" s="907"/>
      <c r="AA18" s="907">
        <v>1</v>
      </c>
      <c r="AB18" s="907">
        <v>1</v>
      </c>
      <c r="AC18" s="1416">
        <v>1</v>
      </c>
    </row>
    <row r="19" spans="1:29" ht="228">
      <c r="A19" s="254"/>
      <c r="B19" s="405" t="s">
        <v>1719</v>
      </c>
      <c r="C19" s="1417" t="str">
        <f>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9" s="2889">
        <v>100</v>
      </c>
      <c r="E19" s="274"/>
      <c r="F19" s="3726">
        <f>SUMIF(81:81,E20,82:82)-SUMIF(81:81,C20,82:82)+100</f>
        <v>100</v>
      </c>
      <c r="G19" s="273"/>
      <c r="H19" s="268">
        <f>SUMIF(81:81,G20,82:82)-SUMIF(81:81,C20,82:82)+100</f>
        <v>100</v>
      </c>
      <c r="I19" s="273"/>
      <c r="J19" s="268">
        <f>SUMIF(81:81,I20,82:82)-SUMIF(81:81,C20,82:82)+100</f>
        <v>100</v>
      </c>
      <c r="K19" s="396"/>
      <c r="L19" s="1979"/>
      <c r="M19" s="1974"/>
      <c r="N19" s="1974"/>
      <c r="O19" s="1974"/>
      <c r="P19" s="4604"/>
      <c r="Q19" s="1507" t="str">
        <f>B19</f>
        <v>公共配套设施</v>
      </c>
      <c r="R19" s="3711" t="s">
        <v>13</v>
      </c>
      <c r="S19" s="3139">
        <f>F19</f>
        <v>100</v>
      </c>
      <c r="T19" s="3711" t="s">
        <v>13</v>
      </c>
      <c r="U19" s="3139">
        <f>H19</f>
        <v>100</v>
      </c>
      <c r="V19" s="3711" t="s">
        <v>13</v>
      </c>
      <c r="W19" s="3139">
        <f>J19</f>
        <v>100</v>
      </c>
      <c r="X19" s="909"/>
      <c r="Y19" s="4597"/>
      <c r="Z19" s="907" t="str">
        <f>Q19</f>
        <v>公共配套设施</v>
      </c>
      <c r="AA19" s="907">
        <f t="shared" si="3"/>
        <v>1</v>
      </c>
      <c r="AB19" s="907">
        <f t="shared" si="4"/>
        <v>1</v>
      </c>
      <c r="AC19" s="1416">
        <f t="shared" si="5"/>
        <v>1</v>
      </c>
    </row>
    <row r="20" spans="1:29" ht="15">
      <c r="A20" s="254"/>
      <c r="B20" s="406"/>
      <c r="C20" s="1368"/>
      <c r="D20" s="2887"/>
      <c r="E20" s="1362"/>
      <c r="F20" s="267"/>
      <c r="G20" s="1363"/>
      <c r="H20" s="267"/>
      <c r="I20" s="1363"/>
      <c r="J20" s="267"/>
      <c r="K20" s="397"/>
      <c r="L20" s="1979"/>
      <c r="M20" s="1974"/>
      <c r="N20" s="1974"/>
      <c r="O20" s="1974"/>
      <c r="P20" s="4604"/>
      <c r="Q20" s="1507"/>
      <c r="R20" s="3711"/>
      <c r="S20" s="3139"/>
      <c r="T20" s="3711"/>
      <c r="U20" s="3139"/>
      <c r="V20" s="3711"/>
      <c r="W20" s="3139"/>
      <c r="X20" s="909"/>
      <c r="Y20" s="4597"/>
      <c r="Z20" s="907"/>
      <c r="AA20" s="907">
        <v>1</v>
      </c>
      <c r="AB20" s="907">
        <v>1</v>
      </c>
      <c r="AC20" s="1416">
        <v>1</v>
      </c>
    </row>
    <row r="21" spans="1:29" ht="15">
      <c r="A21" s="254"/>
      <c r="B21" s="407" t="s">
        <v>1720</v>
      </c>
      <c r="C21" s="1417" t="str">
        <f>估价对象房地状况!C8</f>
        <v>七通</v>
      </c>
      <c r="D21" s="2888">
        <v>100</v>
      </c>
      <c r="E21" s="274"/>
      <c r="F21" s="3726">
        <f>SUMIF(83:83,E22,84:84)-SUMIF(83:83,C22,84:84)+100</f>
        <v>100</v>
      </c>
      <c r="G21" s="273"/>
      <c r="H21" s="268">
        <f>SUMIF(83:83,G22,84:84)-SUMIF(83:83,C22,84:84)+100</f>
        <v>100</v>
      </c>
      <c r="I21" s="273"/>
      <c r="J21" s="268">
        <f>SUMIF(83:83,I22,84:84)-SUMIF(83:83,C22,84:84)+100</f>
        <v>100</v>
      </c>
      <c r="K21" s="396"/>
      <c r="L21" s="1979"/>
      <c r="M21" s="1974"/>
      <c r="N21" s="1974"/>
      <c r="O21" s="1974"/>
      <c r="P21" s="4604"/>
      <c r="Q21" s="1507" t="str">
        <f>B21</f>
        <v>基础设施水平</v>
      </c>
      <c r="R21" s="3711" t="s">
        <v>13</v>
      </c>
      <c r="S21" s="3139">
        <f>F21</f>
        <v>100</v>
      </c>
      <c r="T21" s="3711" t="s">
        <v>13</v>
      </c>
      <c r="U21" s="3139">
        <f>H21</f>
        <v>100</v>
      </c>
      <c r="V21" s="3711" t="s">
        <v>13</v>
      </c>
      <c r="W21" s="3139">
        <f>J21</f>
        <v>100</v>
      </c>
      <c r="X21" s="909"/>
      <c r="Y21" s="4597"/>
      <c r="Z21" s="907" t="str">
        <f>Q21</f>
        <v>基础设施水平</v>
      </c>
      <c r="AA21" s="907">
        <f t="shared" ref="AA21" si="8">D21/F21</f>
        <v>1</v>
      </c>
      <c r="AB21" s="907">
        <f t="shared" ref="AB21" si="9">D21/H21</f>
        <v>1</v>
      </c>
      <c r="AC21" s="1416">
        <f t="shared" ref="AC21" si="10">D21/J21</f>
        <v>1</v>
      </c>
    </row>
    <row r="22" spans="1:29" ht="15">
      <c r="A22" s="254"/>
      <c r="B22" s="407"/>
      <c r="C22" s="1418"/>
      <c r="D22" s="2887"/>
      <c r="E22" s="266"/>
      <c r="F22" s="267"/>
      <c r="G22" s="1368"/>
      <c r="H22" s="267"/>
      <c r="I22" s="1368"/>
      <c r="J22" s="267"/>
      <c r="K22" s="758"/>
      <c r="L22" s="1979"/>
      <c r="M22" s="1974"/>
      <c r="N22" s="1974"/>
      <c r="O22" s="1974"/>
      <c r="P22" s="4604"/>
      <c r="Q22" s="1507"/>
      <c r="R22" s="3711"/>
      <c r="S22" s="3139"/>
      <c r="T22" s="3711"/>
      <c r="U22" s="3139"/>
      <c r="V22" s="3711"/>
      <c r="W22" s="3139"/>
      <c r="X22" s="909"/>
      <c r="Y22" s="4597"/>
      <c r="Z22" s="907"/>
      <c r="AA22" s="907">
        <v>1</v>
      </c>
      <c r="AB22" s="907">
        <v>1</v>
      </c>
      <c r="AC22" s="1416">
        <v>1</v>
      </c>
    </row>
    <row r="23" spans="1:29" ht="128.25">
      <c r="A23" s="254"/>
      <c r="B23" s="405" t="s">
        <v>1721</v>
      </c>
      <c r="C23" s="1417" t="str">
        <f>估价对象房地状况!C9</f>
        <v>估价对象周边有房山人民公园、北潞园健身公园等绿化景观，自然环境较好；有房山区良乡体育中心等人文场所，人文环境较好；综合评价环境状况较好。</v>
      </c>
      <c r="D23" s="2888">
        <v>100</v>
      </c>
      <c r="E23" s="271"/>
      <c r="F23" s="268">
        <f>SUMIF(85:85,E24,86:86)-SUMIF(85:85,C24,86:86)+100</f>
        <v>100</v>
      </c>
      <c r="G23" s="270"/>
      <c r="H23" s="268">
        <f>SUMIF(85:85,G24,86:86)-SUMIF(85:85,C24,86:86)+100</f>
        <v>100</v>
      </c>
      <c r="I23" s="270"/>
      <c r="J23" s="268">
        <f>SUMIF(85:85,I24,86:86)-SUMIF(85:85,C24,86:86)+100</f>
        <v>100</v>
      </c>
      <c r="K23" s="396"/>
      <c r="L23" s="1979"/>
      <c r="M23" s="1974"/>
      <c r="N23" s="1974"/>
      <c r="O23" s="1974"/>
      <c r="P23" s="4604"/>
      <c r="Q23" s="1507" t="str">
        <f>B23</f>
        <v>环境质量</v>
      </c>
      <c r="R23" s="3711" t="s">
        <v>13</v>
      </c>
      <c r="S23" s="3139">
        <f>F23</f>
        <v>100</v>
      </c>
      <c r="T23" s="3711" t="s">
        <v>13</v>
      </c>
      <c r="U23" s="3139">
        <f>H23</f>
        <v>100</v>
      </c>
      <c r="V23" s="3711" t="s">
        <v>13</v>
      </c>
      <c r="W23" s="3139">
        <f>J23</f>
        <v>100</v>
      </c>
      <c r="X23" s="909"/>
      <c r="Y23" s="4597"/>
      <c r="Z23" s="907" t="str">
        <f>Q23</f>
        <v>环境质量</v>
      </c>
      <c r="AA23" s="907">
        <f t="shared" si="3"/>
        <v>1</v>
      </c>
      <c r="AB23" s="907">
        <f t="shared" si="4"/>
        <v>1</v>
      </c>
      <c r="AC23" s="1416">
        <f t="shared" si="5"/>
        <v>1</v>
      </c>
    </row>
    <row r="24" spans="1:29" ht="15">
      <c r="A24" s="254"/>
      <c r="B24" s="407"/>
      <c r="C24" s="1368"/>
      <c r="D24" s="2887"/>
      <c r="E24" s="1362"/>
      <c r="F24" s="267"/>
      <c r="G24" s="1363"/>
      <c r="H24" s="267"/>
      <c r="I24" s="1363"/>
      <c r="J24" s="267"/>
      <c r="K24" s="397"/>
      <c r="L24" s="1979"/>
      <c r="M24" s="1974"/>
      <c r="N24" s="1974"/>
      <c r="O24" s="1974"/>
      <c r="P24" s="4604"/>
      <c r="Q24" s="1507"/>
      <c r="R24" s="3711"/>
      <c r="S24" s="3139"/>
      <c r="T24" s="3711"/>
      <c r="U24" s="3139"/>
      <c r="V24" s="3711"/>
      <c r="W24" s="3139"/>
      <c r="X24" s="909"/>
      <c r="Y24" s="4597"/>
      <c r="Z24" s="907"/>
      <c r="AA24" s="907">
        <v>1</v>
      </c>
      <c r="AB24" s="907">
        <v>1</v>
      </c>
      <c r="AC24" s="1416">
        <v>1</v>
      </c>
    </row>
    <row r="25" spans="1:29" ht="27">
      <c r="A25" s="238"/>
      <c r="B25" s="405" t="s">
        <v>1722</v>
      </c>
      <c r="C25" s="1370"/>
      <c r="D25" s="2884">
        <v>100</v>
      </c>
      <c r="E25" s="259"/>
      <c r="F25" s="3727">
        <f>SUMIF(87:87,E26,88:88)-SUMIF(87:87,C26,88:88)+100</f>
        <v>100</v>
      </c>
      <c r="G25" s="1370"/>
      <c r="H25" s="3727">
        <f>SUMIF(87:87,G26,88:88)-SUMIF(87:87,C26,88:88)+100</f>
        <v>100</v>
      </c>
      <c r="I25" s="259"/>
      <c r="J25" s="3727">
        <f>SUMIF(87:87,I26,88:88)-SUMIF(87:87,C26,88:88)+100</f>
        <v>100</v>
      </c>
      <c r="K25" s="396"/>
      <c r="L25" s="1979"/>
      <c r="M25" s="1974"/>
      <c r="N25" s="1974"/>
      <c r="O25" s="1974"/>
      <c r="P25" s="4604"/>
      <c r="Q25" s="1507" t="str">
        <f>B25</f>
        <v>毗邻道路的类型与等级</v>
      </c>
      <c r="R25" s="3711" t="s">
        <v>13</v>
      </c>
      <c r="S25" s="3139">
        <f>F25</f>
        <v>100</v>
      </c>
      <c r="T25" s="3711" t="s">
        <v>13</v>
      </c>
      <c r="U25" s="3139">
        <f>H25</f>
        <v>100</v>
      </c>
      <c r="V25" s="3711" t="s">
        <v>13</v>
      </c>
      <c r="W25" s="3139">
        <f>J25</f>
        <v>100</v>
      </c>
      <c r="X25" s="909"/>
      <c r="Y25" s="4597"/>
      <c r="Z25" s="907" t="str">
        <f>Q25</f>
        <v>毗邻道路的类型与等级</v>
      </c>
      <c r="AA25" s="907">
        <f t="shared" si="3"/>
        <v>1</v>
      </c>
      <c r="AB25" s="907">
        <f t="shared" si="4"/>
        <v>1</v>
      </c>
      <c r="AC25" s="1416">
        <f t="shared" si="5"/>
        <v>1</v>
      </c>
    </row>
    <row r="26" spans="1:29" ht="15">
      <c r="A26" s="238"/>
      <c r="B26" s="406"/>
      <c r="C26" s="408"/>
      <c r="D26" s="2884"/>
      <c r="E26" s="398"/>
      <c r="F26" s="3727"/>
      <c r="G26" s="408"/>
      <c r="H26" s="3727"/>
      <c r="I26" s="398"/>
      <c r="J26" s="3727"/>
      <c r="K26" s="397"/>
      <c r="L26" s="1979"/>
      <c r="M26" s="1974"/>
      <c r="N26" s="1974"/>
      <c r="O26" s="1974"/>
      <c r="P26" s="4604"/>
      <c r="Q26" s="1507"/>
      <c r="R26" s="3711"/>
      <c r="S26" s="3139"/>
      <c r="T26" s="3711"/>
      <c r="U26" s="3139"/>
      <c r="V26" s="3711"/>
      <c r="W26" s="3139"/>
      <c r="X26" s="909"/>
      <c r="Y26" s="4597"/>
      <c r="Z26" s="907"/>
      <c r="AA26" s="907">
        <v>1</v>
      </c>
      <c r="AB26" s="907">
        <v>1</v>
      </c>
      <c r="AC26" s="1416">
        <v>1</v>
      </c>
    </row>
    <row r="27" spans="1:29" ht="15">
      <c r="A27" s="254"/>
      <c r="B27" s="406" t="s">
        <v>1690</v>
      </c>
      <c r="C27" s="408"/>
      <c r="D27" s="2884">
        <v>100</v>
      </c>
      <c r="E27" s="398"/>
      <c r="F27" s="3727">
        <f>SUMIF(89:89,E27,90:90)-SUMIF(89:89,C27,90:90)+100</f>
        <v>100</v>
      </c>
      <c r="G27" s="408"/>
      <c r="H27" s="3727">
        <f>SUMIF(89:89,G27,90:90)-SUMIF(89:89,C27,90:90)+100</f>
        <v>100</v>
      </c>
      <c r="I27" s="398"/>
      <c r="J27" s="3727">
        <f>SUMIF(89:89,I27,90:90)-SUMIF(89:89,C27,90:90)+100</f>
        <v>100</v>
      </c>
      <c r="K27" s="394"/>
      <c r="L27" s="1979"/>
      <c r="M27" s="1974"/>
      <c r="N27" s="1974"/>
      <c r="O27" s="1974"/>
      <c r="P27" s="4604"/>
      <c r="Q27" s="1507" t="str">
        <f t="shared" ref="Q27:Q47" si="11">B27</f>
        <v>楼层</v>
      </c>
      <c r="R27" s="3711" t="s">
        <v>13</v>
      </c>
      <c r="S27" s="3139">
        <f>F27</f>
        <v>100</v>
      </c>
      <c r="T27" s="3711" t="s">
        <v>13</v>
      </c>
      <c r="U27" s="3139">
        <f>H27</f>
        <v>100</v>
      </c>
      <c r="V27" s="3711" t="s">
        <v>13</v>
      </c>
      <c r="W27" s="3139">
        <f>J27</f>
        <v>100</v>
      </c>
      <c r="X27" s="909"/>
      <c r="Y27" s="4597"/>
      <c r="Z27" s="907" t="str">
        <f>Q27</f>
        <v>楼层</v>
      </c>
      <c r="AA27" s="907">
        <f t="shared" si="3"/>
        <v>1</v>
      </c>
      <c r="AB27" s="907">
        <f t="shared" si="4"/>
        <v>1</v>
      </c>
      <c r="AC27" s="1416">
        <f t="shared" si="5"/>
        <v>1</v>
      </c>
    </row>
    <row r="28" spans="1:29" s="46" customFormat="1" ht="15">
      <c r="A28" s="257"/>
      <c r="B28" s="405" t="s">
        <v>1723</v>
      </c>
      <c r="C28" s="1419"/>
      <c r="D28" s="2890">
        <v>100</v>
      </c>
      <c r="E28" s="1411"/>
      <c r="F28" s="406">
        <f>SUMIF(91:91,E28,92:92)-SUMIF(91:91,C28,92:92)+100</f>
        <v>100</v>
      </c>
      <c r="G28" s="1419"/>
      <c r="H28" s="406">
        <f>SUMIF(91:91,G28,92:92)-SUMIF(91:91,C28,92:92)+100</f>
        <v>100</v>
      </c>
      <c r="I28" s="1411"/>
      <c r="J28" s="406">
        <f>SUMIF(91:91,I28,92:92)-SUMIF(91:91,C28,92:92)+100</f>
        <v>100</v>
      </c>
      <c r="K28" s="394"/>
      <c r="L28" s="1975"/>
      <c r="M28" s="1928"/>
      <c r="N28" s="1928"/>
      <c r="O28" s="1928"/>
      <c r="P28" s="4604"/>
      <c r="Q28" s="1698" t="str">
        <f t="shared" si="11"/>
        <v>朝向</v>
      </c>
      <c r="R28" s="3609" t="s">
        <v>13</v>
      </c>
      <c r="S28" s="3138">
        <f>F28</f>
        <v>100</v>
      </c>
      <c r="T28" s="3609" t="s">
        <v>13</v>
      </c>
      <c r="U28" s="3138">
        <f>H28</f>
        <v>100</v>
      </c>
      <c r="V28" s="3609" t="s">
        <v>13</v>
      </c>
      <c r="W28" s="3138">
        <f>J28</f>
        <v>100</v>
      </c>
      <c r="X28" s="482"/>
      <c r="Y28" s="4597"/>
      <c r="Z28" s="28" t="str">
        <f>Q28</f>
        <v>朝向</v>
      </c>
      <c r="AA28" s="907">
        <f>D28/F28</f>
        <v>1</v>
      </c>
      <c r="AB28" s="907">
        <f>D28/H28</f>
        <v>1</v>
      </c>
      <c r="AC28" s="1416">
        <f>D28/J28</f>
        <v>1</v>
      </c>
    </row>
    <row r="29" spans="1:29" ht="15">
      <c r="A29" s="254"/>
      <c r="B29" s="777">
        <v>111</v>
      </c>
      <c r="C29" s="1370"/>
      <c r="D29" s="2884">
        <v>100</v>
      </c>
      <c r="E29" s="258"/>
      <c r="F29" s="3727">
        <f>SUMIF(93:93,E29,94:94)-SUMIF(93:93,C29,94:94)+100</f>
        <v>100</v>
      </c>
      <c r="G29" s="1414"/>
      <c r="H29" s="3727">
        <f>SUMIF(93:93,G29,94:94)-SUMIF(93:93,C29,94:94)+100</f>
        <v>100</v>
      </c>
      <c r="I29" s="258"/>
      <c r="J29" s="3727">
        <f>SUMIF(93:93,I29,94:94)-SUMIF(93:93,C29,94:94)+100</f>
        <v>100</v>
      </c>
      <c r="K29" s="395"/>
      <c r="L29" s="1979"/>
      <c r="M29" s="1974"/>
      <c r="N29" s="1974"/>
      <c r="O29" s="1974"/>
      <c r="P29" s="4604"/>
      <c r="Q29" s="1507">
        <f t="shared" si="11"/>
        <v>111</v>
      </c>
      <c r="R29" s="3711" t="s">
        <v>13</v>
      </c>
      <c r="S29" s="3139">
        <f t="shared" ref="S29:S47" si="12">F29</f>
        <v>100</v>
      </c>
      <c r="T29" s="3711" t="s">
        <v>13</v>
      </c>
      <c r="U29" s="3139">
        <f t="shared" ref="U29:U47" si="13">H29</f>
        <v>100</v>
      </c>
      <c r="V29" s="3711" t="s">
        <v>13</v>
      </c>
      <c r="W29" s="3139">
        <f t="shared" ref="W29:W47" si="14">J29</f>
        <v>100</v>
      </c>
      <c r="X29" s="909"/>
      <c r="Y29" s="4597"/>
      <c r="Z29" s="907">
        <f t="shared" ref="Z29:Z47" si="15">Q29</f>
        <v>111</v>
      </c>
      <c r="AA29" s="907">
        <f t="shared" si="3"/>
        <v>1</v>
      </c>
      <c r="AB29" s="907">
        <f t="shared" si="4"/>
        <v>1</v>
      </c>
      <c r="AC29" s="1416">
        <f t="shared" si="5"/>
        <v>1</v>
      </c>
    </row>
    <row r="30" spans="1:29" ht="15">
      <c r="A30" s="254"/>
      <c r="B30" s="777">
        <v>111</v>
      </c>
      <c r="C30" s="1370"/>
      <c r="D30" s="2884">
        <v>100</v>
      </c>
      <c r="E30" s="258"/>
      <c r="F30" s="3727">
        <f>SUMIF(95:95,E30,96:96)-SUMIF(95:95,C30,96:96)+100</f>
        <v>100</v>
      </c>
      <c r="G30" s="1414"/>
      <c r="H30" s="3727">
        <f>SUMIF(95:95,G30,96:96)-SUMIF(95:95,C30,96:96)+100</f>
        <v>100</v>
      </c>
      <c r="I30" s="258"/>
      <c r="J30" s="3727">
        <f>SUMIF(95:95,I30,96:96)-SUMIF(95:95,C30,96:96)+100</f>
        <v>100</v>
      </c>
      <c r="K30" s="395"/>
      <c r="L30" s="1979"/>
      <c r="M30" s="1974"/>
      <c r="N30" s="1974"/>
      <c r="O30" s="1974"/>
      <c r="P30" s="4604"/>
      <c r="Q30" s="1507">
        <f t="shared" si="11"/>
        <v>111</v>
      </c>
      <c r="R30" s="3711" t="s">
        <v>13</v>
      </c>
      <c r="S30" s="3139">
        <f t="shared" si="12"/>
        <v>100</v>
      </c>
      <c r="T30" s="3711" t="s">
        <v>13</v>
      </c>
      <c r="U30" s="3139">
        <f t="shared" si="13"/>
        <v>100</v>
      </c>
      <c r="V30" s="3711" t="s">
        <v>13</v>
      </c>
      <c r="W30" s="3139">
        <f t="shared" si="14"/>
        <v>100</v>
      </c>
      <c r="X30" s="909"/>
      <c r="Y30" s="4597"/>
      <c r="Z30" s="907">
        <f t="shared" si="15"/>
        <v>111</v>
      </c>
      <c r="AA30" s="907">
        <f t="shared" si="3"/>
        <v>1</v>
      </c>
      <c r="AB30" s="907">
        <f t="shared" si="4"/>
        <v>1</v>
      </c>
      <c r="AC30" s="1416">
        <f t="shared" si="5"/>
        <v>1</v>
      </c>
    </row>
    <row r="31" spans="1:29" ht="15">
      <c r="A31" s="254"/>
      <c r="B31" s="777">
        <v>111</v>
      </c>
      <c r="C31" s="1370"/>
      <c r="D31" s="2884">
        <v>100</v>
      </c>
      <c r="E31" s="258"/>
      <c r="F31" s="3727">
        <f>SUMIF(97:97,E31,98:98)-SUMIF(97:97,C31,98:98)+100</f>
        <v>100</v>
      </c>
      <c r="G31" s="1414"/>
      <c r="H31" s="3727">
        <f>SUMIF(97:97,G31,98:98)-SUMIF(97:97,C31,98:98)+100</f>
        <v>100</v>
      </c>
      <c r="I31" s="258"/>
      <c r="J31" s="3727">
        <f>SUMIF(97:97,I31,98:98)-SUMIF(97:97,C31,98:98)+100</f>
        <v>100</v>
      </c>
      <c r="K31" s="395"/>
      <c r="L31" s="1979"/>
      <c r="M31" s="1974"/>
      <c r="N31" s="1974"/>
      <c r="O31" s="1974"/>
      <c r="P31" s="4604"/>
      <c r="Q31" s="1507">
        <f t="shared" si="11"/>
        <v>111</v>
      </c>
      <c r="R31" s="3711" t="s">
        <v>13</v>
      </c>
      <c r="S31" s="3139">
        <f t="shared" si="12"/>
        <v>100</v>
      </c>
      <c r="T31" s="3711" t="s">
        <v>13</v>
      </c>
      <c r="U31" s="3139">
        <f t="shared" si="13"/>
        <v>100</v>
      </c>
      <c r="V31" s="3711" t="s">
        <v>13</v>
      </c>
      <c r="W31" s="3139">
        <f t="shared" si="14"/>
        <v>100</v>
      </c>
      <c r="X31" s="909"/>
      <c r="Y31" s="4597"/>
      <c r="Z31" s="907">
        <f t="shared" si="15"/>
        <v>111</v>
      </c>
      <c r="AA31" s="907">
        <f t="shared" si="3"/>
        <v>1</v>
      </c>
      <c r="AB31" s="907">
        <f t="shared" si="4"/>
        <v>1</v>
      </c>
      <c r="AC31" s="1416">
        <f t="shared" si="5"/>
        <v>1</v>
      </c>
    </row>
    <row r="32" spans="1:29" ht="15.75" thickBot="1">
      <c r="A32" s="260"/>
      <c r="B32" s="409">
        <v>111</v>
      </c>
      <c r="C32" s="1371"/>
      <c r="D32" s="2885">
        <v>100</v>
      </c>
      <c r="E32" s="402"/>
      <c r="F32" s="3724">
        <f>SUMIF(99:99,E32,100:100)-SUMIF(99:99,C32,100:100)+100</f>
        <v>100</v>
      </c>
      <c r="G32" s="1414"/>
      <c r="H32" s="3724">
        <f>SUMIF(99:99,G32,100:100)-SUMIF(99:99,C32,100:100)+100</f>
        <v>100</v>
      </c>
      <c r="I32" s="258"/>
      <c r="J32" s="3724">
        <f>SUMIF(99:99,I32,100:100)-SUMIF(99:99,C32,100:100)+100</f>
        <v>100</v>
      </c>
      <c r="K32" s="395"/>
      <c r="L32" s="1979"/>
      <c r="M32" s="1974"/>
      <c r="N32" s="1974"/>
      <c r="O32" s="1974"/>
      <c r="P32" s="4604"/>
      <c r="Q32" s="1507">
        <f t="shared" si="11"/>
        <v>111</v>
      </c>
      <c r="R32" s="3711" t="s">
        <v>13</v>
      </c>
      <c r="S32" s="3139">
        <f t="shared" si="12"/>
        <v>100</v>
      </c>
      <c r="T32" s="3711" t="s">
        <v>13</v>
      </c>
      <c r="U32" s="3139">
        <f t="shared" si="13"/>
        <v>100</v>
      </c>
      <c r="V32" s="3711" t="s">
        <v>13</v>
      </c>
      <c r="W32" s="3139">
        <f t="shared" si="14"/>
        <v>100</v>
      </c>
      <c r="X32" s="909"/>
      <c r="Y32" s="4597"/>
      <c r="Z32" s="907">
        <f t="shared" si="15"/>
        <v>111</v>
      </c>
      <c r="AA32" s="907">
        <f t="shared" si="3"/>
        <v>1</v>
      </c>
      <c r="AB32" s="907">
        <f t="shared" si="4"/>
        <v>1</v>
      </c>
      <c r="AC32" s="1416">
        <f t="shared" si="5"/>
        <v>1</v>
      </c>
    </row>
    <row r="33" spans="1:29" ht="15">
      <c r="A33" s="262" t="s">
        <v>1601</v>
      </c>
      <c r="B33" s="34" t="s">
        <v>1724</v>
      </c>
      <c r="C33" s="1420"/>
      <c r="D33" s="2891">
        <v>100</v>
      </c>
      <c r="E33" s="1420"/>
      <c r="F33" s="908">
        <f>SUMIF(101:101,E33,102:102)-SUMIF(101:101,C33,102:102)+100</f>
        <v>100</v>
      </c>
      <c r="G33" s="1420"/>
      <c r="H33" s="3727">
        <f>SUMIF(101:101,G33,102:102)-SUMIF(101:101,C33,102:102)+100</f>
        <v>100</v>
      </c>
      <c r="I33" s="1420"/>
      <c r="J33" s="3730">
        <f>SUMIF(101:101,I33,102:102)-SUMIF(101:101,C33,102:102)+100</f>
        <v>100</v>
      </c>
      <c r="K33" s="394"/>
      <c r="L33" s="1979"/>
      <c r="M33" s="1974"/>
      <c r="N33" s="1974"/>
      <c r="O33" s="1974"/>
      <c r="P33" s="4598" t="s">
        <v>1603</v>
      </c>
      <c r="Q33" s="1507" t="str">
        <f t="shared" si="11"/>
        <v>建筑类型</v>
      </c>
      <c r="R33" s="3711" t="s">
        <v>13</v>
      </c>
      <c r="S33" s="3139">
        <f t="shared" si="12"/>
        <v>100</v>
      </c>
      <c r="T33" s="3711" t="s">
        <v>13</v>
      </c>
      <c r="U33" s="3139">
        <f t="shared" si="13"/>
        <v>100</v>
      </c>
      <c r="V33" s="3711" t="s">
        <v>13</v>
      </c>
      <c r="W33" s="3139">
        <f t="shared" si="14"/>
        <v>100</v>
      </c>
      <c r="X33" s="909"/>
      <c r="Y33" s="4601" t="s">
        <v>1603</v>
      </c>
      <c r="Z33" s="907" t="str">
        <f t="shared" si="15"/>
        <v>建筑类型</v>
      </c>
      <c r="AA33" s="907">
        <f t="shared" si="3"/>
        <v>1</v>
      </c>
      <c r="AB33" s="907">
        <f t="shared" si="4"/>
        <v>1</v>
      </c>
      <c r="AC33" s="1416">
        <f t="shared" si="5"/>
        <v>1</v>
      </c>
    </row>
    <row r="34" spans="1:29" s="279" customFormat="1" ht="15">
      <c r="A34" s="277"/>
      <c r="B34" s="252" t="s">
        <v>1604</v>
      </c>
      <c r="C34" s="278"/>
      <c r="D34" s="2882">
        <v>100</v>
      </c>
      <c r="E34" s="256"/>
      <c r="F34" s="252" t="e">
        <f>LOOKUP(E34,104:104,105:105)-LOOKUP(C34,104:104,105:105)+100</f>
        <v>#N/A</v>
      </c>
      <c r="G34" s="255"/>
      <c r="H34" s="422" t="e">
        <f>LOOKUP(G34,104:104,105:105)-LOOKUP(C34,104:104,105:105)+100</f>
        <v>#N/A</v>
      </c>
      <c r="I34" s="255"/>
      <c r="J34" s="422" t="e">
        <f>LOOKUP(I34,104:104,105:105)-LOOKUP(C34,104:104,105:105)+100</f>
        <v>#N/A</v>
      </c>
      <c r="K34" s="395"/>
      <c r="L34" s="1978"/>
      <c r="M34" s="1980"/>
      <c r="N34" s="1980"/>
      <c r="O34" s="1980"/>
      <c r="P34" s="4599"/>
      <c r="Q34" s="2846" t="str">
        <f t="shared" si="11"/>
        <v>项目建筑规模</v>
      </c>
      <c r="R34" s="3712" t="s">
        <v>13</v>
      </c>
      <c r="S34" s="3140" t="e">
        <f t="shared" si="12"/>
        <v>#N/A</v>
      </c>
      <c r="T34" s="3712" t="s">
        <v>13</v>
      </c>
      <c r="U34" s="3140" t="e">
        <f t="shared" si="13"/>
        <v>#N/A</v>
      </c>
      <c r="V34" s="3712" t="s">
        <v>13</v>
      </c>
      <c r="W34" s="3140" t="e">
        <f t="shared" si="14"/>
        <v>#N/A</v>
      </c>
      <c r="X34" s="484"/>
      <c r="Y34" s="4601"/>
      <c r="Z34" s="485" t="str">
        <f t="shared" si="15"/>
        <v>项目建筑规模</v>
      </c>
      <c r="AA34" s="907" t="e">
        <f t="shared" si="3"/>
        <v>#N/A</v>
      </c>
      <c r="AB34" s="907" t="e">
        <f t="shared" si="4"/>
        <v>#N/A</v>
      </c>
      <c r="AC34" s="1416" t="e">
        <f t="shared" si="5"/>
        <v>#N/A</v>
      </c>
    </row>
    <row r="35" spans="1:29" ht="15">
      <c r="A35" s="280"/>
      <c r="B35" s="252" t="s">
        <v>1605</v>
      </c>
      <c r="C35" s="275"/>
      <c r="D35" s="2884">
        <v>100</v>
      </c>
      <c r="E35" s="275"/>
      <c r="F35" s="908">
        <f>SUMIF(106:106,E35,107:107)-SUMIF(106:106,C35,107:107)+100</f>
        <v>100</v>
      </c>
      <c r="G35" s="275"/>
      <c r="H35" s="3727">
        <f>SUMIF(106:106,G35,107:107)-SUMIF(106:106,C35,107:107)+100</f>
        <v>100</v>
      </c>
      <c r="I35" s="275"/>
      <c r="J35" s="3727">
        <f>SUMIF(106:106,I35,107:107)-SUMIF(106:106,C35,107:107)+100</f>
        <v>100</v>
      </c>
      <c r="K35" s="394"/>
      <c r="L35" s="1979"/>
      <c r="M35" s="1974"/>
      <c r="N35" s="1974"/>
      <c r="O35" s="1974"/>
      <c r="P35" s="4599"/>
      <c r="Q35" s="1507" t="str">
        <f t="shared" si="11"/>
        <v>建筑结构</v>
      </c>
      <c r="R35" s="3711" t="s">
        <v>13</v>
      </c>
      <c r="S35" s="3139">
        <f t="shared" si="12"/>
        <v>100</v>
      </c>
      <c r="T35" s="3711" t="s">
        <v>13</v>
      </c>
      <c r="U35" s="3139">
        <f t="shared" si="13"/>
        <v>100</v>
      </c>
      <c r="V35" s="3711" t="s">
        <v>13</v>
      </c>
      <c r="W35" s="3139">
        <f t="shared" si="14"/>
        <v>100</v>
      </c>
      <c r="X35" s="909"/>
      <c r="Y35" s="4601"/>
      <c r="Z35" s="907" t="str">
        <f t="shared" si="15"/>
        <v>建筑结构</v>
      </c>
      <c r="AA35" s="907">
        <f t="shared" si="3"/>
        <v>1</v>
      </c>
      <c r="AB35" s="907">
        <f t="shared" si="4"/>
        <v>1</v>
      </c>
      <c r="AC35" s="1416">
        <f t="shared" si="5"/>
        <v>1</v>
      </c>
    </row>
    <row r="36" spans="1:29" ht="15">
      <c r="A36" s="280"/>
      <c r="B36" s="252" t="s">
        <v>1692</v>
      </c>
      <c r="C36" s="275"/>
      <c r="D36" s="2884">
        <v>100</v>
      </c>
      <c r="E36" s="275"/>
      <c r="F36" s="908">
        <f>SUMIF(108:108,E36,109:109)-SUMIF(108:108,C36,109:109)+100</f>
        <v>100</v>
      </c>
      <c r="G36" s="275"/>
      <c r="H36" s="3727">
        <f>SUMIF(108:108,G36,109:109)-SUMIF(108:108,C36,109:109)+100</f>
        <v>100</v>
      </c>
      <c r="I36" s="275"/>
      <c r="J36" s="3727">
        <f>SUMIF(108:108,I36,109:109)-SUMIF(108:108,C36,109:109)+100</f>
        <v>100</v>
      </c>
      <c r="K36" s="394"/>
      <c r="L36" s="1979"/>
      <c r="M36" s="1974"/>
      <c r="N36" s="1974"/>
      <c r="O36" s="1974"/>
      <c r="P36" s="4599"/>
      <c r="Q36" s="1507" t="str">
        <f t="shared" si="11"/>
        <v>公共部分装修</v>
      </c>
      <c r="R36" s="3711" t="s">
        <v>13</v>
      </c>
      <c r="S36" s="3139">
        <f t="shared" si="12"/>
        <v>100</v>
      </c>
      <c r="T36" s="3711" t="s">
        <v>13</v>
      </c>
      <c r="U36" s="3139">
        <f t="shared" si="13"/>
        <v>100</v>
      </c>
      <c r="V36" s="3711" t="s">
        <v>13</v>
      </c>
      <c r="W36" s="3139">
        <f t="shared" si="14"/>
        <v>100</v>
      </c>
      <c r="X36" s="909"/>
      <c r="Y36" s="4601"/>
      <c r="Z36" s="907" t="str">
        <f t="shared" si="15"/>
        <v>公共部分装修</v>
      </c>
      <c r="AA36" s="907">
        <f t="shared" si="3"/>
        <v>1</v>
      </c>
      <c r="AB36" s="907">
        <f t="shared" si="4"/>
        <v>1</v>
      </c>
      <c r="AC36" s="1416">
        <f t="shared" si="5"/>
        <v>1</v>
      </c>
    </row>
    <row r="37" spans="1:29" ht="15">
      <c r="A37" s="280"/>
      <c r="B37" s="252" t="s">
        <v>1693</v>
      </c>
      <c r="C37" s="282"/>
      <c r="D37" s="2884">
        <v>100</v>
      </c>
      <c r="E37" s="282"/>
      <c r="F37" s="908" t="e">
        <f>LOOKUP(E37,111:111,112:112)-LOOKUP(C37,111:111,112:112)+100</f>
        <v>#N/A</v>
      </c>
      <c r="G37" s="282"/>
      <c r="H37" s="908" t="e">
        <f>LOOKUP(G37,111:111,112:112)-LOOKUP(C37,111:111,112:112)+100</f>
        <v>#N/A</v>
      </c>
      <c r="I37" s="282"/>
      <c r="J37" s="3727" t="e">
        <f>LOOKUP(I37,111:111,112:112)-LOOKUP(C37,111:111,112:112)+100</f>
        <v>#N/A</v>
      </c>
      <c r="K37" s="394"/>
      <c r="L37" s="1979"/>
      <c r="M37" s="1974"/>
      <c r="N37" s="1974"/>
      <c r="O37" s="1974"/>
      <c r="P37" s="4599"/>
      <c r="Q37" s="1507" t="str">
        <f t="shared" si="11"/>
        <v>成新度</v>
      </c>
      <c r="R37" s="3711" t="s">
        <v>13</v>
      </c>
      <c r="S37" s="3139" t="e">
        <f t="shared" si="12"/>
        <v>#N/A</v>
      </c>
      <c r="T37" s="3711" t="s">
        <v>13</v>
      </c>
      <c r="U37" s="3139" t="e">
        <f t="shared" si="13"/>
        <v>#N/A</v>
      </c>
      <c r="V37" s="3711" t="s">
        <v>13</v>
      </c>
      <c r="W37" s="3139" t="e">
        <f t="shared" si="14"/>
        <v>#N/A</v>
      </c>
      <c r="X37" s="909"/>
      <c r="Y37" s="4601"/>
      <c r="Z37" s="907" t="str">
        <f t="shared" si="15"/>
        <v>成新度</v>
      </c>
      <c r="AA37" s="907" t="e">
        <f t="shared" si="3"/>
        <v>#N/A</v>
      </c>
      <c r="AB37" s="907" t="e">
        <f t="shared" si="4"/>
        <v>#N/A</v>
      </c>
      <c r="AC37" s="1416" t="e">
        <f t="shared" si="5"/>
        <v>#N/A</v>
      </c>
    </row>
    <row r="38" spans="1:29" s="46" customFormat="1" ht="15">
      <c r="A38" s="281"/>
      <c r="B38" s="252" t="s">
        <v>1725</v>
      </c>
      <c r="C38" s="275"/>
      <c r="D38" s="2882">
        <v>100</v>
      </c>
      <c r="E38" s="275"/>
      <c r="F38" s="908">
        <f>SUMIF(113:113,E38,114:114)-SUMIF(113:113,C38,114:114)+100</f>
        <v>100</v>
      </c>
      <c r="G38" s="275"/>
      <c r="H38" s="3727">
        <f>SUMIF(113:113,G38,114:114)-SUMIF(113:113,C38,114:114)+100</f>
        <v>100</v>
      </c>
      <c r="I38" s="275"/>
      <c r="J38" s="3727">
        <f>SUMIF(113:113,I38,114:114)-SUMIF(113:113,C38,114:114)+100</f>
        <v>100</v>
      </c>
      <c r="K38" s="394"/>
      <c r="L38" s="1975"/>
      <c r="M38" s="1928"/>
      <c r="N38" s="1928"/>
      <c r="O38" s="1928"/>
      <c r="P38" s="4599"/>
      <c r="Q38" s="1698" t="str">
        <f t="shared" si="11"/>
        <v>写字楼等级</v>
      </c>
      <c r="R38" s="3609" t="s">
        <v>13</v>
      </c>
      <c r="S38" s="3138">
        <f t="shared" si="12"/>
        <v>100</v>
      </c>
      <c r="T38" s="3609" t="s">
        <v>13</v>
      </c>
      <c r="U38" s="3138">
        <f t="shared" si="13"/>
        <v>100</v>
      </c>
      <c r="V38" s="3609" t="s">
        <v>13</v>
      </c>
      <c r="W38" s="3138">
        <f t="shared" si="14"/>
        <v>100</v>
      </c>
      <c r="X38" s="482"/>
      <c r="Y38" s="4601"/>
      <c r="Z38" s="28" t="str">
        <f t="shared" si="15"/>
        <v>写字楼等级</v>
      </c>
      <c r="AA38" s="28">
        <f t="shared" si="3"/>
        <v>1</v>
      </c>
      <c r="AB38" s="28">
        <f t="shared" si="4"/>
        <v>1</v>
      </c>
      <c r="AC38" s="545">
        <f t="shared" si="5"/>
        <v>1</v>
      </c>
    </row>
    <row r="39" spans="1:29" ht="15">
      <c r="A39" s="280"/>
      <c r="B39" s="252" t="s">
        <v>1726</v>
      </c>
      <c r="C39" s="275"/>
      <c r="D39" s="2884">
        <v>100</v>
      </c>
      <c r="E39" s="275"/>
      <c r="F39" s="908">
        <f>SUMIF(115:115,E39,116:116)-SUMIF(115:115,C39,116:116)+100</f>
        <v>100</v>
      </c>
      <c r="G39" s="275"/>
      <c r="H39" s="3727">
        <f>SUMIF(115:115,G39,116:116)-SUMIF(115:115,C39,116:116)+100</f>
        <v>100</v>
      </c>
      <c r="I39" s="275"/>
      <c r="J39" s="3727">
        <f>SUMIF(115:115,I39,116:116)-SUMIF(115:115,C39,116:116)+100</f>
        <v>100</v>
      </c>
      <c r="K39" s="394"/>
      <c r="L39" s="1979"/>
      <c r="M39" s="1974"/>
      <c r="N39" s="1974"/>
      <c r="O39" s="1974"/>
      <c r="P39" s="4599" t="s">
        <v>1603</v>
      </c>
      <c r="Q39" s="1507" t="str">
        <f t="shared" si="11"/>
        <v>物业管理</v>
      </c>
      <c r="R39" s="3711" t="s">
        <v>13</v>
      </c>
      <c r="S39" s="3139">
        <f t="shared" si="12"/>
        <v>100</v>
      </c>
      <c r="T39" s="3711" t="s">
        <v>13</v>
      </c>
      <c r="U39" s="3139">
        <f t="shared" si="13"/>
        <v>100</v>
      </c>
      <c r="V39" s="3711" t="s">
        <v>13</v>
      </c>
      <c r="W39" s="3139">
        <f t="shared" si="14"/>
        <v>100</v>
      </c>
      <c r="X39" s="909"/>
      <c r="Y39" s="4601" t="s">
        <v>1603</v>
      </c>
      <c r="Z39" s="907" t="str">
        <f t="shared" si="15"/>
        <v>物业管理</v>
      </c>
      <c r="AA39" s="907">
        <f t="shared" si="3"/>
        <v>1</v>
      </c>
      <c r="AB39" s="907">
        <f t="shared" si="4"/>
        <v>1</v>
      </c>
      <c r="AC39" s="1416">
        <f t="shared" si="5"/>
        <v>1</v>
      </c>
    </row>
    <row r="40" spans="1:29" ht="15">
      <c r="A40" s="280"/>
      <c r="B40" s="252" t="s">
        <v>1694</v>
      </c>
      <c r="C40" s="275"/>
      <c r="D40" s="2884">
        <v>100</v>
      </c>
      <c r="E40" s="275"/>
      <c r="F40" s="908">
        <f>SUMIF(117:117,E40,118:118)-SUMIF(117:117,C40,118:118)+100</f>
        <v>100</v>
      </c>
      <c r="G40" s="275"/>
      <c r="H40" s="3727">
        <f>SUMIF(117:117,G40,118:118)-SUMIF(117:117,C40,118:118)+100</f>
        <v>100</v>
      </c>
      <c r="I40" s="275"/>
      <c r="J40" s="3727">
        <f>SUMIF(117:117,I40,118:118)-SUMIF(117:117,C40,118:118)+100</f>
        <v>100</v>
      </c>
      <c r="K40" s="394"/>
      <c r="L40" s="1979"/>
      <c r="M40" s="1974"/>
      <c r="N40" s="1974"/>
      <c r="O40" s="1974"/>
      <c r="P40" s="4599"/>
      <c r="Q40" s="1507" t="str">
        <f t="shared" si="11"/>
        <v>市政基础设施</v>
      </c>
      <c r="R40" s="3711" t="s">
        <v>13</v>
      </c>
      <c r="S40" s="3139">
        <f t="shared" si="12"/>
        <v>100</v>
      </c>
      <c r="T40" s="3711" t="s">
        <v>13</v>
      </c>
      <c r="U40" s="3139">
        <f t="shared" si="13"/>
        <v>100</v>
      </c>
      <c r="V40" s="3711" t="s">
        <v>13</v>
      </c>
      <c r="W40" s="3139">
        <f t="shared" si="14"/>
        <v>100</v>
      </c>
      <c r="X40" s="909"/>
      <c r="Y40" s="4601"/>
      <c r="Z40" s="907" t="str">
        <f t="shared" si="15"/>
        <v>市政基础设施</v>
      </c>
      <c r="AA40" s="907">
        <f t="shared" si="3"/>
        <v>1</v>
      </c>
      <c r="AB40" s="907">
        <f t="shared" si="4"/>
        <v>1</v>
      </c>
      <c r="AC40" s="1416">
        <f t="shared" si="5"/>
        <v>1</v>
      </c>
    </row>
    <row r="41" spans="1:29" ht="15">
      <c r="A41" s="280"/>
      <c r="B41" s="252" t="s">
        <v>1696</v>
      </c>
      <c r="C41" s="398"/>
      <c r="D41" s="2884">
        <v>100</v>
      </c>
      <c r="E41" s="398"/>
      <c r="F41" s="908">
        <f>SUMIF(119:119,E41,120:120)-SUMIF(119:119,C41,120:120)+100</f>
        <v>100</v>
      </c>
      <c r="G41" s="398"/>
      <c r="H41" s="3727">
        <f>SUMIF(119:119,G41,120:120)-SUMIF(119:119,C41,120:120)+100</f>
        <v>100</v>
      </c>
      <c r="I41" s="398"/>
      <c r="J41" s="3727">
        <f>SUMIF(119:119,I41,120:120)-SUMIF(119:119,C41,120:120)+100</f>
        <v>100</v>
      </c>
      <c r="K41" s="394"/>
      <c r="L41" s="1979"/>
      <c r="M41" s="1974"/>
      <c r="N41" s="1974"/>
      <c r="O41" s="1974"/>
      <c r="P41" s="4599"/>
      <c r="Q41" s="1507" t="str">
        <f t="shared" si="11"/>
        <v>层高</v>
      </c>
      <c r="R41" s="3711" t="s">
        <v>13</v>
      </c>
      <c r="S41" s="3139">
        <f t="shared" si="12"/>
        <v>100</v>
      </c>
      <c r="T41" s="3711" t="s">
        <v>13</v>
      </c>
      <c r="U41" s="3139">
        <f t="shared" si="13"/>
        <v>100</v>
      </c>
      <c r="V41" s="3711" t="s">
        <v>13</v>
      </c>
      <c r="W41" s="3139">
        <f t="shared" si="14"/>
        <v>100</v>
      </c>
      <c r="X41" s="909"/>
      <c r="Y41" s="4601"/>
      <c r="Z41" s="907" t="str">
        <f t="shared" si="15"/>
        <v>层高</v>
      </c>
      <c r="AA41" s="907">
        <f t="shared" si="3"/>
        <v>1</v>
      </c>
      <c r="AB41" s="907">
        <f t="shared" si="4"/>
        <v>1</v>
      </c>
      <c r="AC41" s="1416">
        <f t="shared" si="5"/>
        <v>1</v>
      </c>
    </row>
    <row r="42" spans="1:29" s="279" customFormat="1" ht="15">
      <c r="A42" s="277"/>
      <c r="B42" s="908" t="s">
        <v>1727</v>
      </c>
      <c r="C42" s="259"/>
      <c r="D42" s="2884">
        <v>100</v>
      </c>
      <c r="E42" s="259"/>
      <c r="F42" s="908">
        <f>SUMIF(121:121,E42,122:122)-SUMIF(121:121,C42,122:122)+100</f>
        <v>100</v>
      </c>
      <c r="G42" s="259"/>
      <c r="H42" s="3727">
        <f>SUMIF(121:121,G42,122:122)-SUMIF(121:121,C42,122:122)+100</f>
        <v>100</v>
      </c>
      <c r="I42" s="259"/>
      <c r="J42" s="3727">
        <f>SUMIF(121:121,I42,122:122)-SUMIF(121:121,C42,122:122)+100</f>
        <v>100</v>
      </c>
      <c r="K42" s="395"/>
      <c r="L42" s="1978"/>
      <c r="M42" s="1980"/>
      <c r="N42" s="1980"/>
      <c r="O42" s="1980"/>
      <c r="P42" s="4599"/>
      <c r="Q42" s="2846" t="str">
        <f t="shared" si="11"/>
        <v>单套建筑面积</v>
      </c>
      <c r="R42" s="3712" t="s">
        <v>13</v>
      </c>
      <c r="S42" s="3140">
        <f t="shared" si="12"/>
        <v>100</v>
      </c>
      <c r="T42" s="3712" t="s">
        <v>13</v>
      </c>
      <c r="U42" s="3140">
        <f t="shared" si="13"/>
        <v>100</v>
      </c>
      <c r="V42" s="3712" t="s">
        <v>13</v>
      </c>
      <c r="W42" s="3140">
        <f t="shared" si="14"/>
        <v>100</v>
      </c>
      <c r="X42" s="484"/>
      <c r="Y42" s="4601"/>
      <c r="Z42" s="485" t="str">
        <f t="shared" si="15"/>
        <v>单套建筑面积</v>
      </c>
      <c r="AA42" s="907">
        <f t="shared" si="3"/>
        <v>1</v>
      </c>
      <c r="AB42" s="907">
        <f t="shared" si="4"/>
        <v>1</v>
      </c>
      <c r="AC42" s="1416">
        <f t="shared" si="5"/>
        <v>1</v>
      </c>
    </row>
    <row r="43" spans="1:29" ht="15">
      <c r="A43" s="280"/>
      <c r="B43" s="252" t="s">
        <v>1699</v>
      </c>
      <c r="C43" s="275"/>
      <c r="D43" s="2884">
        <v>100</v>
      </c>
      <c r="E43" s="275"/>
      <c r="F43" s="908">
        <f>SUMIF(123:123,E43,124:124)-SUMIF(123:123,C43,124:124)+100</f>
        <v>100</v>
      </c>
      <c r="G43" s="275"/>
      <c r="H43" s="3727">
        <f>SUMIF(123:123,G43,124:124)-SUMIF(123:123,C43,124:124)+100</f>
        <v>100</v>
      </c>
      <c r="I43" s="275"/>
      <c r="J43" s="3727">
        <f>SUMIF(123:123,I43,124:124)-SUMIF(123:123,C43,124:124)+100</f>
        <v>100</v>
      </c>
      <c r="K43" s="394"/>
      <c r="L43" s="1979"/>
      <c r="M43" s="1974"/>
      <c r="N43" s="1974"/>
      <c r="O43" s="1974"/>
      <c r="P43" s="4599"/>
      <c r="Q43" s="1507" t="str">
        <f t="shared" si="11"/>
        <v>内部装修</v>
      </c>
      <c r="R43" s="3711" t="s">
        <v>13</v>
      </c>
      <c r="S43" s="3139">
        <f t="shared" si="12"/>
        <v>100</v>
      </c>
      <c r="T43" s="3711" t="s">
        <v>13</v>
      </c>
      <c r="U43" s="3139">
        <f t="shared" si="13"/>
        <v>100</v>
      </c>
      <c r="V43" s="3711" t="s">
        <v>13</v>
      </c>
      <c r="W43" s="3139">
        <f t="shared" si="14"/>
        <v>100</v>
      </c>
      <c r="X43" s="909"/>
      <c r="Y43" s="4601"/>
      <c r="Z43" s="907" t="str">
        <f t="shared" si="15"/>
        <v>内部装修</v>
      </c>
      <c r="AA43" s="907">
        <f t="shared" si="3"/>
        <v>1</v>
      </c>
      <c r="AB43" s="907">
        <f t="shared" si="4"/>
        <v>1</v>
      </c>
      <c r="AC43" s="1416">
        <f t="shared" si="5"/>
        <v>1</v>
      </c>
    </row>
    <row r="44" spans="1:29" ht="15">
      <c r="A44" s="280"/>
      <c r="B44" s="252" t="s">
        <v>1614</v>
      </c>
      <c r="C44" s="275"/>
      <c r="D44" s="2884">
        <v>100</v>
      </c>
      <c r="E44" s="1369"/>
      <c r="F44" s="908">
        <f>SUMIF(125:125,E44,126:126)-SUMIF(125:125,C44,126:126)+100</f>
        <v>100</v>
      </c>
      <c r="G44" s="1369"/>
      <c r="H44" s="3727">
        <f>SUMIF(125:125,G44,126:126)-SUMIF(125:125,C44,126:126)+100</f>
        <v>100</v>
      </c>
      <c r="I44" s="1369"/>
      <c r="J44" s="3727">
        <f>SUMIF(125:125,I44,126:126)-SUMIF(125:125,C44,126:126)+100</f>
        <v>100</v>
      </c>
      <c r="K44" s="394"/>
      <c r="L44" s="1979"/>
      <c r="M44" s="1974"/>
      <c r="N44" s="1974"/>
      <c r="O44" s="1974"/>
      <c r="P44" s="4599"/>
      <c r="Q44" s="1507" t="str">
        <f t="shared" si="11"/>
        <v>内部装修维护情况</v>
      </c>
      <c r="R44" s="3711" t="s">
        <v>13</v>
      </c>
      <c r="S44" s="3139">
        <f t="shared" si="12"/>
        <v>100</v>
      </c>
      <c r="T44" s="3711" t="s">
        <v>13</v>
      </c>
      <c r="U44" s="3139">
        <f t="shared" si="13"/>
        <v>100</v>
      </c>
      <c r="V44" s="3711" t="s">
        <v>13</v>
      </c>
      <c r="W44" s="3139">
        <f t="shared" si="14"/>
        <v>100</v>
      </c>
      <c r="X44" s="909"/>
      <c r="Y44" s="4601"/>
      <c r="Z44" s="907" t="str">
        <f t="shared" si="15"/>
        <v>内部装修维护情况</v>
      </c>
      <c r="AA44" s="907">
        <f t="shared" si="3"/>
        <v>1</v>
      </c>
      <c r="AB44" s="907">
        <f t="shared" si="4"/>
        <v>1</v>
      </c>
      <c r="AC44" s="1416">
        <f t="shared" si="5"/>
        <v>1</v>
      </c>
    </row>
    <row r="45" spans="1:29" s="46" customFormat="1" ht="15">
      <c r="A45" s="281"/>
      <c r="B45" s="761">
        <v>111</v>
      </c>
      <c r="C45" s="278"/>
      <c r="D45" s="2882">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99"/>
      <c r="Q45" s="1698">
        <f t="shared" si="11"/>
        <v>111</v>
      </c>
      <c r="R45" s="3609" t="s">
        <v>13</v>
      </c>
      <c r="S45" s="3138">
        <f t="shared" si="12"/>
        <v>100</v>
      </c>
      <c r="T45" s="3609" t="s">
        <v>13</v>
      </c>
      <c r="U45" s="3138">
        <f t="shared" si="13"/>
        <v>100</v>
      </c>
      <c r="V45" s="3609" t="s">
        <v>13</v>
      </c>
      <c r="W45" s="3138">
        <f t="shared" si="14"/>
        <v>100</v>
      </c>
      <c r="X45" s="482"/>
      <c r="Y45" s="4601"/>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7">
        <f>SUMIF(129:129,G46,130:130)-SUMIF(129:129,C46,130:130)+100</f>
        <v>100</v>
      </c>
      <c r="I46" s="258"/>
      <c r="J46" s="3727">
        <f>SUMIF(129:129,I46,130:130)-SUMIF(129:129,C46,130:130)+100</f>
        <v>100</v>
      </c>
      <c r="K46" s="395"/>
      <c r="L46" s="1979"/>
      <c r="M46" s="1974"/>
      <c r="N46" s="1974"/>
      <c r="O46" s="1974"/>
      <c r="P46" s="4599"/>
      <c r="Q46" s="1507">
        <f t="shared" si="11"/>
        <v>111</v>
      </c>
      <c r="R46" s="3711" t="s">
        <v>13</v>
      </c>
      <c r="S46" s="3139">
        <f t="shared" si="12"/>
        <v>100</v>
      </c>
      <c r="T46" s="3711" t="s">
        <v>13</v>
      </c>
      <c r="U46" s="3139">
        <f t="shared" si="13"/>
        <v>100</v>
      </c>
      <c r="V46" s="3711" t="s">
        <v>13</v>
      </c>
      <c r="W46" s="3139">
        <f t="shared" si="14"/>
        <v>100</v>
      </c>
      <c r="X46" s="909"/>
      <c r="Y46" s="4601"/>
      <c r="Z46" s="907">
        <f t="shared" si="15"/>
        <v>111</v>
      </c>
      <c r="AA46" s="907">
        <f t="shared" si="3"/>
        <v>1</v>
      </c>
      <c r="AB46" s="907">
        <f t="shared" si="4"/>
        <v>1</v>
      </c>
      <c r="AC46" s="1416">
        <f t="shared" si="5"/>
        <v>1</v>
      </c>
    </row>
    <row r="47" spans="1:29" ht="15.75" thickBot="1">
      <c r="A47" s="285"/>
      <c r="B47" s="1361">
        <v>111</v>
      </c>
      <c r="C47" s="261"/>
      <c r="D47" s="2885">
        <v>100</v>
      </c>
      <c r="E47" s="258"/>
      <c r="F47" s="3728">
        <f>SUMIF(131:131,E47,132:132)-SUMIF(131:131,C47,132:132)+100</f>
        <v>100</v>
      </c>
      <c r="G47" s="258"/>
      <c r="H47" s="3724">
        <f>SUMIF(131:131,G47,132:132)-SUMIF(131:131,C47,132:132)+100</f>
        <v>100</v>
      </c>
      <c r="I47" s="258"/>
      <c r="J47" s="3724">
        <f>SUMIF(131:131,I47,132:132)-SUMIF(131:131,C47,132:132)+100</f>
        <v>100</v>
      </c>
      <c r="K47" s="395"/>
      <c r="L47" s="1979"/>
      <c r="M47" s="1974"/>
      <c r="N47" s="1974"/>
      <c r="O47" s="1974"/>
      <c r="P47" s="4600"/>
      <c r="Q47" s="1507">
        <f t="shared" si="11"/>
        <v>111</v>
      </c>
      <c r="R47" s="3711" t="s">
        <v>13</v>
      </c>
      <c r="S47" s="3139">
        <f t="shared" si="12"/>
        <v>100</v>
      </c>
      <c r="T47" s="3711" t="s">
        <v>13</v>
      </c>
      <c r="U47" s="3139">
        <f t="shared" si="13"/>
        <v>100</v>
      </c>
      <c r="V47" s="3711" t="s">
        <v>13</v>
      </c>
      <c r="W47" s="3139">
        <f t="shared" si="14"/>
        <v>100</v>
      </c>
      <c r="X47" s="909"/>
      <c r="Y47" s="4602"/>
      <c r="Z47" s="907">
        <f t="shared" si="15"/>
        <v>111</v>
      </c>
      <c r="AA47" s="907">
        <f t="shared" si="3"/>
        <v>1</v>
      </c>
      <c r="AB47" s="907">
        <f t="shared" si="4"/>
        <v>1</v>
      </c>
      <c r="AC47" s="1416">
        <f t="shared" si="5"/>
        <v>1</v>
      </c>
    </row>
    <row r="48" spans="1:29" ht="15">
      <c r="A48" s="286" t="s">
        <v>1615</v>
      </c>
      <c r="B48" s="287"/>
      <c r="C48" s="765" t="s">
        <v>0</v>
      </c>
      <c r="D48" s="288"/>
      <c r="E48" s="3187"/>
      <c r="F48" s="3135"/>
      <c r="G48" s="3188"/>
      <c r="H48" s="3136"/>
      <c r="I48" s="3187"/>
      <c r="J48" s="3136"/>
      <c r="K48" s="2844"/>
      <c r="L48" s="1981"/>
      <c r="M48" s="1974"/>
      <c r="N48" s="1974"/>
      <c r="O48" s="1974"/>
      <c r="P48" s="4605" t="str">
        <f>A48</f>
        <v>成交单价（元/平方米）</v>
      </c>
      <c r="Q48" s="4594"/>
      <c r="R48" s="4595">
        <f>E48</f>
        <v>0</v>
      </c>
      <c r="S48" s="4595"/>
      <c r="T48" s="4595">
        <f>G48</f>
        <v>0</v>
      </c>
      <c r="U48" s="4595"/>
      <c r="V48" s="4595">
        <f>I48</f>
        <v>0</v>
      </c>
      <c r="W48" s="4595"/>
      <c r="X48" s="265"/>
      <c r="Y48" s="486"/>
      <c r="Z48" s="265"/>
      <c r="AA48" s="265"/>
      <c r="AB48" s="265"/>
      <c r="AC48" s="404"/>
    </row>
    <row r="49" spans="1:29" ht="15.75" thickBot="1">
      <c r="A49" s="289" t="s">
        <v>1700</v>
      </c>
      <c r="B49" s="290"/>
      <c r="C49" s="3709" t="e">
        <f>R50</f>
        <v>#DIV/0!</v>
      </c>
      <c r="D49" s="3822" t="s">
        <v>2040</v>
      </c>
      <c r="E49" s="3720" t="e">
        <f>R49</f>
        <v>#DIV/0!</v>
      </c>
      <c r="F49" s="2783"/>
      <c r="G49" s="3709" t="e">
        <f>T49</f>
        <v>#DIV/0!</v>
      </c>
      <c r="H49" s="2783"/>
      <c r="I49" s="3720" t="e">
        <f>V49</f>
        <v>#DIV/0!</v>
      </c>
      <c r="J49" s="2783"/>
      <c r="K49" s="2837">
        <f>F49+H49+J49</f>
        <v>0</v>
      </c>
      <c r="L49" s="1981"/>
      <c r="M49" s="1974"/>
      <c r="N49" s="1974"/>
      <c r="O49" s="1974"/>
      <c r="P49" s="4605" t="str">
        <f>A49</f>
        <v>比较价值（元/平方米）</v>
      </c>
      <c r="Q49" s="4594"/>
      <c r="R49" s="4595" t="e">
        <f>IF(F1="售价",ROUND(PRODUCT(R48,AA7:AA47),0),ROUND(PRODUCT(R48,AA7:AA47),1))</f>
        <v>#DIV/0!</v>
      </c>
      <c r="S49" s="4595"/>
      <c r="T49" s="4595" t="e">
        <f>IF(F1="售价",ROUND(PRODUCT(T48,AB7:AB47),0),ROUND(PRODUCT(T48,AB7:AB47),1))</f>
        <v>#DIV/0!</v>
      </c>
      <c r="U49" s="4595"/>
      <c r="V49" s="4595" t="e">
        <f>IF(F1="售价",ROUND(PRODUCT(V48,AC7:AC47),0),ROUND(PRODUCT(V48,AC7:AC47),1))</f>
        <v>#DIV/0!</v>
      </c>
      <c r="W49" s="4595"/>
      <c r="X49" s="265"/>
      <c r="Y49" s="265"/>
      <c r="Z49" s="265"/>
      <c r="AA49" s="265"/>
      <c r="AB49" s="265"/>
      <c r="AC49" s="404"/>
    </row>
    <row r="50" spans="1:29" ht="15.75" thickBot="1">
      <c r="A50" s="291" t="s">
        <v>1701</v>
      </c>
      <c r="B50" s="292"/>
      <c r="C50" s="3721" t="e">
        <f>R50</f>
        <v>#DIV/0!</v>
      </c>
      <c r="D50" s="241"/>
      <c r="E50" s="241"/>
      <c r="F50" s="241"/>
      <c r="G50" s="241"/>
      <c r="H50" s="241"/>
      <c r="I50" s="241"/>
      <c r="J50" s="293"/>
      <c r="K50" s="487"/>
      <c r="L50" s="1981"/>
      <c r="M50" s="1974"/>
      <c r="N50" s="1974"/>
      <c r="O50" s="1974"/>
      <c r="P50" s="4647" t="str">
        <f>A50</f>
        <v>估价对象XX用房的比较价值（楼面单价，元/平方米）</v>
      </c>
      <c r="Q50" s="4648"/>
      <c r="R50" s="4649" t="e">
        <f>IF(F1="售价",ROUND(IF(D49="简单平均",AVERAGE(R49:V49),R49*F49+T49*H49+V49*J49),0),ROUND(IF(D49="简单平均",AVERAGE(R49:V49),R49*F49+T49*H49+V49*J49),1))</f>
        <v>#DIV/0!</v>
      </c>
      <c r="S50" s="4649"/>
      <c r="T50" s="4649"/>
      <c r="U50" s="4649"/>
      <c r="V50" s="4649"/>
      <c r="W50" s="4649"/>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c r="D66" s="372"/>
      <c r="E66" s="372"/>
      <c r="F66" s="372"/>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3867</v>
      </c>
      <c r="C67" s="329"/>
      <c r="D67" s="329"/>
      <c r="E67" s="329"/>
      <c r="F67" s="329"/>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c r="D89" s="347"/>
      <c r="E89" s="347"/>
      <c r="F89" s="1384"/>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c r="D104" s="5"/>
      <c r="E104" s="5"/>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c r="D105" s="329"/>
      <c r="E105" s="329"/>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c r="D108" s="347"/>
      <c r="E108" s="347"/>
      <c r="F108" s="372"/>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c r="D115" s="347"/>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c r="D123" s="347"/>
      <c r="E123" s="347"/>
      <c r="F123" s="372"/>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119963.53</v>
      </c>
      <c r="E3" s="3823" t="s">
        <v>3468</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653" t="s">
        <v>1677</v>
      </c>
      <c r="D4" s="4654"/>
      <c r="E4" s="4655" t="s">
        <v>1678</v>
      </c>
      <c r="F4" s="4656"/>
      <c r="G4" s="4653" t="s">
        <v>1679</v>
      </c>
      <c r="H4" s="4654"/>
      <c r="I4" s="4653" t="s">
        <v>1680</v>
      </c>
      <c r="J4" s="4654"/>
      <c r="K4" s="393" t="s">
        <v>1681</v>
      </c>
      <c r="L4" s="592"/>
      <c r="M4" s="593"/>
      <c r="N4" s="593"/>
      <c r="O4" s="593"/>
      <c r="P4" s="4614" t="s">
        <v>1682</v>
      </c>
      <c r="Q4" s="4615"/>
      <c r="R4" s="4620" t="s">
        <v>1678</v>
      </c>
      <c r="S4" s="4621"/>
      <c r="T4" s="4620" t="s">
        <v>1679</v>
      </c>
      <c r="U4" s="4621"/>
      <c r="V4" s="4626" t="s">
        <v>1680</v>
      </c>
      <c r="W4" s="4626"/>
      <c r="X4" s="909"/>
      <c r="Y4" s="4635" t="s">
        <v>1682</v>
      </c>
      <c r="Z4" s="4636"/>
      <c r="AA4" s="4607" t="s">
        <v>1678</v>
      </c>
      <c r="AB4" s="4608" t="s">
        <v>1679</v>
      </c>
      <c r="AC4" s="4607" t="s">
        <v>1680</v>
      </c>
    </row>
    <row r="5" spans="1:29" ht="15">
      <c r="A5" s="238"/>
      <c r="B5" s="239"/>
      <c r="C5" s="4666" t="s">
        <v>1580</v>
      </c>
      <c r="D5" s="4667"/>
      <c r="E5" s="4674" t="s">
        <v>1581</v>
      </c>
      <c r="F5" s="4675"/>
      <c r="G5" s="4666" t="s">
        <v>1582</v>
      </c>
      <c r="H5" s="4667"/>
      <c r="I5" s="4666" t="s">
        <v>1583</v>
      </c>
      <c r="J5" s="4667"/>
      <c r="K5" s="393"/>
      <c r="L5" s="592"/>
      <c r="M5" s="593"/>
      <c r="N5" s="593"/>
      <c r="O5" s="593"/>
      <c r="P5" s="4616"/>
      <c r="Q5" s="4617"/>
      <c r="R5" s="4622"/>
      <c r="S5" s="4623"/>
      <c r="T5" s="4622"/>
      <c r="U5" s="4623"/>
      <c r="V5" s="4626"/>
      <c r="W5" s="4626"/>
      <c r="X5" s="909"/>
      <c r="Y5" s="4637"/>
      <c r="Z5" s="4638"/>
      <c r="AA5" s="4608"/>
      <c r="AB5" s="4608"/>
      <c r="AC5" s="4608"/>
    </row>
    <row r="6" spans="1:29" ht="15.75" thickBot="1">
      <c r="A6" s="240"/>
      <c r="B6" s="241"/>
      <c r="C6" s="4664" t="s">
        <v>1584</v>
      </c>
      <c r="D6" s="4665"/>
      <c r="E6" s="4671" t="s">
        <v>1584</v>
      </c>
      <c r="F6" s="4672"/>
      <c r="G6" s="4664" t="s">
        <v>1584</v>
      </c>
      <c r="H6" s="4665"/>
      <c r="I6" s="4664" t="s">
        <v>1584</v>
      </c>
      <c r="J6" s="4665"/>
      <c r="K6" s="393" t="s">
        <v>1585</v>
      </c>
      <c r="L6" s="592"/>
      <c r="M6" s="593"/>
      <c r="N6" s="593"/>
      <c r="O6" s="593"/>
      <c r="P6" s="4618"/>
      <c r="Q6" s="4619"/>
      <c r="R6" s="4622"/>
      <c r="S6" s="4623"/>
      <c r="T6" s="4624"/>
      <c r="U6" s="4625"/>
      <c r="V6" s="4626"/>
      <c r="W6" s="4626"/>
      <c r="X6" s="909"/>
      <c r="Y6" s="4639"/>
      <c r="Z6" s="4640"/>
      <c r="AA6" s="4609"/>
      <c r="AB6" s="4609"/>
      <c r="AC6" s="4609"/>
    </row>
    <row r="7" spans="1:29" s="46" customFormat="1" ht="15.75" thickBot="1">
      <c r="A7" s="242" t="s">
        <v>1586</v>
      </c>
      <c r="B7" s="243"/>
      <c r="C7" s="244">
        <f>'数据-取费表'!B2</f>
        <v>46126</v>
      </c>
      <c r="D7" s="2880">
        <v>100</v>
      </c>
      <c r="E7" s="245"/>
      <c r="F7" s="3723">
        <f>SUMIF(52:52,YEAR(E7)&amp;"-"&amp;MONTH(E7),53:53)</f>
        <v>0</v>
      </c>
      <c r="G7" s="245"/>
      <c r="H7" s="3729">
        <f>SUMIF(52:52,YEAR(G7)&amp;"-"&amp;MONTH(G7),53:53)</f>
        <v>0</v>
      </c>
      <c r="I7" s="245"/>
      <c r="J7" s="3729">
        <f>SUMIF(52:52,YEAR(I7)&amp;"-"&amp;MONTH(I7),53:53)</f>
        <v>0</v>
      </c>
      <c r="K7" s="22"/>
      <c r="L7" s="594"/>
      <c r="M7" s="595"/>
      <c r="N7" s="595"/>
      <c r="O7" s="595"/>
      <c r="P7" s="4631" t="s">
        <v>1587</v>
      </c>
      <c r="Q7" s="4641"/>
      <c r="R7" s="3735" t="s">
        <v>13</v>
      </c>
      <c r="S7" s="3518">
        <f t="shared" ref="S7:S15" si="0">F7</f>
        <v>0</v>
      </c>
      <c r="T7" s="3735" t="s">
        <v>13</v>
      </c>
      <c r="U7" s="3518">
        <f t="shared" ref="U7:U15" si="1">H7</f>
        <v>0</v>
      </c>
      <c r="V7" s="3735" t="s">
        <v>13</v>
      </c>
      <c r="W7" s="3518">
        <f t="shared" ref="W7:W15" si="2">J7</f>
        <v>0</v>
      </c>
      <c r="X7" s="482"/>
      <c r="Y7" s="4633" t="s">
        <v>1587</v>
      </c>
      <c r="Z7" s="4634"/>
      <c r="AA7" s="28" t="e">
        <f>D7/F7</f>
        <v>#DIV/0!</v>
      </c>
      <c r="AB7" s="28" t="e">
        <f>D7/H7</f>
        <v>#DIV/0!</v>
      </c>
      <c r="AC7" s="28" t="e">
        <f>D7/J7</f>
        <v>#DIV/0!</v>
      </c>
    </row>
    <row r="8" spans="1:29" s="46" customFormat="1" ht="15.75" thickBot="1">
      <c r="A8" s="242" t="s">
        <v>1588</v>
      </c>
      <c r="B8" s="243"/>
      <c r="C8" s="246"/>
      <c r="D8" s="2880">
        <v>100</v>
      </c>
      <c r="E8" s="246"/>
      <c r="F8" s="3723">
        <f>SUMIF(55:55,E8,56:56)-SUMIF(55:55,C8,56:56)+100</f>
        <v>100</v>
      </c>
      <c r="G8" s="246"/>
      <c r="H8" s="3729">
        <f>SUMIF(55:55,G8,56:56)-SUMIF(55:55,C8,56:56)+100</f>
        <v>100</v>
      </c>
      <c r="I8" s="246"/>
      <c r="J8" s="3729">
        <f>SUMIF(55:55,I8,56:56)-SUMIF(55:55,C8,56:56)+100</f>
        <v>100</v>
      </c>
      <c r="K8" s="22"/>
      <c r="L8" s="594"/>
      <c r="M8" s="595"/>
      <c r="N8" s="595"/>
      <c r="O8" s="595"/>
      <c r="P8" s="4631" t="s">
        <v>1590</v>
      </c>
      <c r="Q8" s="4632"/>
      <c r="R8" s="3735" t="s">
        <v>13</v>
      </c>
      <c r="S8" s="3518">
        <f t="shared" si="0"/>
        <v>100</v>
      </c>
      <c r="T8" s="3735" t="s">
        <v>13</v>
      </c>
      <c r="U8" s="3518">
        <f t="shared" si="1"/>
        <v>100</v>
      </c>
      <c r="V8" s="3735" t="s">
        <v>13</v>
      </c>
      <c r="W8" s="3518">
        <f t="shared" si="2"/>
        <v>100</v>
      </c>
      <c r="X8" s="482"/>
      <c r="Y8" s="4633" t="s">
        <v>1590</v>
      </c>
      <c r="Z8" s="4634"/>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594" t="s">
        <v>1593</v>
      </c>
      <c r="Q9" s="1698" t="str">
        <f t="shared" ref="Q9:Q15" si="6">B9</f>
        <v>用途</v>
      </c>
      <c r="R9" s="3735" t="s">
        <v>13</v>
      </c>
      <c r="S9" s="3518">
        <f t="shared" si="0"/>
        <v>100</v>
      </c>
      <c r="T9" s="3735" t="s">
        <v>13</v>
      </c>
      <c r="U9" s="3518">
        <f t="shared" si="1"/>
        <v>100</v>
      </c>
      <c r="V9" s="3735" t="s">
        <v>13</v>
      </c>
      <c r="W9" s="3518">
        <f t="shared" si="2"/>
        <v>100</v>
      </c>
      <c r="X9" s="482"/>
      <c r="Y9" s="4606"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594"/>
      <c r="Q10" s="1698" t="str">
        <f t="shared" si="6"/>
        <v>土地使用年限（年）</v>
      </c>
      <c r="R10" s="3735" t="s">
        <v>13</v>
      </c>
      <c r="S10" s="3518">
        <f t="shared" si="0"/>
        <v>100</v>
      </c>
      <c r="T10" s="3735" t="s">
        <v>13</v>
      </c>
      <c r="U10" s="3518">
        <f t="shared" si="1"/>
        <v>100</v>
      </c>
      <c r="V10" s="3735" t="s">
        <v>13</v>
      </c>
      <c r="W10" s="3518">
        <f t="shared" si="2"/>
        <v>100</v>
      </c>
      <c r="X10" s="482"/>
      <c r="Y10" s="4606"/>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94"/>
      <c r="Q11" s="1698" t="str">
        <f t="shared" si="6"/>
        <v>容积率</v>
      </c>
      <c r="R11" s="3735" t="s">
        <v>13</v>
      </c>
      <c r="S11" s="3518">
        <f t="shared" si="0"/>
        <v>100</v>
      </c>
      <c r="T11" s="3735" t="s">
        <v>13</v>
      </c>
      <c r="U11" s="3518">
        <f t="shared" si="1"/>
        <v>100</v>
      </c>
      <c r="V11" s="3735" t="s">
        <v>13</v>
      </c>
      <c r="W11" s="3518">
        <f t="shared" si="2"/>
        <v>100</v>
      </c>
      <c r="X11" s="482"/>
      <c r="Y11" s="4606"/>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94"/>
      <c r="Q12" s="1698">
        <f t="shared" si="6"/>
        <v>111</v>
      </c>
      <c r="R12" s="3735" t="s">
        <v>13</v>
      </c>
      <c r="S12" s="3518">
        <f t="shared" si="0"/>
        <v>100</v>
      </c>
      <c r="T12" s="3735" t="s">
        <v>13</v>
      </c>
      <c r="U12" s="3518">
        <f t="shared" si="1"/>
        <v>100</v>
      </c>
      <c r="V12" s="3735" t="s">
        <v>13</v>
      </c>
      <c r="W12" s="3518">
        <f t="shared" si="2"/>
        <v>100</v>
      </c>
      <c r="X12" s="482"/>
      <c r="Y12" s="4606"/>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94"/>
      <c r="Q13" s="1698">
        <f t="shared" si="6"/>
        <v>111</v>
      </c>
      <c r="R13" s="3735" t="s">
        <v>13</v>
      </c>
      <c r="S13" s="3518">
        <f t="shared" si="0"/>
        <v>100</v>
      </c>
      <c r="T13" s="3735" t="s">
        <v>13</v>
      </c>
      <c r="U13" s="3518">
        <f t="shared" si="1"/>
        <v>100</v>
      </c>
      <c r="V13" s="3735" t="s">
        <v>13</v>
      </c>
      <c r="W13" s="3518">
        <f t="shared" si="2"/>
        <v>100</v>
      </c>
      <c r="X13" s="482"/>
      <c r="Y13" s="4606"/>
      <c r="Z13" s="28">
        <f t="shared" si="7"/>
        <v>111</v>
      </c>
      <c r="AA13" s="28">
        <f t="shared" si="3"/>
        <v>1</v>
      </c>
      <c r="AB13" s="28">
        <f t="shared" si="4"/>
        <v>1</v>
      </c>
      <c r="AC13" s="28">
        <f t="shared" si="5"/>
        <v>1</v>
      </c>
    </row>
    <row r="14" spans="1:29" ht="15.75" thickBot="1">
      <c r="A14" s="260"/>
      <c r="B14" s="1361">
        <v>111</v>
      </c>
      <c r="C14" s="261"/>
      <c r="D14" s="2885">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94"/>
      <c r="Q14" s="1698">
        <f t="shared" si="6"/>
        <v>111</v>
      </c>
      <c r="R14" s="3735" t="s">
        <v>13</v>
      </c>
      <c r="S14" s="3518">
        <f t="shared" si="0"/>
        <v>100</v>
      </c>
      <c r="T14" s="3735" t="s">
        <v>13</v>
      </c>
      <c r="U14" s="3518">
        <f t="shared" si="1"/>
        <v>100</v>
      </c>
      <c r="V14" s="3735" t="s">
        <v>13</v>
      </c>
      <c r="W14" s="3518">
        <f t="shared" si="2"/>
        <v>100</v>
      </c>
      <c r="X14" s="482"/>
      <c r="Y14" s="4606"/>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86">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76" t="s">
        <v>1598</v>
      </c>
      <c r="Q15" s="1507" t="str">
        <f t="shared" si="6"/>
        <v>产业集聚程度</v>
      </c>
      <c r="R15" s="3736" t="s">
        <v>13</v>
      </c>
      <c r="S15" s="3738">
        <f t="shared" si="0"/>
        <v>100</v>
      </c>
      <c r="T15" s="3736" t="s">
        <v>13</v>
      </c>
      <c r="U15" s="3738">
        <f t="shared" si="1"/>
        <v>100</v>
      </c>
      <c r="V15" s="3736" t="s">
        <v>13</v>
      </c>
      <c r="W15" s="3738">
        <f t="shared" si="2"/>
        <v>100</v>
      </c>
      <c r="X15" s="909"/>
      <c r="Y15" s="4596" t="s">
        <v>1598</v>
      </c>
      <c r="Z15" s="907" t="str">
        <f t="shared" si="7"/>
        <v>产业集聚程度</v>
      </c>
      <c r="AA15" s="907">
        <f t="shared" si="3"/>
        <v>1</v>
      </c>
      <c r="AB15" s="907">
        <f t="shared" si="4"/>
        <v>1</v>
      </c>
      <c r="AC15" s="907">
        <f t="shared" si="5"/>
        <v>1</v>
      </c>
    </row>
    <row r="16" spans="1:29" ht="15">
      <c r="A16" s="254"/>
      <c r="B16" s="265"/>
      <c r="C16" s="266"/>
      <c r="D16" s="2887"/>
      <c r="E16" s="266"/>
      <c r="F16" s="3732"/>
      <c r="G16" s="266"/>
      <c r="H16" s="268"/>
      <c r="I16" s="266"/>
      <c r="J16" s="267"/>
      <c r="K16" s="397"/>
      <c r="L16" s="602"/>
      <c r="M16" s="593"/>
      <c r="N16" s="593"/>
      <c r="O16" s="601"/>
      <c r="P16" s="4677"/>
      <c r="Q16" s="1507"/>
      <c r="R16" s="3736"/>
      <c r="S16" s="3738"/>
      <c r="T16" s="3736"/>
      <c r="U16" s="3738"/>
      <c r="V16" s="3736"/>
      <c r="W16" s="3738"/>
      <c r="X16" s="909"/>
      <c r="Y16" s="4597"/>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77"/>
      <c r="Q17" s="1507" t="str">
        <f>B17</f>
        <v>交通便捷度</v>
      </c>
      <c r="R17" s="3736" t="s">
        <v>13</v>
      </c>
      <c r="S17" s="3738">
        <f>F17</f>
        <v>100</v>
      </c>
      <c r="T17" s="3736" t="s">
        <v>13</v>
      </c>
      <c r="U17" s="3738">
        <f>H17</f>
        <v>100</v>
      </c>
      <c r="V17" s="3736" t="s">
        <v>13</v>
      </c>
      <c r="W17" s="3738">
        <f>J17</f>
        <v>100</v>
      </c>
      <c r="X17" s="909"/>
      <c r="Y17" s="4597"/>
      <c r="Z17" s="907" t="str">
        <f>Q17</f>
        <v>交通便捷度</v>
      </c>
      <c r="AA17" s="907">
        <f t="shared" si="3"/>
        <v>1</v>
      </c>
      <c r="AB17" s="907">
        <f t="shared" si="4"/>
        <v>1</v>
      </c>
      <c r="AC17" s="907">
        <f t="shared" si="5"/>
        <v>1</v>
      </c>
    </row>
    <row r="18" spans="1:29" ht="15">
      <c r="A18" s="254"/>
      <c r="B18" s="272"/>
      <c r="C18" s="1365"/>
      <c r="D18" s="2888"/>
      <c r="E18" s="1367"/>
      <c r="F18" s="3733"/>
      <c r="G18" s="1366"/>
      <c r="H18" s="267"/>
      <c r="I18" s="1367"/>
      <c r="J18" s="267"/>
      <c r="K18" s="397"/>
      <c r="L18" s="602"/>
      <c r="M18" s="593"/>
      <c r="N18" s="593"/>
      <c r="O18" s="601"/>
      <c r="P18" s="4677"/>
      <c r="Q18" s="1507"/>
      <c r="R18" s="3736"/>
      <c r="S18" s="3738"/>
      <c r="T18" s="3736"/>
      <c r="U18" s="3738"/>
      <c r="V18" s="3736"/>
      <c r="W18" s="3738"/>
      <c r="X18" s="909"/>
      <c r="Y18" s="4597"/>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77"/>
      <c r="Q19" s="1507" t="str">
        <f>B19</f>
        <v>公共配套设施</v>
      </c>
      <c r="R19" s="3736" t="s">
        <v>13</v>
      </c>
      <c r="S19" s="3738">
        <f>F19</f>
        <v>100</v>
      </c>
      <c r="T19" s="3736" t="s">
        <v>13</v>
      </c>
      <c r="U19" s="3738">
        <f>H19</f>
        <v>100</v>
      </c>
      <c r="V19" s="3736" t="s">
        <v>13</v>
      </c>
      <c r="W19" s="3738">
        <f>J19</f>
        <v>100</v>
      </c>
      <c r="X19" s="909"/>
      <c r="Y19" s="4597"/>
      <c r="Z19" s="907" t="str">
        <f>Q19</f>
        <v>公共配套设施</v>
      </c>
      <c r="AA19" s="907">
        <f t="shared" si="3"/>
        <v>1</v>
      </c>
      <c r="AB19" s="907">
        <f t="shared" si="4"/>
        <v>1</v>
      </c>
      <c r="AC19" s="907">
        <f t="shared" si="5"/>
        <v>1</v>
      </c>
    </row>
    <row r="20" spans="1:29" ht="15">
      <c r="A20" s="254"/>
      <c r="B20" s="272"/>
      <c r="C20" s="266"/>
      <c r="D20" s="2887"/>
      <c r="E20" s="1363"/>
      <c r="F20" s="3732"/>
      <c r="G20" s="1362"/>
      <c r="H20" s="267"/>
      <c r="I20" s="1363"/>
      <c r="J20" s="267"/>
      <c r="K20" s="397"/>
      <c r="L20" s="602"/>
      <c r="M20" s="593"/>
      <c r="N20" s="593"/>
      <c r="O20" s="601"/>
      <c r="P20" s="4677"/>
      <c r="Q20" s="1507"/>
      <c r="R20" s="3736"/>
      <c r="S20" s="3738"/>
      <c r="T20" s="3736"/>
      <c r="U20" s="3738"/>
      <c r="V20" s="3736"/>
      <c r="W20" s="3738"/>
      <c r="X20" s="909"/>
      <c r="Y20" s="4597"/>
      <c r="Z20" s="907"/>
      <c r="AA20" s="907">
        <v>1</v>
      </c>
      <c r="AB20" s="907">
        <v>1</v>
      </c>
      <c r="AC20" s="907">
        <v>1</v>
      </c>
    </row>
    <row r="21" spans="1:29" ht="28.5">
      <c r="A21" s="254"/>
      <c r="B21" s="759" t="s">
        <v>1720</v>
      </c>
      <c r="C21" s="1364" t="str">
        <f>估价对象房地状况!G6</f>
        <v>估价对象所在区域基础设施水平</v>
      </c>
      <c r="D21" s="2888">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77"/>
      <c r="Q21" s="1507" t="str">
        <f>B21</f>
        <v>基础设施水平</v>
      </c>
      <c r="R21" s="3736" t="s">
        <v>13</v>
      </c>
      <c r="S21" s="3738">
        <f>F21</f>
        <v>100</v>
      </c>
      <c r="T21" s="3736" t="s">
        <v>13</v>
      </c>
      <c r="U21" s="3738">
        <f>H21</f>
        <v>100</v>
      </c>
      <c r="V21" s="3736" t="s">
        <v>13</v>
      </c>
      <c r="W21" s="3738">
        <f>J21</f>
        <v>100</v>
      </c>
      <c r="X21" s="909"/>
      <c r="Y21" s="4597"/>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2"/>
      <c r="G22" s="266"/>
      <c r="H22" s="267"/>
      <c r="I22" s="266"/>
      <c r="J22" s="267"/>
      <c r="K22" s="758"/>
      <c r="L22" s="602"/>
      <c r="M22" s="593"/>
      <c r="N22" s="593"/>
      <c r="O22" s="601"/>
      <c r="P22" s="4677"/>
      <c r="Q22" s="1507"/>
      <c r="R22" s="3736"/>
      <c r="S22" s="3738"/>
      <c r="T22" s="3736"/>
      <c r="U22" s="3738"/>
      <c r="V22" s="3736"/>
      <c r="W22" s="3738"/>
      <c r="X22" s="909"/>
      <c r="Y22" s="4597"/>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77"/>
      <c r="Q23" s="1507" t="str">
        <f>B23</f>
        <v>环境质量</v>
      </c>
      <c r="R23" s="3736" t="s">
        <v>13</v>
      </c>
      <c r="S23" s="3738">
        <f>F23</f>
        <v>100</v>
      </c>
      <c r="T23" s="3736" t="s">
        <v>13</v>
      </c>
      <c r="U23" s="3738">
        <f>H23</f>
        <v>100</v>
      </c>
      <c r="V23" s="3736" t="s">
        <v>13</v>
      </c>
      <c r="W23" s="3738">
        <f>J23</f>
        <v>100</v>
      </c>
      <c r="X23" s="909"/>
      <c r="Y23" s="4597"/>
      <c r="Z23" s="907" t="str">
        <f>Q23</f>
        <v>环境质量</v>
      </c>
      <c r="AA23" s="907">
        <f t="shared" si="3"/>
        <v>1</v>
      </c>
      <c r="AB23" s="907">
        <f t="shared" si="4"/>
        <v>1</v>
      </c>
      <c r="AC23" s="907">
        <f t="shared" si="5"/>
        <v>1</v>
      </c>
    </row>
    <row r="24" spans="1:29" ht="15">
      <c r="A24" s="254"/>
      <c r="B24" s="759"/>
      <c r="C24" s="266"/>
      <c r="D24" s="2887"/>
      <c r="E24" s="1363"/>
      <c r="F24" s="3732"/>
      <c r="G24" s="1362"/>
      <c r="H24" s="267"/>
      <c r="I24" s="1363"/>
      <c r="J24" s="267"/>
      <c r="K24" s="397"/>
      <c r="L24" s="602"/>
      <c r="M24" s="593"/>
      <c r="N24" s="593"/>
      <c r="O24" s="601"/>
      <c r="P24" s="4677"/>
      <c r="Q24" s="1507"/>
      <c r="R24" s="3736"/>
      <c r="S24" s="3738"/>
      <c r="T24" s="3736"/>
      <c r="U24" s="3738"/>
      <c r="V24" s="3736"/>
      <c r="W24" s="3738"/>
      <c r="X24" s="909"/>
      <c r="Y24" s="4597"/>
      <c r="Z24" s="907"/>
      <c r="AA24" s="907">
        <v>1</v>
      </c>
      <c r="AB24" s="907">
        <v>1</v>
      </c>
      <c r="AC24" s="907">
        <v>1</v>
      </c>
    </row>
    <row r="25" spans="1:29" ht="15">
      <c r="A25" s="238"/>
      <c r="B25" s="761">
        <v>111</v>
      </c>
      <c r="C25" s="259">
        <v>111</v>
      </c>
      <c r="D25" s="2884">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77"/>
      <c r="Q25" s="1507">
        <f>B25</f>
        <v>111</v>
      </c>
      <c r="R25" s="3736" t="s">
        <v>13</v>
      </c>
      <c r="S25" s="3738">
        <f>F25</f>
        <v>100</v>
      </c>
      <c r="T25" s="3736" t="s">
        <v>13</v>
      </c>
      <c r="U25" s="3738">
        <f>H25</f>
        <v>100</v>
      </c>
      <c r="V25" s="3736" t="s">
        <v>13</v>
      </c>
      <c r="W25" s="3738">
        <f>J25</f>
        <v>100</v>
      </c>
      <c r="X25" s="909"/>
      <c r="Y25" s="4597"/>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77"/>
      <c r="Q26" s="1507">
        <f t="shared" ref="Q26:Q40" si="11">B26</f>
        <v>111</v>
      </c>
      <c r="R26" s="3736" t="s">
        <v>13</v>
      </c>
      <c r="S26" s="3738">
        <f>F26</f>
        <v>100</v>
      </c>
      <c r="T26" s="3736" t="s">
        <v>13</v>
      </c>
      <c r="U26" s="3738">
        <f>H26</f>
        <v>100</v>
      </c>
      <c r="V26" s="3736" t="s">
        <v>13</v>
      </c>
      <c r="W26" s="3738">
        <f>J26</f>
        <v>100</v>
      </c>
      <c r="X26" s="909"/>
      <c r="Y26" s="4597"/>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77"/>
      <c r="Q27" s="1698">
        <f t="shared" si="11"/>
        <v>111</v>
      </c>
      <c r="R27" s="3735" t="s">
        <v>13</v>
      </c>
      <c r="S27" s="3518">
        <f>F27</f>
        <v>100</v>
      </c>
      <c r="T27" s="3735" t="s">
        <v>13</v>
      </c>
      <c r="U27" s="3518">
        <f>H27</f>
        <v>100</v>
      </c>
      <c r="V27" s="3735" t="s">
        <v>13</v>
      </c>
      <c r="W27" s="3518">
        <f>J27</f>
        <v>100</v>
      </c>
      <c r="X27" s="482"/>
      <c r="Y27" s="4597"/>
      <c r="Z27" s="28">
        <f>Q27</f>
        <v>111</v>
      </c>
      <c r="AA27" s="907">
        <f>D27/F27</f>
        <v>1</v>
      </c>
      <c r="AB27" s="907">
        <f>D27/H27</f>
        <v>1</v>
      </c>
      <c r="AC27" s="907">
        <f>D27/J27</f>
        <v>1</v>
      </c>
    </row>
    <row r="28" spans="1:29" ht="15.75" thickBot="1">
      <c r="A28" s="260"/>
      <c r="B28" s="761">
        <v>111</v>
      </c>
      <c r="C28" s="261">
        <v>111</v>
      </c>
      <c r="D28" s="2885">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77"/>
      <c r="Q28" s="1507">
        <f t="shared" si="11"/>
        <v>111</v>
      </c>
      <c r="R28" s="3736" t="s">
        <v>13</v>
      </c>
      <c r="S28" s="3738">
        <f t="shared" ref="S28:S40" si="12">F28</f>
        <v>100</v>
      </c>
      <c r="T28" s="3736" t="s">
        <v>13</v>
      </c>
      <c r="U28" s="3738">
        <f t="shared" ref="U28:U40" si="13">H28</f>
        <v>100</v>
      </c>
      <c r="V28" s="3736" t="s">
        <v>13</v>
      </c>
      <c r="W28" s="3738">
        <f t="shared" ref="W28:W40" si="14">J28</f>
        <v>100</v>
      </c>
      <c r="X28" s="909"/>
      <c r="Y28" s="4597"/>
      <c r="Z28" s="907">
        <f t="shared" ref="Z28:Z40" si="15">Q28</f>
        <v>111</v>
      </c>
      <c r="AA28" s="907">
        <f t="shared" si="3"/>
        <v>1</v>
      </c>
      <c r="AB28" s="907">
        <f t="shared" si="4"/>
        <v>1</v>
      </c>
      <c r="AC28" s="907">
        <f t="shared" si="5"/>
        <v>1</v>
      </c>
    </row>
    <row r="29" spans="1:29" ht="28.5">
      <c r="A29" s="276" t="s">
        <v>1601</v>
      </c>
      <c r="B29" s="34" t="s">
        <v>1724</v>
      </c>
      <c r="C29" s="1420"/>
      <c r="D29" s="2891">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78" t="s">
        <v>1603</v>
      </c>
      <c r="Q29" s="1507" t="str">
        <f t="shared" si="11"/>
        <v>建筑类型</v>
      </c>
      <c r="R29" s="3736" t="s">
        <v>13</v>
      </c>
      <c r="S29" s="3738">
        <f t="shared" si="12"/>
        <v>100</v>
      </c>
      <c r="T29" s="3736" t="s">
        <v>13</v>
      </c>
      <c r="U29" s="3738">
        <f t="shared" si="13"/>
        <v>100</v>
      </c>
      <c r="V29" s="3736" t="s">
        <v>13</v>
      </c>
      <c r="W29" s="3738">
        <f t="shared" si="14"/>
        <v>100</v>
      </c>
      <c r="X29" s="909"/>
      <c r="Y29" s="4601"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79"/>
      <c r="Q30" s="2846" t="str">
        <f t="shared" si="11"/>
        <v>项目建筑规模</v>
      </c>
      <c r="R30" s="3737" t="s">
        <v>13</v>
      </c>
      <c r="S30" s="3739" t="e">
        <f t="shared" si="12"/>
        <v>#N/A</v>
      </c>
      <c r="T30" s="3737" t="s">
        <v>13</v>
      </c>
      <c r="U30" s="3739" t="e">
        <f t="shared" si="13"/>
        <v>#N/A</v>
      </c>
      <c r="V30" s="3737" t="s">
        <v>13</v>
      </c>
      <c r="W30" s="3739" t="e">
        <f t="shared" si="14"/>
        <v>#N/A</v>
      </c>
      <c r="X30" s="484"/>
      <c r="Y30" s="4601"/>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79"/>
      <c r="Q31" s="1507" t="str">
        <f t="shared" si="11"/>
        <v>建筑结构</v>
      </c>
      <c r="R31" s="3736" t="s">
        <v>13</v>
      </c>
      <c r="S31" s="3738">
        <f t="shared" si="12"/>
        <v>100</v>
      </c>
      <c r="T31" s="3736" t="s">
        <v>13</v>
      </c>
      <c r="U31" s="3738">
        <f t="shared" si="13"/>
        <v>100</v>
      </c>
      <c r="V31" s="3736" t="s">
        <v>13</v>
      </c>
      <c r="W31" s="3738">
        <f t="shared" si="14"/>
        <v>100</v>
      </c>
      <c r="X31" s="909"/>
      <c r="Y31" s="4601"/>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79"/>
      <c r="Q32" s="1507" t="str">
        <f t="shared" si="11"/>
        <v>公共部分装修</v>
      </c>
      <c r="R32" s="3736" t="s">
        <v>13</v>
      </c>
      <c r="S32" s="3738">
        <f t="shared" si="12"/>
        <v>100</v>
      </c>
      <c r="T32" s="3736" t="s">
        <v>13</v>
      </c>
      <c r="U32" s="3738">
        <f t="shared" si="13"/>
        <v>100</v>
      </c>
      <c r="V32" s="3736" t="s">
        <v>13</v>
      </c>
      <c r="W32" s="3738">
        <f t="shared" si="14"/>
        <v>100</v>
      </c>
      <c r="X32" s="909"/>
      <c r="Y32" s="4601"/>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79"/>
      <c r="Q33" s="1507" t="str">
        <f t="shared" si="11"/>
        <v>成新度</v>
      </c>
      <c r="R33" s="3736" t="s">
        <v>13</v>
      </c>
      <c r="S33" s="3738" t="e">
        <f t="shared" si="12"/>
        <v>#N/A</v>
      </c>
      <c r="T33" s="3736" t="s">
        <v>13</v>
      </c>
      <c r="U33" s="3738" t="e">
        <f t="shared" si="13"/>
        <v>#N/A</v>
      </c>
      <c r="V33" s="3736" t="s">
        <v>13</v>
      </c>
      <c r="W33" s="3738" t="e">
        <f t="shared" si="14"/>
        <v>#N/A</v>
      </c>
      <c r="X33" s="909"/>
      <c r="Y33" s="4601"/>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79"/>
      <c r="Q34" s="1698" t="str">
        <f t="shared" si="11"/>
        <v>物业管理</v>
      </c>
      <c r="R34" s="3735" t="s">
        <v>13</v>
      </c>
      <c r="S34" s="3518">
        <f t="shared" si="12"/>
        <v>100</v>
      </c>
      <c r="T34" s="3735" t="s">
        <v>13</v>
      </c>
      <c r="U34" s="3518">
        <f t="shared" si="13"/>
        <v>100</v>
      </c>
      <c r="V34" s="3735" t="s">
        <v>13</v>
      </c>
      <c r="W34" s="3518">
        <f t="shared" si="14"/>
        <v>100</v>
      </c>
      <c r="X34" s="482"/>
      <c r="Y34" s="4601"/>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79" t="s">
        <v>1603</v>
      </c>
      <c r="Q35" s="1507" t="str">
        <f t="shared" si="11"/>
        <v>市政基础设施</v>
      </c>
      <c r="R35" s="3736" t="s">
        <v>13</v>
      </c>
      <c r="S35" s="3738">
        <f t="shared" si="12"/>
        <v>100</v>
      </c>
      <c r="T35" s="3736" t="s">
        <v>13</v>
      </c>
      <c r="U35" s="3738">
        <f t="shared" si="13"/>
        <v>100</v>
      </c>
      <c r="V35" s="3736" t="s">
        <v>13</v>
      </c>
      <c r="W35" s="3738">
        <f t="shared" si="14"/>
        <v>100</v>
      </c>
      <c r="X35" s="909"/>
      <c r="Y35" s="4601"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79"/>
      <c r="Q36" s="1507" t="str">
        <f t="shared" si="11"/>
        <v>内部装修</v>
      </c>
      <c r="R36" s="3736" t="s">
        <v>13</v>
      </c>
      <c r="S36" s="3738">
        <f t="shared" si="12"/>
        <v>100</v>
      </c>
      <c r="T36" s="3736" t="s">
        <v>13</v>
      </c>
      <c r="U36" s="3738">
        <f t="shared" si="13"/>
        <v>100</v>
      </c>
      <c r="V36" s="3736" t="s">
        <v>13</v>
      </c>
      <c r="W36" s="3738">
        <f t="shared" si="14"/>
        <v>100</v>
      </c>
      <c r="X36" s="909"/>
      <c r="Y36" s="4601"/>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79"/>
      <c r="Q37" s="1507" t="str">
        <f t="shared" si="11"/>
        <v>内部装修状况</v>
      </c>
      <c r="R37" s="3736" t="s">
        <v>13</v>
      </c>
      <c r="S37" s="3738">
        <f t="shared" si="12"/>
        <v>100</v>
      </c>
      <c r="T37" s="3736" t="s">
        <v>13</v>
      </c>
      <c r="U37" s="3738">
        <f t="shared" si="13"/>
        <v>100</v>
      </c>
      <c r="V37" s="3736" t="s">
        <v>13</v>
      </c>
      <c r="W37" s="3738">
        <f t="shared" si="14"/>
        <v>100</v>
      </c>
      <c r="X37" s="909"/>
      <c r="Y37" s="4601"/>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79"/>
      <c r="Q38" s="2846">
        <f t="shared" si="11"/>
        <v>111</v>
      </c>
      <c r="R38" s="3737" t="s">
        <v>13</v>
      </c>
      <c r="S38" s="3739">
        <f t="shared" si="12"/>
        <v>100</v>
      </c>
      <c r="T38" s="3737" t="s">
        <v>13</v>
      </c>
      <c r="U38" s="3739">
        <f t="shared" si="13"/>
        <v>100</v>
      </c>
      <c r="V38" s="3737" t="s">
        <v>13</v>
      </c>
      <c r="W38" s="3739">
        <f t="shared" si="14"/>
        <v>100</v>
      </c>
      <c r="X38" s="484"/>
      <c r="Y38" s="4601"/>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79"/>
      <c r="Q39" s="1507">
        <f t="shared" si="11"/>
        <v>111</v>
      </c>
      <c r="R39" s="3736" t="s">
        <v>13</v>
      </c>
      <c r="S39" s="3738">
        <f t="shared" si="12"/>
        <v>100</v>
      </c>
      <c r="T39" s="3736" t="s">
        <v>13</v>
      </c>
      <c r="U39" s="3738">
        <f t="shared" si="13"/>
        <v>100</v>
      </c>
      <c r="V39" s="3736" t="s">
        <v>13</v>
      </c>
      <c r="W39" s="3738">
        <f t="shared" si="14"/>
        <v>100</v>
      </c>
      <c r="X39" s="909"/>
      <c r="Y39" s="4601"/>
      <c r="Z39" s="907">
        <f t="shared" si="15"/>
        <v>111</v>
      </c>
      <c r="AA39" s="907">
        <f t="shared" si="3"/>
        <v>1</v>
      </c>
      <c r="AB39" s="907">
        <f t="shared" si="4"/>
        <v>1</v>
      </c>
      <c r="AC39" s="907">
        <f t="shared" si="5"/>
        <v>1</v>
      </c>
    </row>
    <row r="40" spans="1:29" ht="15.75" thickBot="1">
      <c r="A40" s="285"/>
      <c r="B40" s="1361">
        <v>111</v>
      </c>
      <c r="C40" s="261"/>
      <c r="D40" s="2885">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80"/>
      <c r="Q40" s="1507">
        <f t="shared" si="11"/>
        <v>111</v>
      </c>
      <c r="R40" s="3736" t="s">
        <v>13</v>
      </c>
      <c r="S40" s="3738">
        <f t="shared" si="12"/>
        <v>100</v>
      </c>
      <c r="T40" s="3736" t="s">
        <v>13</v>
      </c>
      <c r="U40" s="3738">
        <f t="shared" si="13"/>
        <v>100</v>
      </c>
      <c r="V40" s="3736" t="s">
        <v>13</v>
      </c>
      <c r="W40" s="3738">
        <f t="shared" si="14"/>
        <v>100</v>
      </c>
      <c r="X40" s="909"/>
      <c r="Y40" s="4602"/>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594" t="str">
        <f>A41</f>
        <v>成交单价（元/平方米）</v>
      </c>
      <c r="Q41" s="4594"/>
      <c r="R41" s="4595">
        <f>E41</f>
        <v>0</v>
      </c>
      <c r="S41" s="4595"/>
      <c r="T41" s="4595">
        <f>G41</f>
        <v>0</v>
      </c>
      <c r="U41" s="4595"/>
      <c r="V41" s="4595">
        <f>I41</f>
        <v>0</v>
      </c>
      <c r="W41" s="4595"/>
      <c r="X41" s="265"/>
      <c r="Y41" s="486"/>
      <c r="Z41" s="265"/>
      <c r="AA41" s="265"/>
      <c r="AB41" s="265"/>
      <c r="AC41" s="265"/>
    </row>
    <row r="42" spans="1:29" ht="15.75" thickBot="1">
      <c r="A42" s="289" t="s">
        <v>1700</v>
      </c>
      <c r="B42" s="290"/>
      <c r="C42" s="3709" t="e">
        <f>R43</f>
        <v>#DIV/0!</v>
      </c>
      <c r="D42" s="3822" t="s">
        <v>2040</v>
      </c>
      <c r="E42" s="2867" t="e">
        <f>R42</f>
        <v>#DIV/0!</v>
      </c>
      <c r="F42" s="2783"/>
      <c r="G42" s="2866" t="e">
        <f>T42</f>
        <v>#DIV/0!</v>
      </c>
      <c r="H42" s="2783"/>
      <c r="I42" s="2867" t="e">
        <f>V42</f>
        <v>#DIV/0!</v>
      </c>
      <c r="J42" s="2783"/>
      <c r="K42" s="2837">
        <f>F42+H42+J42</f>
        <v>0</v>
      </c>
      <c r="L42" s="605"/>
      <c r="M42" s="593"/>
      <c r="N42" s="593"/>
      <c r="O42" s="593"/>
      <c r="P42" s="4594" t="str">
        <f>A42</f>
        <v>比较价值（元/平方米）</v>
      </c>
      <c r="Q42" s="4594"/>
      <c r="R42" s="4595" t="e">
        <f>IF(F1="售价",ROUND(PRODUCT(R41,AA7:AA40),0),ROUND(PRODUCT(R41,AA7:AA40),1))</f>
        <v>#DIV/0!</v>
      </c>
      <c r="S42" s="4595"/>
      <c r="T42" s="4595" t="e">
        <f>IF(F1="售价",ROUND(PRODUCT(T41,AB7:AB40),0),ROUND(PRODUCT(T41,AB7:AB40),1))</f>
        <v>#DIV/0!</v>
      </c>
      <c r="U42" s="4595"/>
      <c r="V42" s="4595" t="e">
        <f>IF(F1="售价",ROUND(PRODUCT(V41,AC7:AC40),0),ROUND(PRODUCT(V41,AC7:AC40),1))</f>
        <v>#DIV/0!</v>
      </c>
      <c r="W42" s="4595"/>
      <c r="X42" s="265"/>
      <c r="Y42" s="265"/>
      <c r="Z42" s="265"/>
      <c r="AA42" s="265"/>
      <c r="AB42" s="265"/>
      <c r="AC42" s="265"/>
    </row>
    <row r="43" spans="1:29" ht="15.75" thickBot="1">
      <c r="A43" s="291" t="s">
        <v>1701</v>
      </c>
      <c r="B43" s="292"/>
      <c r="C43" s="3721" t="e">
        <f>R43</f>
        <v>#DIV/0!</v>
      </c>
      <c r="D43" s="241"/>
      <c r="E43" s="241"/>
      <c r="F43" s="241"/>
      <c r="G43" s="241"/>
      <c r="H43" s="241"/>
      <c r="I43" s="241"/>
      <c r="J43" s="241"/>
      <c r="K43" s="487"/>
      <c r="L43" s="605"/>
      <c r="M43" s="593"/>
      <c r="N43" s="593"/>
      <c r="O43" s="593"/>
      <c r="P43" s="4591" t="str">
        <f>A43</f>
        <v>估价对象XX用房的比较价值（楼面单价，元/平方米）</v>
      </c>
      <c r="Q43" s="4592"/>
      <c r="R43" s="4593" t="e">
        <f>IF(F1="售价",ROUND(IF(D42="简单平均",AVERAGE(R42:V42),R42*F42+T42*H42+V42*J42),0),ROUND(IF(D42="简单平均",AVERAGE(R42:V42),R42*F42+T42*H42+V42*J42),1))</f>
        <v>#DIV/0!</v>
      </c>
      <c r="S43" s="4593"/>
      <c r="T43" s="4593"/>
      <c r="U43" s="4593"/>
      <c r="V43" s="4593"/>
      <c r="W43" s="4593"/>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3867</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3213</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3" t="s">
        <v>3468</v>
      </c>
      <c r="H3" s="3824">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653" t="s">
        <v>1677</v>
      </c>
      <c r="D4" s="4654"/>
      <c r="E4" s="4655" t="s">
        <v>1678</v>
      </c>
      <c r="F4" s="4656"/>
      <c r="G4" s="4653" t="s">
        <v>1679</v>
      </c>
      <c r="H4" s="4654"/>
      <c r="I4" s="4653" t="s">
        <v>1680</v>
      </c>
      <c r="J4" s="4654"/>
      <c r="K4" s="393" t="s">
        <v>1681</v>
      </c>
      <c r="L4" s="1973"/>
      <c r="M4" s="1974"/>
      <c r="N4" s="1974"/>
      <c r="O4" s="1974"/>
      <c r="P4" s="4686" t="s">
        <v>1682</v>
      </c>
      <c r="Q4" s="4687"/>
      <c r="R4" s="4635" t="s">
        <v>1678</v>
      </c>
      <c r="S4" s="4636"/>
      <c r="T4" s="4635" t="s">
        <v>1679</v>
      </c>
      <c r="U4" s="4636"/>
      <c r="V4" s="4646" t="s">
        <v>1680</v>
      </c>
      <c r="W4" s="4646"/>
      <c r="X4" s="909"/>
      <c r="Y4" s="4635" t="s">
        <v>1682</v>
      </c>
      <c r="Z4" s="4636"/>
      <c r="AA4" s="4607" t="s">
        <v>1678</v>
      </c>
      <c r="AB4" s="4608" t="s">
        <v>1679</v>
      </c>
      <c r="AC4" s="4607" t="s">
        <v>1680</v>
      </c>
    </row>
    <row r="5" spans="1:29" ht="15">
      <c r="A5" s="238"/>
      <c r="B5" s="239"/>
      <c r="C5" s="4666" t="s">
        <v>1580</v>
      </c>
      <c r="D5" s="4667"/>
      <c r="E5" s="4674" t="s">
        <v>1581</v>
      </c>
      <c r="F5" s="4675"/>
      <c r="G5" s="4666" t="s">
        <v>1582</v>
      </c>
      <c r="H5" s="4667"/>
      <c r="I5" s="4666" t="s">
        <v>1583</v>
      </c>
      <c r="J5" s="4667"/>
      <c r="K5" s="393"/>
      <c r="L5" s="1973"/>
      <c r="M5" s="1974"/>
      <c r="N5" s="1974"/>
      <c r="O5" s="1974"/>
      <c r="P5" s="4688"/>
      <c r="Q5" s="4689"/>
      <c r="R5" s="4637"/>
      <c r="S5" s="4638"/>
      <c r="T5" s="4637"/>
      <c r="U5" s="4638"/>
      <c r="V5" s="4646"/>
      <c r="W5" s="4646"/>
      <c r="X5" s="909"/>
      <c r="Y5" s="4637"/>
      <c r="Z5" s="4638"/>
      <c r="AA5" s="4608"/>
      <c r="AB5" s="4608"/>
      <c r="AC5" s="4608"/>
    </row>
    <row r="6" spans="1:29" ht="15.75" thickBot="1">
      <c r="A6" s="240"/>
      <c r="B6" s="241"/>
      <c r="C6" s="4664" t="s">
        <v>1584</v>
      </c>
      <c r="D6" s="4665"/>
      <c r="E6" s="4671" t="s">
        <v>1584</v>
      </c>
      <c r="F6" s="4672"/>
      <c r="G6" s="4664" t="s">
        <v>1584</v>
      </c>
      <c r="H6" s="4665"/>
      <c r="I6" s="4664" t="s">
        <v>1584</v>
      </c>
      <c r="J6" s="4665"/>
      <c r="K6" s="393" t="s">
        <v>1585</v>
      </c>
      <c r="L6" s="1973"/>
      <c r="M6" s="1974"/>
      <c r="N6" s="1974"/>
      <c r="O6" s="1974"/>
      <c r="P6" s="4690"/>
      <c r="Q6" s="4691"/>
      <c r="R6" s="4637"/>
      <c r="S6" s="4638"/>
      <c r="T6" s="4639"/>
      <c r="U6" s="4640"/>
      <c r="V6" s="4646"/>
      <c r="W6" s="4646"/>
      <c r="X6" s="909"/>
      <c r="Y6" s="4639"/>
      <c r="Z6" s="4640"/>
      <c r="AA6" s="4609"/>
      <c r="AB6" s="4609"/>
      <c r="AC6" s="4609"/>
    </row>
    <row r="7" spans="1:29" s="46" customFormat="1" ht="15.75" thickBot="1">
      <c r="A7" s="242" t="s">
        <v>1586</v>
      </c>
      <c r="B7" s="243"/>
      <c r="C7" s="244">
        <f>'数据-取费表'!B2</f>
        <v>46126</v>
      </c>
      <c r="D7" s="2880">
        <v>100</v>
      </c>
      <c r="E7" s="245"/>
      <c r="F7" s="3723">
        <f>SUMIF(48:48,YEAR(E7)&amp;"-"&amp;MONTH(E7),49:49)</f>
        <v>0</v>
      </c>
      <c r="G7" s="245"/>
      <c r="H7" s="3729">
        <f>SUMIF(48:48,YEAR(G7)&amp;"-"&amp;MONTH(G7),49:49)</f>
        <v>0</v>
      </c>
      <c r="I7" s="245"/>
      <c r="J7" s="3729">
        <f>SUMIF(48:48,YEAR(I7)&amp;"-"&amp;MONTH(I7),49:49)</f>
        <v>0</v>
      </c>
      <c r="K7" s="22"/>
      <c r="L7" s="1975"/>
      <c r="M7" s="1928"/>
      <c r="N7" s="1928"/>
      <c r="O7" s="1928"/>
      <c r="P7" s="4633" t="s">
        <v>1587</v>
      </c>
      <c r="Q7" s="4692"/>
      <c r="R7" s="3742" t="s">
        <v>13</v>
      </c>
      <c r="S7" s="3745">
        <f t="shared" ref="S7:S14" si="0">F7</f>
        <v>0</v>
      </c>
      <c r="T7" s="3742" t="s">
        <v>13</v>
      </c>
      <c r="U7" s="3745">
        <f t="shared" ref="U7:U14" si="1">H7</f>
        <v>0</v>
      </c>
      <c r="V7" s="3742" t="s">
        <v>13</v>
      </c>
      <c r="W7" s="3745">
        <f t="shared" ref="W7:W14" si="2">J7</f>
        <v>0</v>
      </c>
      <c r="X7" s="482"/>
      <c r="Y7" s="4633" t="s">
        <v>1587</v>
      </c>
      <c r="Z7" s="4634"/>
      <c r="AA7" s="28" t="e">
        <f>D7/F7</f>
        <v>#DIV/0!</v>
      </c>
      <c r="AB7" s="28" t="e">
        <f>D7/H7</f>
        <v>#DIV/0!</v>
      </c>
      <c r="AC7" s="28" t="e">
        <f>D7/J7</f>
        <v>#DIV/0!</v>
      </c>
    </row>
    <row r="8" spans="1:29" s="46" customFormat="1" ht="15.75" thickBot="1">
      <c r="A8" s="242" t="s">
        <v>1588</v>
      </c>
      <c r="B8" s="243"/>
      <c r="C8" s="246"/>
      <c r="D8" s="2880">
        <v>100</v>
      </c>
      <c r="E8" s="246"/>
      <c r="F8" s="3723">
        <f>SUMIF(51:51,E8,52:52)-SUMIF(51:51,C8,52:52)+100</f>
        <v>100</v>
      </c>
      <c r="G8" s="246"/>
      <c r="H8" s="3729">
        <f>SUMIF(51:51,G8,52:52)-SUMIF(51:51,C8,52:52)+100</f>
        <v>100</v>
      </c>
      <c r="I8" s="246"/>
      <c r="J8" s="3729">
        <f>SUMIF(51:51,I8,52:52)-SUMIF(51:51,C8,52:52)+100</f>
        <v>100</v>
      </c>
      <c r="K8" s="22"/>
      <c r="L8" s="1975"/>
      <c r="M8" s="1928"/>
      <c r="N8" s="1928"/>
      <c r="O8" s="1928"/>
      <c r="P8" s="4633" t="s">
        <v>1590</v>
      </c>
      <c r="Q8" s="4634"/>
      <c r="R8" s="3742" t="s">
        <v>13</v>
      </c>
      <c r="S8" s="3745">
        <f t="shared" si="0"/>
        <v>100</v>
      </c>
      <c r="T8" s="3742" t="s">
        <v>13</v>
      </c>
      <c r="U8" s="3745">
        <f t="shared" si="1"/>
        <v>100</v>
      </c>
      <c r="V8" s="3742" t="s">
        <v>13</v>
      </c>
      <c r="W8" s="3745">
        <f t="shared" si="2"/>
        <v>100</v>
      </c>
      <c r="X8" s="482"/>
      <c r="Y8" s="4633" t="s">
        <v>1590</v>
      </c>
      <c r="Z8" s="4634"/>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81" t="s">
        <v>1593</v>
      </c>
      <c r="Q9" s="389" t="str">
        <f t="shared" ref="Q9:Q14" si="6">B9</f>
        <v>用途</v>
      </c>
      <c r="R9" s="3742" t="s">
        <v>13</v>
      </c>
      <c r="S9" s="3745">
        <f t="shared" si="0"/>
        <v>100</v>
      </c>
      <c r="T9" s="3742" t="s">
        <v>13</v>
      </c>
      <c r="U9" s="3745">
        <f t="shared" si="1"/>
        <v>100</v>
      </c>
      <c r="V9" s="3742" t="s">
        <v>13</v>
      </c>
      <c r="W9" s="3745">
        <f t="shared" si="2"/>
        <v>100</v>
      </c>
      <c r="X9" s="482"/>
      <c r="Y9" s="4606"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81"/>
      <c r="Q10" s="389" t="str">
        <f t="shared" si="6"/>
        <v>土地使用年限（年）</v>
      </c>
      <c r="R10" s="3742" t="s">
        <v>13</v>
      </c>
      <c r="S10" s="3745">
        <f t="shared" si="0"/>
        <v>100</v>
      </c>
      <c r="T10" s="3742" t="s">
        <v>13</v>
      </c>
      <c r="U10" s="3745">
        <f t="shared" si="1"/>
        <v>100</v>
      </c>
      <c r="V10" s="3742" t="s">
        <v>13</v>
      </c>
      <c r="W10" s="3745">
        <f t="shared" si="2"/>
        <v>100</v>
      </c>
      <c r="X10" s="482"/>
      <c r="Y10" s="4606"/>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81"/>
      <c r="Q11" s="389">
        <f t="shared" si="6"/>
        <v>111</v>
      </c>
      <c r="R11" s="3742" t="s">
        <v>13</v>
      </c>
      <c r="S11" s="3745">
        <f t="shared" si="0"/>
        <v>100</v>
      </c>
      <c r="T11" s="3742" t="s">
        <v>13</v>
      </c>
      <c r="U11" s="3745">
        <f t="shared" si="1"/>
        <v>100</v>
      </c>
      <c r="V11" s="3742" t="s">
        <v>13</v>
      </c>
      <c r="W11" s="3745">
        <f t="shared" si="2"/>
        <v>100</v>
      </c>
      <c r="X11" s="482"/>
      <c r="Y11" s="4606"/>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81"/>
      <c r="Q12" s="389">
        <f t="shared" si="6"/>
        <v>111</v>
      </c>
      <c r="R12" s="3742" t="s">
        <v>13</v>
      </c>
      <c r="S12" s="3745">
        <f t="shared" si="0"/>
        <v>100</v>
      </c>
      <c r="T12" s="3742" t="s">
        <v>13</v>
      </c>
      <c r="U12" s="3745">
        <f t="shared" si="1"/>
        <v>100</v>
      </c>
      <c r="V12" s="3742" t="s">
        <v>13</v>
      </c>
      <c r="W12" s="3745">
        <f t="shared" si="2"/>
        <v>100</v>
      </c>
      <c r="X12" s="482"/>
      <c r="Y12" s="4606"/>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7">
        <f>SUMIF(61:61,G13,62:62)-SUMIF(61:61,C13,62:62)+100</f>
        <v>100</v>
      </c>
      <c r="I13" s="258"/>
      <c r="J13" s="3727">
        <f>SUMIF(61:61,I13,62:62)-SUMIF(61:61,C13,62:62)+100</f>
        <v>100</v>
      </c>
      <c r="K13" s="395"/>
      <c r="L13" s="1979"/>
      <c r="M13" s="1974"/>
      <c r="N13" s="1974"/>
      <c r="O13" s="1974"/>
      <c r="P13" s="4681"/>
      <c r="Q13" s="389">
        <f t="shared" si="6"/>
        <v>111</v>
      </c>
      <c r="R13" s="3742" t="s">
        <v>13</v>
      </c>
      <c r="S13" s="3745">
        <f t="shared" si="0"/>
        <v>100</v>
      </c>
      <c r="T13" s="3742" t="s">
        <v>13</v>
      </c>
      <c r="U13" s="3745">
        <f t="shared" si="1"/>
        <v>100</v>
      </c>
      <c r="V13" s="3742" t="s">
        <v>13</v>
      </c>
      <c r="W13" s="3745">
        <f t="shared" si="2"/>
        <v>100</v>
      </c>
      <c r="X13" s="482"/>
      <c r="Y13" s="4606"/>
      <c r="Z13" s="28">
        <f t="shared" si="7"/>
        <v>111</v>
      </c>
      <c r="AA13" s="28">
        <f t="shared" si="3"/>
        <v>1</v>
      </c>
      <c r="AB13" s="28">
        <f t="shared" si="4"/>
        <v>1</v>
      </c>
      <c r="AC13" s="28">
        <f t="shared" si="5"/>
        <v>1</v>
      </c>
    </row>
    <row r="14" spans="1:29" ht="156.75">
      <c r="A14" s="235" t="s">
        <v>1597</v>
      </c>
      <c r="B14" s="403"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SUMIF(63:63,E15,64:64)-SUMIF(63:63,C15,64:64)+100</f>
        <v>100</v>
      </c>
      <c r="G14" s="264"/>
      <c r="H14" s="3725">
        <f>SUMIF(63:63,G15,64:64)-SUMIF(63:63,C15,64:64)+100</f>
        <v>100</v>
      </c>
      <c r="I14" s="263"/>
      <c r="J14" s="3725">
        <f>SUMIF(63:63,I15,64:64)-SUMIF(63:63,C15,64:64)+100</f>
        <v>100</v>
      </c>
      <c r="K14" s="396"/>
      <c r="L14" s="1979"/>
      <c r="M14" s="1974"/>
      <c r="N14" s="1974"/>
      <c r="O14" s="1974"/>
      <c r="P14" s="4596" t="s">
        <v>1598</v>
      </c>
      <c r="Q14" s="906" t="str">
        <f t="shared" si="6"/>
        <v>交通便捷度</v>
      </c>
      <c r="R14" s="3743" t="s">
        <v>13</v>
      </c>
      <c r="S14" s="3746">
        <f t="shared" si="0"/>
        <v>100</v>
      </c>
      <c r="T14" s="3743" t="s">
        <v>13</v>
      </c>
      <c r="U14" s="3746">
        <f t="shared" si="1"/>
        <v>100</v>
      </c>
      <c r="V14" s="3743" t="s">
        <v>13</v>
      </c>
      <c r="W14" s="3746">
        <f t="shared" si="2"/>
        <v>100</v>
      </c>
      <c r="X14" s="909"/>
      <c r="Y14" s="4596" t="s">
        <v>1598</v>
      </c>
      <c r="Z14" s="907" t="str">
        <f t="shared" si="7"/>
        <v>交通便捷度</v>
      </c>
      <c r="AA14" s="907">
        <f t="shared" si="3"/>
        <v>1</v>
      </c>
      <c r="AB14" s="907">
        <f t="shared" si="4"/>
        <v>1</v>
      </c>
      <c r="AC14" s="907">
        <f t="shared" si="5"/>
        <v>1</v>
      </c>
    </row>
    <row r="15" spans="1:29" ht="15">
      <c r="A15" s="238"/>
      <c r="B15" s="419"/>
      <c r="C15" s="266"/>
      <c r="D15" s="2887"/>
      <c r="E15" s="266"/>
      <c r="F15" s="3732"/>
      <c r="G15" s="266"/>
      <c r="H15" s="268"/>
      <c r="I15" s="266"/>
      <c r="J15" s="267"/>
      <c r="K15" s="397"/>
      <c r="L15" s="1979"/>
      <c r="M15" s="1974"/>
      <c r="N15" s="1974"/>
      <c r="O15" s="1974"/>
      <c r="P15" s="4597"/>
      <c r="Q15" s="906"/>
      <c r="R15" s="3743"/>
      <c r="S15" s="3746"/>
      <c r="T15" s="3743"/>
      <c r="U15" s="3746"/>
      <c r="V15" s="3743"/>
      <c r="W15" s="3746"/>
      <c r="X15" s="909"/>
      <c r="Y15" s="4597"/>
      <c r="Z15" s="907"/>
      <c r="AA15" s="907">
        <v>1</v>
      </c>
      <c r="AB15" s="907">
        <v>1</v>
      </c>
      <c r="AC15" s="907">
        <v>1</v>
      </c>
    </row>
    <row r="16" spans="1:29" ht="256.5">
      <c r="A16" s="238"/>
      <c r="B16" s="405"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SUMIF(65:65,E17,66:66)-SUMIF(65:65,C17,66:66)+100</f>
        <v>100</v>
      </c>
      <c r="G16" s="274"/>
      <c r="H16" s="3726">
        <f>SUMIF(65:65,G17,66:66)-SUMIF(65:65,C17,66:66)+100</f>
        <v>100</v>
      </c>
      <c r="I16" s="273"/>
      <c r="J16" s="3726">
        <f>SUMIF(65:65,I17,66:66)-SUMIF(65:65,C17,66:66)+100</f>
        <v>100</v>
      </c>
      <c r="K16" s="396"/>
      <c r="L16" s="1979"/>
      <c r="M16" s="1974"/>
      <c r="N16" s="1974"/>
      <c r="O16" s="1974"/>
      <c r="P16" s="4597"/>
      <c r="Q16" s="906" t="str">
        <f>B16</f>
        <v>公共配套设施</v>
      </c>
      <c r="R16" s="3743" t="s">
        <v>13</v>
      </c>
      <c r="S16" s="3746">
        <f>F16</f>
        <v>100</v>
      </c>
      <c r="T16" s="3743" t="s">
        <v>13</v>
      </c>
      <c r="U16" s="3746">
        <f>H16</f>
        <v>100</v>
      </c>
      <c r="V16" s="3743" t="s">
        <v>13</v>
      </c>
      <c r="W16" s="3746">
        <f>J16</f>
        <v>100</v>
      </c>
      <c r="X16" s="909"/>
      <c r="Y16" s="4597"/>
      <c r="Z16" s="907" t="str">
        <f>Q16</f>
        <v>公共配套设施</v>
      </c>
      <c r="AA16" s="907">
        <f t="shared" si="3"/>
        <v>1</v>
      </c>
      <c r="AB16" s="907">
        <f t="shared" si="4"/>
        <v>1</v>
      </c>
      <c r="AC16" s="907">
        <f t="shared" si="5"/>
        <v>1</v>
      </c>
    </row>
    <row r="17" spans="1:29" ht="15">
      <c r="A17" s="238"/>
      <c r="B17" s="406"/>
      <c r="C17" s="1365"/>
      <c r="D17" s="2887"/>
      <c r="E17" s="266"/>
      <c r="F17" s="3732"/>
      <c r="G17" s="266"/>
      <c r="H17" s="267"/>
      <c r="I17" s="266"/>
      <c r="J17" s="267"/>
      <c r="K17" s="397"/>
      <c r="L17" s="1979"/>
      <c r="M17" s="1974"/>
      <c r="N17" s="1974"/>
      <c r="O17" s="1974"/>
      <c r="P17" s="4597"/>
      <c r="Q17" s="906"/>
      <c r="R17" s="3743"/>
      <c r="S17" s="3746"/>
      <c r="T17" s="3743"/>
      <c r="U17" s="3746"/>
      <c r="V17" s="3743"/>
      <c r="W17" s="3746"/>
      <c r="X17" s="909"/>
      <c r="Y17" s="4597"/>
      <c r="Z17" s="907"/>
      <c r="AA17" s="907">
        <v>1</v>
      </c>
      <c r="AB17" s="907">
        <v>1</v>
      </c>
      <c r="AC17" s="907">
        <v>1</v>
      </c>
    </row>
    <row r="18" spans="1:29" ht="15">
      <c r="A18" s="238"/>
      <c r="B18" s="407" t="s">
        <v>1720</v>
      </c>
      <c r="C18" s="1364" t="str">
        <f>IF(B1="工业",估价对象房地状况!G6,估价对象房地状况!C8)</f>
        <v>七通</v>
      </c>
      <c r="D18" s="2888">
        <v>100</v>
      </c>
      <c r="E18" s="270"/>
      <c r="F18" s="3734">
        <f>SUMIF(67:67,E19,68:68)-SUMIF(67:67,C19,68:68)+100</f>
        <v>100</v>
      </c>
      <c r="G18" s="271"/>
      <c r="H18" s="3726">
        <f>SUMIF(67:67,G19,68:68)-SUMIF(67:67,C19,68:68)+100</f>
        <v>100</v>
      </c>
      <c r="I18" s="270"/>
      <c r="J18" s="3726">
        <f>SUMIF(67:67,I19,68:68)-SUMIF(67:67,C19,68:68)+100</f>
        <v>100</v>
      </c>
      <c r="K18" s="396"/>
      <c r="L18" s="1979"/>
      <c r="M18" s="1974"/>
      <c r="N18" s="1974"/>
      <c r="O18" s="1974"/>
      <c r="P18" s="4597"/>
      <c r="Q18" s="906" t="str">
        <f>B18</f>
        <v>基础设施水平</v>
      </c>
      <c r="R18" s="3743" t="s">
        <v>13</v>
      </c>
      <c r="S18" s="3746">
        <f>F18</f>
        <v>100</v>
      </c>
      <c r="T18" s="3743" t="s">
        <v>13</v>
      </c>
      <c r="U18" s="3746">
        <f>H18</f>
        <v>100</v>
      </c>
      <c r="V18" s="3743" t="s">
        <v>13</v>
      </c>
      <c r="W18" s="3746">
        <f>J18</f>
        <v>100</v>
      </c>
      <c r="X18" s="909"/>
      <c r="Y18" s="4597"/>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3"/>
      <c r="G19" s="1365"/>
      <c r="H19" s="267"/>
      <c r="I19" s="266"/>
      <c r="J19" s="267"/>
      <c r="K19" s="758"/>
      <c r="L19" s="1979"/>
      <c r="M19" s="1974"/>
      <c r="N19" s="1974"/>
      <c r="O19" s="1974"/>
      <c r="P19" s="4597"/>
      <c r="Q19" s="906"/>
      <c r="R19" s="3743"/>
      <c r="S19" s="3746"/>
      <c r="T19" s="3743"/>
      <c r="U19" s="3746"/>
      <c r="V19" s="3743"/>
      <c r="W19" s="3746"/>
      <c r="X19" s="909"/>
      <c r="Y19" s="4597"/>
      <c r="Z19" s="907"/>
      <c r="AA19" s="907">
        <v>1</v>
      </c>
      <c r="AB19" s="907">
        <v>1</v>
      </c>
      <c r="AC19" s="907">
        <v>1</v>
      </c>
    </row>
    <row r="20" spans="1:29" ht="142.5">
      <c r="A20" s="238"/>
      <c r="B20" s="405"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SUMIF(69:69,E21,70:70)-SUMIF(69:69,C21,70:70)+100</f>
        <v>100</v>
      </c>
      <c r="G20" s="274"/>
      <c r="H20" s="268">
        <f>SUMIF(69:69,G21,70:70)-SUMIF(69:69,C21,70:70)+100</f>
        <v>100</v>
      </c>
      <c r="I20" s="270"/>
      <c r="J20" s="268">
        <f>SUMIF(69:69,I21,70:70)-SUMIF(69:69,C21,70:70)+100</f>
        <v>100</v>
      </c>
      <c r="K20" s="396"/>
      <c r="L20" s="1979"/>
      <c r="M20" s="1974"/>
      <c r="N20" s="1974"/>
      <c r="O20" s="1974"/>
      <c r="P20" s="4597"/>
      <c r="Q20" s="906" t="str">
        <f>B20</f>
        <v>自然及人文环境</v>
      </c>
      <c r="R20" s="3743" t="s">
        <v>13</v>
      </c>
      <c r="S20" s="3746">
        <f>F20</f>
        <v>100</v>
      </c>
      <c r="T20" s="3743" t="s">
        <v>13</v>
      </c>
      <c r="U20" s="3746">
        <f>H20</f>
        <v>100</v>
      </c>
      <c r="V20" s="3743" t="s">
        <v>13</v>
      </c>
      <c r="W20" s="3746">
        <f>J20</f>
        <v>100</v>
      </c>
      <c r="X20" s="909"/>
      <c r="Y20" s="4597"/>
      <c r="Z20" s="907" t="str">
        <f>Q20</f>
        <v>自然及人文环境</v>
      </c>
      <c r="AA20" s="907">
        <f t="shared" si="3"/>
        <v>1</v>
      </c>
      <c r="AB20" s="907">
        <f t="shared" si="4"/>
        <v>1</v>
      </c>
      <c r="AC20" s="907">
        <f t="shared" si="5"/>
        <v>1</v>
      </c>
    </row>
    <row r="21" spans="1:29" ht="15">
      <c r="A21" s="238"/>
      <c r="B21" s="406"/>
      <c r="C21" s="266"/>
      <c r="D21" s="2887"/>
      <c r="E21" s="266"/>
      <c r="F21" s="3732"/>
      <c r="G21" s="266"/>
      <c r="H21" s="267"/>
      <c r="I21" s="266"/>
      <c r="J21" s="267"/>
      <c r="K21" s="397"/>
      <c r="L21" s="1979"/>
      <c r="M21" s="1974"/>
      <c r="N21" s="1974"/>
      <c r="O21" s="1974"/>
      <c r="P21" s="4597"/>
      <c r="Q21" s="906"/>
      <c r="R21" s="3743"/>
      <c r="S21" s="3746"/>
      <c r="T21" s="3743"/>
      <c r="U21" s="3746"/>
      <c r="V21" s="3743"/>
      <c r="W21" s="3746"/>
      <c r="X21" s="909"/>
      <c r="Y21" s="4597"/>
      <c r="Z21" s="907"/>
      <c r="AA21" s="907">
        <v>1</v>
      </c>
      <c r="AB21" s="907">
        <v>1</v>
      </c>
      <c r="AC21" s="907">
        <v>1</v>
      </c>
    </row>
    <row r="22" spans="1:29" ht="15">
      <c r="A22" s="238"/>
      <c r="B22" s="405" t="s">
        <v>1742</v>
      </c>
      <c r="C22" s="398"/>
      <c r="D22" s="2888">
        <v>100</v>
      </c>
      <c r="E22" s="398"/>
      <c r="F22" s="908">
        <f>SUMIF(71:71,E22,72:72)-SUMIF(71:71,C22,72:72)+100</f>
        <v>100</v>
      </c>
      <c r="G22" s="398"/>
      <c r="H22" s="3727">
        <f>SUMIF(71:71,G22,72:72)-SUMIF(71:71,C22,72:72)+100</f>
        <v>100</v>
      </c>
      <c r="I22" s="398"/>
      <c r="J22" s="3727">
        <f>SUMIF(71:71,I22,72:72)-SUMIF(71:71,C22,72:72)+100</f>
        <v>100</v>
      </c>
      <c r="K22" s="394"/>
      <c r="L22" s="1979"/>
      <c r="M22" s="1974"/>
      <c r="N22" s="1974"/>
      <c r="O22" s="1974"/>
      <c r="P22" s="4597"/>
      <c r="Q22" s="906" t="str">
        <f>B22</f>
        <v>楼层</v>
      </c>
      <c r="R22" s="3743" t="s">
        <v>13</v>
      </c>
      <c r="S22" s="3746">
        <f>F22</f>
        <v>100</v>
      </c>
      <c r="T22" s="3743" t="s">
        <v>13</v>
      </c>
      <c r="U22" s="3746">
        <f>H22</f>
        <v>100</v>
      </c>
      <c r="V22" s="3743" t="s">
        <v>13</v>
      </c>
      <c r="W22" s="3746">
        <f>J22</f>
        <v>100</v>
      </c>
      <c r="X22" s="909"/>
      <c r="Y22" s="4597"/>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7">
        <f>SUMIF(73:73,G23,74:74)-SUMIF(73:73,C23,74:74)+100</f>
        <v>100</v>
      </c>
      <c r="I23" s="258"/>
      <c r="J23" s="3727">
        <f>SUMIF(73:73,I23,74:74)-SUMIF(73:73,C23,74:74)+100</f>
        <v>100</v>
      </c>
      <c r="K23" s="395"/>
      <c r="L23" s="1979"/>
      <c r="M23" s="1974"/>
      <c r="N23" s="1974"/>
      <c r="O23" s="1974"/>
      <c r="P23" s="4597"/>
      <c r="Q23" s="906">
        <f>B23</f>
        <v>111</v>
      </c>
      <c r="R23" s="3743" t="s">
        <v>13</v>
      </c>
      <c r="S23" s="3746">
        <f>F23</f>
        <v>100</v>
      </c>
      <c r="T23" s="3743" t="s">
        <v>13</v>
      </c>
      <c r="U23" s="3746">
        <f>H23</f>
        <v>100</v>
      </c>
      <c r="V23" s="3743" t="s">
        <v>13</v>
      </c>
      <c r="W23" s="3746">
        <f>J23</f>
        <v>100</v>
      </c>
      <c r="X23" s="909"/>
      <c r="Y23" s="4597"/>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7">
        <f>SUMIF(75:75,G24,76:76)-SUMIF(75:75,C24,76:76)+100</f>
        <v>100</v>
      </c>
      <c r="I24" s="258"/>
      <c r="J24" s="3727">
        <f>SUMIF(75:75,I24,76:76)-SUMIF(75:75,C24,76:76)+100</f>
        <v>100</v>
      </c>
      <c r="K24" s="395"/>
      <c r="L24" s="1979"/>
      <c r="M24" s="1974"/>
      <c r="N24" s="1974"/>
      <c r="O24" s="1974"/>
      <c r="P24" s="4597"/>
      <c r="Q24" s="906">
        <f t="shared" ref="Q24:Q36" si="11">B24</f>
        <v>111</v>
      </c>
      <c r="R24" s="3743" t="s">
        <v>13</v>
      </c>
      <c r="S24" s="3746">
        <f>F24</f>
        <v>100</v>
      </c>
      <c r="T24" s="3743" t="s">
        <v>13</v>
      </c>
      <c r="U24" s="3746">
        <f>H24</f>
        <v>100</v>
      </c>
      <c r="V24" s="3743" t="s">
        <v>13</v>
      </c>
      <c r="W24" s="3746">
        <f>J24</f>
        <v>100</v>
      </c>
      <c r="X24" s="909"/>
      <c r="Y24" s="4597"/>
      <c r="Z24" s="907">
        <f>Q24</f>
        <v>111</v>
      </c>
      <c r="AA24" s="907">
        <f t="shared" si="3"/>
        <v>1</v>
      </c>
      <c r="AB24" s="907">
        <f t="shared" si="4"/>
        <v>1</v>
      </c>
      <c r="AC24" s="907">
        <f t="shared" si="5"/>
        <v>1</v>
      </c>
    </row>
    <row r="25" spans="1:29" s="46" customFormat="1" ht="15.75" thickBot="1">
      <c r="A25" s="306"/>
      <c r="B25" s="409">
        <v>111</v>
      </c>
      <c r="C25" s="261"/>
      <c r="D25" s="2892">
        <v>100</v>
      </c>
      <c r="E25" s="402"/>
      <c r="F25" s="3740">
        <f>SUMIF(77:77,E25,78:78)-SUMIF(77:77,C25,78:78)+100</f>
        <v>100</v>
      </c>
      <c r="G25" s="402"/>
      <c r="H25" s="3741">
        <f>SUMIF(77:77,G25,78:78)-SUMIF(77:77,C25,78:78)+100</f>
        <v>100</v>
      </c>
      <c r="I25" s="402"/>
      <c r="J25" s="3741">
        <f>SUMIF(77:77,I25,78:78)-SUMIF(77:77,C25,78:78)+100</f>
        <v>100</v>
      </c>
      <c r="K25" s="395"/>
      <c r="L25" s="1975"/>
      <c r="M25" s="1928"/>
      <c r="N25" s="1928"/>
      <c r="O25" s="1928"/>
      <c r="P25" s="4597"/>
      <c r="Q25" s="389">
        <f t="shared" si="11"/>
        <v>111</v>
      </c>
      <c r="R25" s="3742" t="s">
        <v>13</v>
      </c>
      <c r="S25" s="3745">
        <f>F25</f>
        <v>100</v>
      </c>
      <c r="T25" s="3742" t="s">
        <v>13</v>
      </c>
      <c r="U25" s="3745">
        <f>H25</f>
        <v>100</v>
      </c>
      <c r="V25" s="3742" t="s">
        <v>13</v>
      </c>
      <c r="W25" s="3745">
        <f>J25</f>
        <v>100</v>
      </c>
      <c r="X25" s="482"/>
      <c r="Y25" s="4597"/>
      <c r="Z25" s="28">
        <f>Q25</f>
        <v>111</v>
      </c>
      <c r="AA25" s="907">
        <f>D25/F25</f>
        <v>1</v>
      </c>
      <c r="AB25" s="907">
        <f>D25/H25</f>
        <v>1</v>
      </c>
      <c r="AC25" s="907">
        <f>D25/J25</f>
        <v>1</v>
      </c>
    </row>
    <row r="26" spans="1:29" ht="28.5">
      <c r="A26" s="420" t="s">
        <v>1601</v>
      </c>
      <c r="B26" s="33" t="s">
        <v>1743</v>
      </c>
      <c r="C26" s="1425" t="str">
        <f>B1</f>
        <v>车库</v>
      </c>
      <c r="D26" s="2887">
        <v>100</v>
      </c>
      <c r="E26" s="266"/>
      <c r="F26" s="3732">
        <f>SUMIF(79:79,E26,80:80)-SUMIF(79:79,C26,80:80)+100</f>
        <v>0</v>
      </c>
      <c r="G26" s="266"/>
      <c r="H26" s="267">
        <f>SUMIF(79:79,G26,80:80)-SUMIF(79:79,C26,80:80)+100</f>
        <v>0</v>
      </c>
      <c r="I26" s="266"/>
      <c r="J26" s="267">
        <f>SUMIF(79:79,I26,80:80)-SUMIF(79:79,C26,80:80)+100</f>
        <v>0</v>
      </c>
      <c r="K26" s="394"/>
      <c r="L26" s="1979"/>
      <c r="M26" s="1974"/>
      <c r="N26" s="1974"/>
      <c r="O26" s="1974"/>
      <c r="P26" s="4685" t="s">
        <v>1603</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601"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7">
        <f>SUMIF(81:81,G27,82:82)-SUMIF(81:81,C27,82:82)+100</f>
        <v>100</v>
      </c>
      <c r="I27" s="423"/>
      <c r="J27" s="3727">
        <f>SUMIF(81:81,I27,82:82)-SUMIF(81:81,C27,82:82)+100</f>
        <v>100</v>
      </c>
      <c r="K27" s="395"/>
      <c r="L27" s="1978"/>
      <c r="M27" s="1980"/>
      <c r="N27" s="1980"/>
      <c r="O27" s="1980"/>
      <c r="P27" s="4601"/>
      <c r="Q27" s="483" t="str">
        <f t="shared" si="11"/>
        <v>项目停车位配比</v>
      </c>
      <c r="R27" s="3744" t="s">
        <v>13</v>
      </c>
      <c r="S27" s="3747">
        <f t="shared" si="12"/>
        <v>100</v>
      </c>
      <c r="T27" s="3744" t="s">
        <v>13</v>
      </c>
      <c r="U27" s="3747">
        <f t="shared" si="13"/>
        <v>100</v>
      </c>
      <c r="V27" s="3744" t="s">
        <v>13</v>
      </c>
      <c r="W27" s="3747">
        <f t="shared" si="14"/>
        <v>100</v>
      </c>
      <c r="X27" s="484"/>
      <c r="Y27" s="4601"/>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7">
        <f>SUMIF(83:83,G28,84:84)-SUMIF(83:83,C28,84:84)+100</f>
        <v>100</v>
      </c>
      <c r="I28" s="275"/>
      <c r="J28" s="3727">
        <f>SUMIF(83:83,I28,84:84)-SUMIF(83:83,C28,84:84)+100</f>
        <v>100</v>
      </c>
      <c r="K28" s="394"/>
      <c r="L28" s="1979"/>
      <c r="M28" s="1974"/>
      <c r="N28" s="1974"/>
      <c r="O28" s="1974"/>
      <c r="P28" s="4601"/>
      <c r="Q28" s="906" t="str">
        <f t="shared" si="11"/>
        <v>公共部分装修</v>
      </c>
      <c r="R28" s="3743" t="s">
        <v>13</v>
      </c>
      <c r="S28" s="3746">
        <f t="shared" si="12"/>
        <v>100</v>
      </c>
      <c r="T28" s="3743" t="s">
        <v>13</v>
      </c>
      <c r="U28" s="3746">
        <f t="shared" si="13"/>
        <v>100</v>
      </c>
      <c r="V28" s="3743" t="s">
        <v>13</v>
      </c>
      <c r="W28" s="3746">
        <f t="shared" si="14"/>
        <v>100</v>
      </c>
      <c r="X28" s="909"/>
      <c r="Y28" s="4601"/>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7" t="e">
        <f>LOOKUP(I29,86:86,87:87)-LOOKUP(C29,86:86,87:87)+100</f>
        <v>#N/A</v>
      </c>
      <c r="K29" s="394"/>
      <c r="L29" s="1979"/>
      <c r="M29" s="1974"/>
      <c r="N29" s="1974"/>
      <c r="O29" s="1974"/>
      <c r="P29" s="4601"/>
      <c r="Q29" s="906" t="str">
        <f t="shared" si="11"/>
        <v>成新率</v>
      </c>
      <c r="R29" s="3743" t="s">
        <v>13</v>
      </c>
      <c r="S29" s="3746" t="e">
        <f t="shared" si="12"/>
        <v>#N/A</v>
      </c>
      <c r="T29" s="3743" t="s">
        <v>13</v>
      </c>
      <c r="U29" s="3746" t="e">
        <f t="shared" si="13"/>
        <v>#N/A</v>
      </c>
      <c r="V29" s="3743" t="s">
        <v>13</v>
      </c>
      <c r="W29" s="3746" t="e">
        <f t="shared" si="14"/>
        <v>#N/A</v>
      </c>
      <c r="X29" s="909"/>
      <c r="Y29" s="4601"/>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7">
        <f>SUMIF(88:88,E30,89:89)-SUMIF(88:88,C30,89:89)+100</f>
        <v>100</v>
      </c>
      <c r="I30" s="425"/>
      <c r="J30" s="3727">
        <f>SUMIF(88:88,E30,89:89)-SUMIF(88:88,C30,89:89)+100</f>
        <v>100</v>
      </c>
      <c r="K30" s="394"/>
      <c r="L30" s="1979"/>
      <c r="M30" s="1974"/>
      <c r="N30" s="1974"/>
      <c r="O30" s="1974"/>
      <c r="P30" s="4601"/>
      <c r="Q30" s="906" t="str">
        <f t="shared" si="11"/>
        <v>物业等级</v>
      </c>
      <c r="R30" s="3743" t="s">
        <v>13</v>
      </c>
      <c r="S30" s="3746">
        <f t="shared" si="12"/>
        <v>100</v>
      </c>
      <c r="T30" s="3743" t="s">
        <v>13</v>
      </c>
      <c r="U30" s="3746">
        <f t="shared" si="13"/>
        <v>100</v>
      </c>
      <c r="V30" s="3743" t="s">
        <v>13</v>
      </c>
      <c r="W30" s="3746">
        <f t="shared" si="14"/>
        <v>100</v>
      </c>
      <c r="X30" s="909"/>
      <c r="Y30" s="4601"/>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7" t="e">
        <f>LOOKUP(G31,91:91,92:92)-LOOKUP(C31,91:91,92:92)+100</f>
        <v>#N/A</v>
      </c>
      <c r="I31" s="278"/>
      <c r="J31" s="3727" t="e">
        <f>LOOKUP(I31,91:91,92:92)-LOOKUP(C31,91:91,92:92)+100</f>
        <v>#N/A</v>
      </c>
      <c r="K31" s="394"/>
      <c r="L31" s="1975"/>
      <c r="M31" s="1928"/>
      <c r="N31" s="1928"/>
      <c r="O31" s="1928"/>
      <c r="P31" s="4601"/>
      <c r="Q31" s="389" t="str">
        <f t="shared" si="11"/>
        <v>停车位面积</v>
      </c>
      <c r="R31" s="3742" t="s">
        <v>13</v>
      </c>
      <c r="S31" s="3745" t="e">
        <f t="shared" si="12"/>
        <v>#N/A</v>
      </c>
      <c r="T31" s="3742" t="s">
        <v>13</v>
      </c>
      <c r="U31" s="3745" t="e">
        <f t="shared" si="13"/>
        <v>#N/A</v>
      </c>
      <c r="V31" s="3742" t="s">
        <v>13</v>
      </c>
      <c r="W31" s="3745" t="e">
        <f t="shared" si="14"/>
        <v>#N/A</v>
      </c>
      <c r="X31" s="482"/>
      <c r="Y31" s="4601"/>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7">
        <f>SUMIF(93:93,G32,94:94)-SUMIF(93:93,C32,94:94)+100</f>
        <v>100</v>
      </c>
      <c r="I32" s="275"/>
      <c r="J32" s="3727">
        <f>SUMIF(93:93,I32,94:94)-SUMIF(93:93,C32,94:94)+100</f>
        <v>100</v>
      </c>
      <c r="K32" s="394"/>
      <c r="L32" s="1979"/>
      <c r="M32" s="1974"/>
      <c r="N32" s="1974"/>
      <c r="O32" s="1974"/>
      <c r="P32" s="4601" t="s">
        <v>1603</v>
      </c>
      <c r="Q32" s="906" t="str">
        <f t="shared" si="11"/>
        <v>车位类型</v>
      </c>
      <c r="R32" s="3743" t="s">
        <v>13</v>
      </c>
      <c r="S32" s="3746">
        <f t="shared" si="12"/>
        <v>100</v>
      </c>
      <c r="T32" s="3743" t="s">
        <v>13</v>
      </c>
      <c r="U32" s="3746">
        <f t="shared" si="13"/>
        <v>100</v>
      </c>
      <c r="V32" s="3743" t="s">
        <v>13</v>
      </c>
      <c r="W32" s="3746">
        <f t="shared" si="14"/>
        <v>100</v>
      </c>
      <c r="X32" s="909"/>
      <c r="Y32" s="4601"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7">
        <f>SUMIF(95:95,G33,96:96)-SUMIF(95:95,C33,96:96)+100</f>
        <v>100</v>
      </c>
      <c r="I33" s="275"/>
      <c r="J33" s="3727">
        <f>SUMIF(95:95,I33,96:96)-SUMIF(95:95,C33,96:96)+100</f>
        <v>100</v>
      </c>
      <c r="K33" s="394"/>
      <c r="L33" s="1979"/>
      <c r="M33" s="1974"/>
      <c r="N33" s="1974"/>
      <c r="O33" s="1974"/>
      <c r="P33" s="4601"/>
      <c r="Q33" s="906" t="str">
        <f t="shared" si="11"/>
        <v>是否直接入户</v>
      </c>
      <c r="R33" s="3743" t="s">
        <v>13</v>
      </c>
      <c r="S33" s="3746">
        <f t="shared" si="12"/>
        <v>100</v>
      </c>
      <c r="T33" s="3743" t="s">
        <v>13</v>
      </c>
      <c r="U33" s="3746">
        <f t="shared" si="13"/>
        <v>100</v>
      </c>
      <c r="V33" s="3743" t="s">
        <v>13</v>
      </c>
      <c r="W33" s="3746">
        <f t="shared" si="14"/>
        <v>100</v>
      </c>
      <c r="X33" s="909"/>
      <c r="Y33" s="4601"/>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7">
        <f>SUMIF(97:97,G34,98:98)-SUMIF(97:97,C34,98:98)+100</f>
        <v>100</v>
      </c>
      <c r="I34" s="258"/>
      <c r="J34" s="3727">
        <f>SUMIF(97:97,I34,98:98)-SUMIF(97:97,C34,98:98)+100</f>
        <v>100</v>
      </c>
      <c r="K34" s="395"/>
      <c r="L34" s="1979"/>
      <c r="M34" s="1974"/>
      <c r="N34" s="1974"/>
      <c r="O34" s="1974"/>
      <c r="P34" s="4601"/>
      <c r="Q34" s="906">
        <f t="shared" si="11"/>
        <v>111</v>
      </c>
      <c r="R34" s="3743" t="s">
        <v>13</v>
      </c>
      <c r="S34" s="3746">
        <f t="shared" si="12"/>
        <v>100</v>
      </c>
      <c r="T34" s="3743" t="s">
        <v>13</v>
      </c>
      <c r="U34" s="3746">
        <f t="shared" si="13"/>
        <v>100</v>
      </c>
      <c r="V34" s="3743" t="s">
        <v>13</v>
      </c>
      <c r="W34" s="3746">
        <f t="shared" si="14"/>
        <v>100</v>
      </c>
      <c r="X34" s="909"/>
      <c r="Y34" s="4601"/>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7">
        <f>SUMIF(99:99,G35,100:100)-SUMIF(99:99,C35,100:100)+100</f>
        <v>100</v>
      </c>
      <c r="I35" s="258"/>
      <c r="J35" s="3727">
        <f>SUMIF(99:99,I35,100:100)-SUMIF(99:99,C35,100:100)+100</f>
        <v>100</v>
      </c>
      <c r="K35" s="395"/>
      <c r="L35" s="1978"/>
      <c r="M35" s="1980"/>
      <c r="N35" s="1980"/>
      <c r="O35" s="1980"/>
      <c r="P35" s="4601"/>
      <c r="Q35" s="483">
        <f t="shared" si="11"/>
        <v>111</v>
      </c>
      <c r="R35" s="3744" t="s">
        <v>13</v>
      </c>
      <c r="S35" s="3747">
        <f t="shared" si="12"/>
        <v>100</v>
      </c>
      <c r="T35" s="3744" t="s">
        <v>13</v>
      </c>
      <c r="U35" s="3747">
        <f t="shared" si="13"/>
        <v>100</v>
      </c>
      <c r="V35" s="3744" t="s">
        <v>13</v>
      </c>
      <c r="W35" s="3747">
        <f t="shared" si="14"/>
        <v>100</v>
      </c>
      <c r="X35" s="484"/>
      <c r="Y35" s="4601"/>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7">
        <f>SUMIF(101:101,G36,102:102)-SUMIF(101:101,C36,102:102)+100</f>
        <v>100</v>
      </c>
      <c r="I36" s="258"/>
      <c r="J36" s="3727">
        <f>SUMIF(101:101,I36,102:102)-SUMIF(101:101,C36,102:102)+100</f>
        <v>100</v>
      </c>
      <c r="K36" s="395"/>
      <c r="L36" s="1979"/>
      <c r="M36" s="1974"/>
      <c r="N36" s="1974"/>
      <c r="O36" s="1974"/>
      <c r="P36" s="4601"/>
      <c r="Q36" s="906">
        <f t="shared" si="11"/>
        <v>111</v>
      </c>
      <c r="R36" s="3743" t="s">
        <v>13</v>
      </c>
      <c r="S36" s="3746">
        <f t="shared" si="12"/>
        <v>100</v>
      </c>
      <c r="T36" s="3743" t="s">
        <v>13</v>
      </c>
      <c r="U36" s="3746">
        <f t="shared" si="13"/>
        <v>100</v>
      </c>
      <c r="V36" s="3743" t="s">
        <v>13</v>
      </c>
      <c r="W36" s="3746">
        <f t="shared" si="14"/>
        <v>100</v>
      </c>
      <c r="X36" s="909"/>
      <c r="Y36" s="4601"/>
      <c r="Z36" s="907">
        <f t="shared" si="15"/>
        <v>111</v>
      </c>
      <c r="AA36" s="907">
        <f t="shared" si="3"/>
        <v>1</v>
      </c>
      <c r="AB36" s="907">
        <f t="shared" si="4"/>
        <v>1</v>
      </c>
      <c r="AC36" s="907">
        <f t="shared" si="5"/>
        <v>1</v>
      </c>
    </row>
    <row r="37" spans="1:29" ht="15">
      <c r="A37" s="286" t="s">
        <v>1751</v>
      </c>
      <c r="B37" s="1426" t="s">
        <v>3233</v>
      </c>
      <c r="C37" s="765" t="s">
        <v>0</v>
      </c>
      <c r="D37" s="288"/>
      <c r="E37" s="3187"/>
      <c r="F37" s="3135"/>
      <c r="G37" s="3188"/>
      <c r="H37" s="3136"/>
      <c r="I37" s="3187"/>
      <c r="J37" s="3136"/>
      <c r="K37" s="3189"/>
      <c r="L37" s="1981"/>
      <c r="M37" s="1974"/>
      <c r="N37" s="1974"/>
      <c r="O37" s="1974"/>
      <c r="P37" s="4681" t="str">
        <f>A37</f>
        <v>成交单价</v>
      </c>
      <c r="Q37" s="4681"/>
      <c r="R37" s="4646">
        <f>E37</f>
        <v>0</v>
      </c>
      <c r="S37" s="4646"/>
      <c r="T37" s="4646">
        <f>G37</f>
        <v>0</v>
      </c>
      <c r="U37" s="4646"/>
      <c r="V37" s="4646">
        <f>I37</f>
        <v>0</v>
      </c>
      <c r="W37" s="4646"/>
      <c r="X37" s="265"/>
      <c r="Y37" s="486"/>
      <c r="Z37" s="265"/>
      <c r="AA37" s="265"/>
      <c r="AB37" s="265"/>
      <c r="AC37" s="265"/>
    </row>
    <row r="38" spans="1:29" ht="15.75" thickBot="1">
      <c r="A38" s="289" t="s">
        <v>1752</v>
      </c>
      <c r="B38" s="290" t="str">
        <f>B37</f>
        <v>元/平方米</v>
      </c>
      <c r="C38" s="3709" t="e">
        <f>R39</f>
        <v>#DIV/0!</v>
      </c>
      <c r="D38" s="3822" t="s">
        <v>2040</v>
      </c>
      <c r="E38" s="3720" t="e">
        <f>R38</f>
        <v>#DIV/0!</v>
      </c>
      <c r="F38" s="2783"/>
      <c r="G38" s="3709" t="e">
        <f>T38</f>
        <v>#DIV/0!</v>
      </c>
      <c r="H38" s="2783"/>
      <c r="I38" s="3720" t="e">
        <f>V38</f>
        <v>#DIV/0!</v>
      </c>
      <c r="J38" s="2783"/>
      <c r="K38" s="2837">
        <f>F38+H38+J38</f>
        <v>0</v>
      </c>
      <c r="L38" s="1981"/>
      <c r="M38" s="1974"/>
      <c r="N38" s="1974"/>
      <c r="O38" s="1974"/>
      <c r="P38" s="4681" t="str">
        <f>A38</f>
        <v>比较价值（元/平方米）</v>
      </c>
      <c r="Q38" s="4681"/>
      <c r="R38" s="4646" t="e">
        <f>IF(F1="售价",ROUND(PRODUCT(R37,AA7:AA36),0),ROUND(PRODUCT(R37,AA7:AA36),1))</f>
        <v>#DIV/0!</v>
      </c>
      <c r="S38" s="4646"/>
      <c r="T38" s="4646" t="e">
        <f>IF(F1="售价",ROUND(PRODUCT(T37,AB7:AB36),0),ROUND(PRODUCT(T37,AB7:AB36),1))</f>
        <v>#DIV/0!</v>
      </c>
      <c r="U38" s="4646"/>
      <c r="V38" s="4646" t="e">
        <f>IF(F1="售价",ROUND(PRODUCT(V37,AC7:AC36),0),ROUND(PRODUCT(V37,AC7:AC36),1))</f>
        <v>#DIV/0!</v>
      </c>
      <c r="W38" s="4646"/>
      <c r="X38" s="265"/>
      <c r="Y38" s="265"/>
      <c r="Z38" s="265"/>
      <c r="AA38" s="265"/>
      <c r="AB38" s="265"/>
      <c r="AC38" s="265"/>
    </row>
    <row r="39" spans="1:29" ht="15.75" thickBot="1">
      <c r="A39" s="291" t="s">
        <v>1753</v>
      </c>
      <c r="B39" s="292"/>
      <c r="C39" s="3721" t="e">
        <f>R39</f>
        <v>#DIV/0!</v>
      </c>
      <c r="D39" s="241"/>
      <c r="E39" s="241"/>
      <c r="F39" s="241"/>
      <c r="G39" s="241"/>
      <c r="H39" s="241"/>
      <c r="I39" s="241"/>
      <c r="J39" s="241"/>
      <c r="K39" s="399"/>
      <c r="L39" s="1981"/>
      <c r="M39" s="1974"/>
      <c r="N39" s="1974"/>
      <c r="O39" s="1974"/>
      <c r="P39" s="4682" t="str">
        <f>A39</f>
        <v>估价对象XX用房的比较价值（楼面单价，元/平方米）</v>
      </c>
      <c r="Q39" s="4683"/>
      <c r="R39" s="4684" t="e">
        <f>IF(F1="售价",ROUND(IF(D38="简单平均",AVERAGE(R38:W38),R38*F38+T38*H38+V38*J38),0),ROUND(IF(D38="简单平均",AVERAGE(R38:V38),R38*F38+T38*H38+V38*J38),1))</f>
        <v>#DIV/0!</v>
      </c>
      <c r="S39" s="4684"/>
      <c r="T39" s="4684"/>
      <c r="U39" s="4684"/>
      <c r="V39" s="4684"/>
      <c r="W39" s="4684"/>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3868</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3214</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3" t="s">
        <v>3468</v>
      </c>
      <c r="F3" s="3824">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653" t="s">
        <v>1677</v>
      </c>
      <c r="D4" s="4654"/>
      <c r="E4" s="4655" t="s">
        <v>1678</v>
      </c>
      <c r="F4" s="4656"/>
      <c r="G4" s="4653" t="s">
        <v>1679</v>
      </c>
      <c r="H4" s="4654"/>
      <c r="I4" s="4653" t="s">
        <v>1680</v>
      </c>
      <c r="J4" s="4654"/>
      <c r="K4" s="393" t="s">
        <v>1681</v>
      </c>
      <c r="L4" s="1973"/>
      <c r="M4" s="1974"/>
      <c r="N4" s="1974"/>
      <c r="O4" s="1974"/>
      <c r="P4" s="4686" t="s">
        <v>1682</v>
      </c>
      <c r="Q4" s="4687"/>
      <c r="R4" s="4635" t="s">
        <v>1678</v>
      </c>
      <c r="S4" s="4636"/>
      <c r="T4" s="4635" t="s">
        <v>1679</v>
      </c>
      <c r="U4" s="4636"/>
      <c r="V4" s="4646" t="s">
        <v>1680</v>
      </c>
      <c r="W4" s="4646"/>
      <c r="X4" s="909"/>
      <c r="Y4" s="4635" t="s">
        <v>1682</v>
      </c>
      <c r="Z4" s="4636"/>
      <c r="AA4" s="4607" t="s">
        <v>1678</v>
      </c>
      <c r="AB4" s="4608" t="s">
        <v>1679</v>
      </c>
      <c r="AC4" s="4607" t="s">
        <v>1680</v>
      </c>
    </row>
    <row r="5" spans="1:29" ht="15">
      <c r="A5" s="238"/>
      <c r="B5" s="239"/>
      <c r="C5" s="4666" t="s">
        <v>1580</v>
      </c>
      <c r="D5" s="4667"/>
      <c r="E5" s="4674" t="s">
        <v>1581</v>
      </c>
      <c r="F5" s="4675"/>
      <c r="G5" s="4666" t="s">
        <v>1582</v>
      </c>
      <c r="H5" s="4667"/>
      <c r="I5" s="4666" t="s">
        <v>1583</v>
      </c>
      <c r="J5" s="4667"/>
      <c r="K5" s="393"/>
      <c r="L5" s="1973"/>
      <c r="M5" s="1974"/>
      <c r="N5" s="1974"/>
      <c r="O5" s="1974"/>
      <c r="P5" s="4688"/>
      <c r="Q5" s="4689"/>
      <c r="R5" s="4637"/>
      <c r="S5" s="4638"/>
      <c r="T5" s="4637"/>
      <c r="U5" s="4638"/>
      <c r="V5" s="4646"/>
      <c r="W5" s="4646"/>
      <c r="X5" s="909"/>
      <c r="Y5" s="4637"/>
      <c r="Z5" s="4638"/>
      <c r="AA5" s="4608"/>
      <c r="AB5" s="4608"/>
      <c r="AC5" s="4608"/>
    </row>
    <row r="6" spans="1:29" ht="15.75" thickBot="1">
      <c r="A6" s="240"/>
      <c r="B6" s="241"/>
      <c r="C6" s="4664" t="s">
        <v>1584</v>
      </c>
      <c r="D6" s="4665"/>
      <c r="E6" s="4671" t="s">
        <v>1584</v>
      </c>
      <c r="F6" s="4672"/>
      <c r="G6" s="4664" t="s">
        <v>1584</v>
      </c>
      <c r="H6" s="4665"/>
      <c r="I6" s="4664" t="s">
        <v>1584</v>
      </c>
      <c r="J6" s="4665"/>
      <c r="K6" s="393" t="s">
        <v>1585</v>
      </c>
      <c r="L6" s="1973"/>
      <c r="M6" s="1974"/>
      <c r="N6" s="1974"/>
      <c r="O6" s="1974"/>
      <c r="P6" s="4690"/>
      <c r="Q6" s="4691"/>
      <c r="R6" s="4637"/>
      <c r="S6" s="4638"/>
      <c r="T6" s="4639"/>
      <c r="U6" s="4640"/>
      <c r="V6" s="4646"/>
      <c r="W6" s="4646"/>
      <c r="X6" s="909"/>
      <c r="Y6" s="4639"/>
      <c r="Z6" s="4640"/>
      <c r="AA6" s="4609"/>
      <c r="AB6" s="4609"/>
      <c r="AC6" s="4609"/>
    </row>
    <row r="7" spans="1:29" s="46" customFormat="1" ht="15.75" thickBot="1">
      <c r="A7" s="242" t="s">
        <v>1586</v>
      </c>
      <c r="B7" s="243"/>
      <c r="C7" s="244">
        <f>'数据-取费表'!B2</f>
        <v>46126</v>
      </c>
      <c r="D7" s="2880">
        <v>100</v>
      </c>
      <c r="E7" s="245"/>
      <c r="F7" s="3723">
        <f>SUMIF(46:46,YEAR(E7)&amp;"-"&amp;MONTH(E7),47:47)</f>
        <v>0</v>
      </c>
      <c r="G7" s="1427"/>
      <c r="H7" s="3729">
        <f>SUMIF(46:46,YEAR(G7)&amp;"-"&amp;MONTH(G7),47:47)</f>
        <v>0</v>
      </c>
      <c r="I7" s="245"/>
      <c r="J7" s="3729">
        <f>SUMIF(46:46,YEAR(I7)&amp;"-"&amp;MONTH(I7),47:47)</f>
        <v>0</v>
      </c>
      <c r="K7" s="22"/>
      <c r="L7" s="1975"/>
      <c r="M7" s="1928"/>
      <c r="N7" s="1928"/>
      <c r="O7" s="1928"/>
      <c r="P7" s="4633" t="s">
        <v>1587</v>
      </c>
      <c r="Q7" s="4692"/>
      <c r="R7" s="3742" t="s">
        <v>13</v>
      </c>
      <c r="S7" s="3745">
        <f t="shared" ref="S7:S14" si="0">F7</f>
        <v>0</v>
      </c>
      <c r="T7" s="3742" t="s">
        <v>13</v>
      </c>
      <c r="U7" s="3745">
        <f t="shared" ref="U7:U14" si="1">H7</f>
        <v>0</v>
      </c>
      <c r="V7" s="3742" t="s">
        <v>13</v>
      </c>
      <c r="W7" s="3745">
        <f t="shared" ref="W7:W14" si="2">J7</f>
        <v>0</v>
      </c>
      <c r="X7" s="482"/>
      <c r="Y7" s="4633" t="s">
        <v>1587</v>
      </c>
      <c r="Z7" s="4634"/>
      <c r="AA7" s="28" t="e">
        <f>D7/F7</f>
        <v>#DIV/0!</v>
      </c>
      <c r="AB7" s="28" t="e">
        <f>D7/H7</f>
        <v>#DIV/0!</v>
      </c>
      <c r="AC7" s="28" t="e">
        <f>D7/J7</f>
        <v>#DIV/0!</v>
      </c>
    </row>
    <row r="8" spans="1:29" s="46" customFormat="1" ht="15.75" thickBot="1">
      <c r="A8" s="242" t="s">
        <v>1588</v>
      </c>
      <c r="B8" s="243"/>
      <c r="C8" s="246"/>
      <c r="D8" s="2880">
        <v>100</v>
      </c>
      <c r="E8" s="246"/>
      <c r="F8" s="3723">
        <f>SUMIF(49:49,E8,50:50)-SUMIF(49:49,C8,50:50)+100</f>
        <v>100</v>
      </c>
      <c r="G8" s="246"/>
      <c r="H8" s="3729">
        <f>SUMIF(49:49,G8,50:50)-SUMIF(49:49,C8,50:50)+100</f>
        <v>100</v>
      </c>
      <c r="I8" s="246"/>
      <c r="J8" s="3729">
        <f>SUMIF(49:49,I8,50:50)-SUMIF(49:49,C8,50:50)+100</f>
        <v>100</v>
      </c>
      <c r="K8" s="22"/>
      <c r="L8" s="1975"/>
      <c r="M8" s="1928"/>
      <c r="N8" s="1928"/>
      <c r="O8" s="1928"/>
      <c r="P8" s="4633" t="s">
        <v>1590</v>
      </c>
      <c r="Q8" s="4634"/>
      <c r="R8" s="3742" t="s">
        <v>13</v>
      </c>
      <c r="S8" s="3745">
        <f t="shared" si="0"/>
        <v>100</v>
      </c>
      <c r="T8" s="3742" t="s">
        <v>13</v>
      </c>
      <c r="U8" s="3745">
        <f t="shared" si="1"/>
        <v>100</v>
      </c>
      <c r="V8" s="3742" t="s">
        <v>13</v>
      </c>
      <c r="W8" s="3745">
        <f t="shared" si="2"/>
        <v>100</v>
      </c>
      <c r="X8" s="482"/>
      <c r="Y8" s="4633" t="s">
        <v>1590</v>
      </c>
      <c r="Z8" s="4634"/>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81" t="s">
        <v>1593</v>
      </c>
      <c r="Q9" s="389" t="str">
        <f t="shared" ref="Q9:Q14" si="6">B9</f>
        <v>用途</v>
      </c>
      <c r="R9" s="3742" t="s">
        <v>13</v>
      </c>
      <c r="S9" s="3745">
        <f t="shared" si="0"/>
        <v>100</v>
      </c>
      <c r="T9" s="3742" t="s">
        <v>13</v>
      </c>
      <c r="U9" s="3745">
        <f t="shared" si="1"/>
        <v>100</v>
      </c>
      <c r="V9" s="3742" t="s">
        <v>13</v>
      </c>
      <c r="W9" s="3745">
        <f t="shared" si="2"/>
        <v>100</v>
      </c>
      <c r="X9" s="482"/>
      <c r="Y9" s="4606"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81"/>
      <c r="Q10" s="389" t="str">
        <f t="shared" si="6"/>
        <v>土地使用年限（年）</v>
      </c>
      <c r="R10" s="3742" t="s">
        <v>13</v>
      </c>
      <c r="S10" s="3745">
        <f t="shared" si="0"/>
        <v>100</v>
      </c>
      <c r="T10" s="3742" t="s">
        <v>13</v>
      </c>
      <c r="U10" s="3745">
        <f t="shared" si="1"/>
        <v>100</v>
      </c>
      <c r="V10" s="3742" t="s">
        <v>13</v>
      </c>
      <c r="W10" s="3745">
        <f t="shared" si="2"/>
        <v>100</v>
      </c>
      <c r="X10" s="482"/>
      <c r="Y10" s="4606"/>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81"/>
      <c r="Q11" s="389">
        <f t="shared" si="6"/>
        <v>111</v>
      </c>
      <c r="R11" s="3742" t="s">
        <v>13</v>
      </c>
      <c r="S11" s="3745">
        <f t="shared" si="0"/>
        <v>100</v>
      </c>
      <c r="T11" s="3742" t="s">
        <v>13</v>
      </c>
      <c r="U11" s="3745">
        <f t="shared" si="1"/>
        <v>100</v>
      </c>
      <c r="V11" s="3742" t="s">
        <v>13</v>
      </c>
      <c r="W11" s="3745">
        <f t="shared" si="2"/>
        <v>100</v>
      </c>
      <c r="X11" s="482"/>
      <c r="Y11" s="4606"/>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81"/>
      <c r="Q12" s="389">
        <f t="shared" si="6"/>
        <v>111</v>
      </c>
      <c r="R12" s="3742" t="s">
        <v>13</v>
      </c>
      <c r="S12" s="3745">
        <f t="shared" si="0"/>
        <v>100</v>
      </c>
      <c r="T12" s="3742" t="s">
        <v>13</v>
      </c>
      <c r="U12" s="3745">
        <f t="shared" si="1"/>
        <v>100</v>
      </c>
      <c r="V12" s="3742" t="s">
        <v>13</v>
      </c>
      <c r="W12" s="3745">
        <f t="shared" si="2"/>
        <v>100</v>
      </c>
      <c r="X12" s="482"/>
      <c r="Y12" s="4606"/>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8"/>
      <c r="H13" s="3724">
        <f>SUMIF(59:59,G13,60:60)-SUMIF(59:59,C13,60:60)+100</f>
        <v>100</v>
      </c>
      <c r="I13" s="278"/>
      <c r="J13" s="3727">
        <f>SUMIF(59:59,I13,60:60)-SUMIF(59:59,C13,60:60)+100</f>
        <v>100</v>
      </c>
      <c r="K13" s="395"/>
      <c r="L13" s="1979"/>
      <c r="M13" s="1974"/>
      <c r="N13" s="1974"/>
      <c r="O13" s="2029"/>
      <c r="P13" s="4681"/>
      <c r="Q13" s="389">
        <f t="shared" si="6"/>
        <v>111</v>
      </c>
      <c r="R13" s="3742" t="s">
        <v>13</v>
      </c>
      <c r="S13" s="3745">
        <f t="shared" si="0"/>
        <v>100</v>
      </c>
      <c r="T13" s="3742" t="s">
        <v>13</v>
      </c>
      <c r="U13" s="3745">
        <f t="shared" si="1"/>
        <v>100</v>
      </c>
      <c r="V13" s="3742" t="s">
        <v>13</v>
      </c>
      <c r="W13" s="3745">
        <f t="shared" si="2"/>
        <v>100</v>
      </c>
      <c r="X13" s="482"/>
      <c r="Y13" s="4606"/>
      <c r="Z13" s="28">
        <f t="shared" si="7"/>
        <v>111</v>
      </c>
      <c r="AA13" s="28">
        <f t="shared" si="3"/>
        <v>1</v>
      </c>
      <c r="AB13" s="28">
        <f t="shared" si="4"/>
        <v>1</v>
      </c>
      <c r="AC13" s="28">
        <f t="shared" si="5"/>
        <v>1</v>
      </c>
    </row>
    <row r="14" spans="1:29" ht="156.75">
      <c r="A14" s="262" t="s">
        <v>1597</v>
      </c>
      <c r="B14" s="32" t="s">
        <v>1740</v>
      </c>
      <c r="C14" s="1424" t="str">
        <f>IF(B1="工业",估价对象房地状况!G4,估价对象房地状况!C6)</f>
        <v>估价对象周边有多条城市主次干道通过，路网密集程度较好，道路通达程度较好。周边有952路、953路、F33路、F37路、F85路等多条公交线路，综合评价交通便捷度较好。</v>
      </c>
      <c r="D14" s="2886">
        <v>100</v>
      </c>
      <c r="E14" s="263"/>
      <c r="F14" s="3731">
        <f>SUMIF(61:61,E15,62:62)-SUMIF(61:61,C15,62:62)+100</f>
        <v>100</v>
      </c>
      <c r="G14" s="264"/>
      <c r="H14" s="3725">
        <f>SUMIF(61:61,G15,62:62)-SUMIF(61:61,C15,62:62)+100</f>
        <v>100</v>
      </c>
      <c r="I14" s="263"/>
      <c r="J14" s="3725">
        <f>SUMIF(61:61,I15,62:62)-SUMIF(61:61,C15,62:62)+100</f>
        <v>100</v>
      </c>
      <c r="K14" s="396"/>
      <c r="L14" s="1979"/>
      <c r="M14" s="1974"/>
      <c r="N14" s="1974"/>
      <c r="O14" s="2029"/>
      <c r="P14" s="4596" t="s">
        <v>1598</v>
      </c>
      <c r="Q14" s="906" t="str">
        <f t="shared" si="6"/>
        <v>交通便捷度</v>
      </c>
      <c r="R14" s="3743" t="s">
        <v>13</v>
      </c>
      <c r="S14" s="3746">
        <f t="shared" si="0"/>
        <v>100</v>
      </c>
      <c r="T14" s="3743" t="s">
        <v>13</v>
      </c>
      <c r="U14" s="3746">
        <f t="shared" si="1"/>
        <v>100</v>
      </c>
      <c r="V14" s="3743" t="s">
        <v>13</v>
      </c>
      <c r="W14" s="3746">
        <f t="shared" si="2"/>
        <v>100</v>
      </c>
      <c r="X14" s="909"/>
      <c r="Y14" s="4596" t="s">
        <v>1598</v>
      </c>
      <c r="Z14" s="907" t="str">
        <f t="shared" si="7"/>
        <v>交通便捷度</v>
      </c>
      <c r="AA14" s="907">
        <f t="shared" si="3"/>
        <v>1</v>
      </c>
      <c r="AB14" s="907">
        <f t="shared" si="4"/>
        <v>1</v>
      </c>
      <c r="AC14" s="907">
        <f t="shared" si="5"/>
        <v>1</v>
      </c>
    </row>
    <row r="15" spans="1:29" ht="15">
      <c r="A15" s="254"/>
      <c r="B15" s="265"/>
      <c r="C15" s="266"/>
      <c r="D15" s="2887"/>
      <c r="E15" s="266"/>
      <c r="F15" s="3732"/>
      <c r="G15" s="266"/>
      <c r="H15" s="268"/>
      <c r="I15" s="266"/>
      <c r="J15" s="267"/>
      <c r="K15" s="397"/>
      <c r="L15" s="1979"/>
      <c r="M15" s="1974"/>
      <c r="N15" s="1974"/>
      <c r="O15" s="2029"/>
      <c r="P15" s="4597"/>
      <c r="Q15" s="906"/>
      <c r="R15" s="3743"/>
      <c r="S15" s="3746"/>
      <c r="T15" s="3743"/>
      <c r="U15" s="3746"/>
      <c r="V15" s="3743"/>
      <c r="W15" s="3746"/>
      <c r="X15" s="909"/>
      <c r="Y15" s="4597"/>
      <c r="Z15" s="907"/>
      <c r="AA15" s="907">
        <v>1</v>
      </c>
      <c r="AB15" s="907">
        <v>1</v>
      </c>
      <c r="AC15" s="907">
        <v>1</v>
      </c>
    </row>
    <row r="16" spans="1:29" ht="256.5">
      <c r="A16" s="254"/>
      <c r="B16" s="269" t="s">
        <v>1719</v>
      </c>
      <c r="C16" s="1364" t="str">
        <f>IF(B1="工业",估价对象房地状况!G5,估价对象房地状况!C7)</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16" s="2889">
        <v>100</v>
      </c>
      <c r="E16" s="273"/>
      <c r="F16" s="3734">
        <f>SUMIF(63:63,E17,64:64)-SUMIF(63:63,C17,64:64)+100</f>
        <v>100</v>
      </c>
      <c r="G16" s="274"/>
      <c r="H16" s="3726">
        <f>SUMIF(63:63,G17,64:64)-SUMIF(63:63,C17,64:64)+100</f>
        <v>100</v>
      </c>
      <c r="I16" s="273"/>
      <c r="J16" s="3726">
        <f>SUMIF(63:63,I17,64:64)-SUMIF(63:63,C17,64:64)+100</f>
        <v>100</v>
      </c>
      <c r="K16" s="396"/>
      <c r="L16" s="1979"/>
      <c r="M16" s="1974"/>
      <c r="N16" s="1974"/>
      <c r="O16" s="2029"/>
      <c r="P16" s="4597"/>
      <c r="Q16" s="906" t="str">
        <f>B16</f>
        <v>公共配套设施</v>
      </c>
      <c r="R16" s="3743" t="s">
        <v>13</v>
      </c>
      <c r="S16" s="3746">
        <f>F16</f>
        <v>100</v>
      </c>
      <c r="T16" s="3743" t="s">
        <v>13</v>
      </c>
      <c r="U16" s="3746">
        <f>H16</f>
        <v>100</v>
      </c>
      <c r="V16" s="3743" t="s">
        <v>13</v>
      </c>
      <c r="W16" s="3746">
        <f>J16</f>
        <v>100</v>
      </c>
      <c r="X16" s="909"/>
      <c r="Y16" s="4597"/>
      <c r="Z16" s="907" t="str">
        <f>Q16</f>
        <v>公共配套设施</v>
      </c>
      <c r="AA16" s="907">
        <f t="shared" si="3"/>
        <v>1</v>
      </c>
      <c r="AB16" s="907">
        <f t="shared" si="4"/>
        <v>1</v>
      </c>
      <c r="AC16" s="907">
        <f t="shared" si="5"/>
        <v>1</v>
      </c>
    </row>
    <row r="17" spans="1:29" ht="15">
      <c r="A17" s="254"/>
      <c r="B17" s="272"/>
      <c r="C17" s="1365"/>
      <c r="D17" s="2887"/>
      <c r="E17" s="266"/>
      <c r="F17" s="3732"/>
      <c r="G17" s="266"/>
      <c r="H17" s="267"/>
      <c r="I17" s="266"/>
      <c r="J17" s="267"/>
      <c r="K17" s="397"/>
      <c r="L17" s="1979"/>
      <c r="M17" s="1974"/>
      <c r="N17" s="1974"/>
      <c r="O17" s="2029"/>
      <c r="P17" s="4597"/>
      <c r="Q17" s="906"/>
      <c r="R17" s="3743"/>
      <c r="S17" s="3746"/>
      <c r="T17" s="3743"/>
      <c r="U17" s="3746"/>
      <c r="V17" s="3743"/>
      <c r="W17" s="3746"/>
      <c r="X17" s="909"/>
      <c r="Y17" s="4597"/>
      <c r="Z17" s="907"/>
      <c r="AA17" s="907">
        <v>1</v>
      </c>
      <c r="AB17" s="907">
        <v>1</v>
      </c>
      <c r="AC17" s="907">
        <v>1</v>
      </c>
    </row>
    <row r="18" spans="1:29" ht="15">
      <c r="A18" s="254"/>
      <c r="B18" s="759" t="s">
        <v>1720</v>
      </c>
      <c r="C18" s="1364" t="str">
        <f>IF(B1="工业",估价对象房地状况!G6,估价对象房地状况!C8)</f>
        <v>七通</v>
      </c>
      <c r="D18" s="2889">
        <v>100</v>
      </c>
      <c r="E18" s="270"/>
      <c r="F18" s="3734">
        <f>SUMIF(65:65,E19,66:66)-SUMIF(65:65,C19,66:66)+100</f>
        <v>100</v>
      </c>
      <c r="G18" s="271"/>
      <c r="H18" s="3726">
        <f>SUMIF(65:65,G19,66:66)-SUMIF(65:65,C19,66:66)+100</f>
        <v>100</v>
      </c>
      <c r="I18" s="273"/>
      <c r="J18" s="3726">
        <f>SUMIF(65:65,I19,66:66)-SUMIF(65:65,C19,66:66)+100</f>
        <v>100</v>
      </c>
      <c r="K18" s="396"/>
      <c r="L18" s="1979"/>
      <c r="M18" s="1974"/>
      <c r="N18" s="1974"/>
      <c r="O18" s="2029"/>
      <c r="P18" s="4597"/>
      <c r="Q18" s="906" t="str">
        <f>B18</f>
        <v>基础设施水平</v>
      </c>
      <c r="R18" s="3743" t="s">
        <v>13</v>
      </c>
      <c r="S18" s="3746">
        <f>F18</f>
        <v>100</v>
      </c>
      <c r="T18" s="3743" t="s">
        <v>13</v>
      </c>
      <c r="U18" s="3746">
        <f>H18</f>
        <v>100</v>
      </c>
      <c r="V18" s="3743" t="s">
        <v>13</v>
      </c>
      <c r="W18" s="3746">
        <f>J18</f>
        <v>100</v>
      </c>
      <c r="X18" s="909"/>
      <c r="Y18" s="4597"/>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3"/>
      <c r="G19" s="1365"/>
      <c r="H19" s="267"/>
      <c r="I19" s="266"/>
      <c r="J19" s="267"/>
      <c r="K19" s="758"/>
      <c r="L19" s="1979"/>
      <c r="M19" s="1974"/>
      <c r="N19" s="1974"/>
      <c r="O19" s="2029"/>
      <c r="P19" s="4597"/>
      <c r="Q19" s="906"/>
      <c r="R19" s="3743"/>
      <c r="S19" s="3746"/>
      <c r="T19" s="3743"/>
      <c r="U19" s="3746"/>
      <c r="V19" s="3743"/>
      <c r="W19" s="3746"/>
      <c r="X19" s="909"/>
      <c r="Y19" s="4597"/>
      <c r="Z19" s="907"/>
      <c r="AA19" s="907">
        <v>1</v>
      </c>
      <c r="AB19" s="907">
        <v>1</v>
      </c>
      <c r="AC19" s="907">
        <v>1</v>
      </c>
    </row>
    <row r="20" spans="1:29" ht="142.5">
      <c r="A20" s="254"/>
      <c r="B20" s="269" t="s">
        <v>1741</v>
      </c>
      <c r="C20" s="1364" t="str">
        <f>IF(B1="工业",估价对象房地状况!G7,估价对象房地状况!C9)</f>
        <v>估价对象周边有房山人民公园、北潞园健身公园等绿化景观，自然环境较好；有房山区良乡体育中心等人文场所，人文环境较好；综合评价环境状况较好。</v>
      </c>
      <c r="D20" s="2889">
        <v>100</v>
      </c>
      <c r="E20" s="273"/>
      <c r="F20" s="3734">
        <f>SUMIF(67:67,E21,68:68)-SUMIF(67:67,C21,68:68)+100</f>
        <v>100</v>
      </c>
      <c r="G20" s="274"/>
      <c r="H20" s="268">
        <f>SUMIF(67:67,G21,68:68)-SUMIF(67:67,C21,68:68)+100</f>
        <v>100</v>
      </c>
      <c r="I20" s="270"/>
      <c r="J20" s="268">
        <f>SUMIF(67:67,I21,68:68)-SUMIF(67:67,C21,68:68)+100</f>
        <v>100</v>
      </c>
      <c r="K20" s="396"/>
      <c r="L20" s="1979"/>
      <c r="M20" s="1974"/>
      <c r="N20" s="1974"/>
      <c r="O20" s="2029"/>
      <c r="P20" s="4597"/>
      <c r="Q20" s="906" t="str">
        <f>B20</f>
        <v>自然及人文环境</v>
      </c>
      <c r="R20" s="3743" t="s">
        <v>13</v>
      </c>
      <c r="S20" s="3746">
        <f>F20</f>
        <v>100</v>
      </c>
      <c r="T20" s="3743" t="s">
        <v>13</v>
      </c>
      <c r="U20" s="3746">
        <f>H20</f>
        <v>100</v>
      </c>
      <c r="V20" s="3743" t="s">
        <v>13</v>
      </c>
      <c r="W20" s="3746">
        <f>J20</f>
        <v>100</v>
      </c>
      <c r="X20" s="909"/>
      <c r="Y20" s="4597"/>
      <c r="Z20" s="907" t="str">
        <f>Q20</f>
        <v>自然及人文环境</v>
      </c>
      <c r="AA20" s="907">
        <f t="shared" si="3"/>
        <v>1</v>
      </c>
      <c r="AB20" s="907">
        <f t="shared" si="4"/>
        <v>1</v>
      </c>
      <c r="AC20" s="907">
        <f t="shared" si="5"/>
        <v>1</v>
      </c>
    </row>
    <row r="21" spans="1:29" ht="15">
      <c r="A21" s="254"/>
      <c r="B21" s="272"/>
      <c r="C21" s="266"/>
      <c r="D21" s="2887"/>
      <c r="E21" s="266"/>
      <c r="F21" s="3732"/>
      <c r="G21" s="266"/>
      <c r="H21" s="267"/>
      <c r="I21" s="266"/>
      <c r="J21" s="267"/>
      <c r="K21" s="397"/>
      <c r="L21" s="1979"/>
      <c r="M21" s="1974"/>
      <c r="N21" s="1974"/>
      <c r="O21" s="2029"/>
      <c r="P21" s="4597"/>
      <c r="Q21" s="906"/>
      <c r="R21" s="3743"/>
      <c r="S21" s="3746"/>
      <c r="T21" s="3743"/>
      <c r="U21" s="3746"/>
      <c r="V21" s="3743"/>
      <c r="W21" s="3746"/>
      <c r="X21" s="909"/>
      <c r="Y21" s="4597"/>
      <c r="Z21" s="907"/>
      <c r="AA21" s="907">
        <v>1</v>
      </c>
      <c r="AB21" s="907">
        <v>1</v>
      </c>
      <c r="AC21" s="907">
        <v>1</v>
      </c>
    </row>
    <row r="22" spans="1:29" ht="15">
      <c r="A22" s="254"/>
      <c r="B22" s="269" t="s">
        <v>1742</v>
      </c>
      <c r="C22" s="398"/>
      <c r="D22" s="2888">
        <v>100</v>
      </c>
      <c r="E22" s="398"/>
      <c r="F22" s="908">
        <f>SUMIF(69:69,E22,70:70)-SUMIF(69:69,C22,70:70)+100</f>
        <v>100</v>
      </c>
      <c r="G22" s="398"/>
      <c r="H22" s="3727">
        <f>SUMIF(69:69,G22,70:70)-SUMIF(69:69,C22,70:70)+100</f>
        <v>100</v>
      </c>
      <c r="I22" s="398"/>
      <c r="J22" s="3727">
        <f>SUMIF(69:69,I22,70:70)-SUMIF(69:69,C22,70:70)+100</f>
        <v>100</v>
      </c>
      <c r="K22" s="394"/>
      <c r="L22" s="1979"/>
      <c r="M22" s="1974"/>
      <c r="N22" s="1974"/>
      <c r="O22" s="2029"/>
      <c r="P22" s="4597"/>
      <c r="Q22" s="906" t="str">
        <f>B22</f>
        <v>楼层</v>
      </c>
      <c r="R22" s="3743" t="s">
        <v>13</v>
      </c>
      <c r="S22" s="3746">
        <f>F22</f>
        <v>100</v>
      </c>
      <c r="T22" s="3743" t="s">
        <v>13</v>
      </c>
      <c r="U22" s="3746">
        <f>H22</f>
        <v>100</v>
      </c>
      <c r="V22" s="3743" t="s">
        <v>13</v>
      </c>
      <c r="W22" s="3746">
        <f>J22</f>
        <v>100</v>
      </c>
      <c r="X22" s="909"/>
      <c r="Y22" s="4597"/>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7">
        <f>SUMIF(71:71,G23,72:72)-SUMIF(71:71,C23,72:72)+100</f>
        <v>100</v>
      </c>
      <c r="I23" s="259"/>
      <c r="J23" s="3727">
        <f>SUMIF(71:71,I23,72:72)-SUMIF(71:71,C23,72:72)+100</f>
        <v>100</v>
      </c>
      <c r="K23" s="395"/>
      <c r="L23" s="1979"/>
      <c r="M23" s="1974"/>
      <c r="N23" s="1974"/>
      <c r="O23" s="2029"/>
      <c r="P23" s="4597"/>
      <c r="Q23" s="906">
        <f>B23</f>
        <v>111</v>
      </c>
      <c r="R23" s="3743" t="s">
        <v>13</v>
      </c>
      <c r="S23" s="3746">
        <f>F23</f>
        <v>100</v>
      </c>
      <c r="T23" s="3743" t="s">
        <v>13</v>
      </c>
      <c r="U23" s="3746">
        <f>H23</f>
        <v>100</v>
      </c>
      <c r="V23" s="3743" t="s">
        <v>13</v>
      </c>
      <c r="W23" s="3746">
        <f>J23</f>
        <v>100</v>
      </c>
      <c r="X23" s="909"/>
      <c r="Y23" s="4597"/>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7">
        <f>SUMIF(73:73,G24,74:74)-SUMIF(73:73,C24,74:74)+100</f>
        <v>100</v>
      </c>
      <c r="I24" s="259"/>
      <c r="J24" s="3727">
        <f>SUMIF(73:73,I24,74:74)-SUMIF(73:73,C24,74:74)+100</f>
        <v>100</v>
      </c>
      <c r="K24" s="395"/>
      <c r="L24" s="1979"/>
      <c r="M24" s="1974"/>
      <c r="N24" s="1974"/>
      <c r="O24" s="2029"/>
      <c r="P24" s="4597"/>
      <c r="Q24" s="906">
        <f t="shared" ref="Q24:Q34" si="11">B24</f>
        <v>111</v>
      </c>
      <c r="R24" s="3743" t="s">
        <v>13</v>
      </c>
      <c r="S24" s="3746">
        <f>F24</f>
        <v>100</v>
      </c>
      <c r="T24" s="3743" t="s">
        <v>13</v>
      </c>
      <c r="U24" s="3746">
        <f>H24</f>
        <v>100</v>
      </c>
      <c r="V24" s="3743" t="s">
        <v>13</v>
      </c>
      <c r="W24" s="3746">
        <f>J24</f>
        <v>100</v>
      </c>
      <c r="X24" s="909"/>
      <c r="Y24" s="4597"/>
      <c r="Z24" s="907">
        <f>Q24</f>
        <v>111</v>
      </c>
      <c r="AA24" s="907">
        <f t="shared" si="3"/>
        <v>1</v>
      </c>
      <c r="AB24" s="907">
        <f t="shared" si="4"/>
        <v>1</v>
      </c>
      <c r="AC24" s="907">
        <f t="shared" si="5"/>
        <v>1</v>
      </c>
    </row>
    <row r="25" spans="1:29" s="46" customFormat="1" ht="15.75" thickBot="1">
      <c r="A25" s="257"/>
      <c r="B25" s="310">
        <v>111</v>
      </c>
      <c r="C25" s="1429"/>
      <c r="D25" s="2893">
        <v>100</v>
      </c>
      <c r="E25" s="1429"/>
      <c r="F25" s="759">
        <f>SUMIF(75:75,E25,76:76)-SUMIF(75:75,C25,76:76)+100</f>
        <v>100</v>
      </c>
      <c r="G25" s="1429"/>
      <c r="H25" s="407">
        <f>SUMIF(75:75,G25,76:76)-SUMIF(75:75,C25,76:76)+100</f>
        <v>100</v>
      </c>
      <c r="I25" s="1429"/>
      <c r="J25" s="407">
        <f>SUMIF(75:75,I25,76:76)-SUMIF(75:75,C25,76:76)+100</f>
        <v>100</v>
      </c>
      <c r="K25" s="395"/>
      <c r="L25" s="1975"/>
      <c r="M25" s="1928"/>
      <c r="N25" s="1928"/>
      <c r="O25" s="2027"/>
      <c r="P25" s="4597"/>
      <c r="Q25" s="389">
        <f t="shared" si="11"/>
        <v>111</v>
      </c>
      <c r="R25" s="3742" t="s">
        <v>13</v>
      </c>
      <c r="S25" s="3745">
        <f>F25</f>
        <v>100</v>
      </c>
      <c r="T25" s="3742" t="s">
        <v>13</v>
      </c>
      <c r="U25" s="3745">
        <f>H25</f>
        <v>100</v>
      </c>
      <c r="V25" s="3742" t="s">
        <v>13</v>
      </c>
      <c r="W25" s="3745">
        <f>J25</f>
        <v>100</v>
      </c>
      <c r="X25" s="482"/>
      <c r="Y25" s="4597"/>
      <c r="Z25" s="28">
        <f>Q25</f>
        <v>111</v>
      </c>
      <c r="AA25" s="907">
        <f>D25/F25</f>
        <v>1</v>
      </c>
      <c r="AB25" s="907">
        <f>D25/H25</f>
        <v>1</v>
      </c>
      <c r="AC25" s="907">
        <f>D25/J25</f>
        <v>1</v>
      </c>
    </row>
    <row r="26" spans="1:29" ht="28.5">
      <c r="A26" s="276" t="s">
        <v>1601</v>
      </c>
      <c r="B26" s="34" t="s">
        <v>1745</v>
      </c>
      <c r="C26" s="1420"/>
      <c r="D26" s="2891">
        <v>100</v>
      </c>
      <c r="E26" s="1420"/>
      <c r="F26" s="3748">
        <f>SUMIF(77:77,E26,78:78)-SUMIF(77:77,C26,78:78)+100</f>
        <v>100</v>
      </c>
      <c r="G26" s="1420"/>
      <c r="H26" s="3730">
        <f>SUMIF(77:77,G26,78:78)-SUMIF(77:77,C26,78:78)+100</f>
        <v>100</v>
      </c>
      <c r="I26" s="1420"/>
      <c r="J26" s="3730">
        <f>SUMIF(77:77,I26,78:78)-SUMIF(77:77,C26,78:78)+100</f>
        <v>100</v>
      </c>
      <c r="K26" s="394"/>
      <c r="L26" s="1979"/>
      <c r="M26" s="1974"/>
      <c r="N26" s="1974"/>
      <c r="O26" s="2029"/>
      <c r="P26" s="4685" t="s">
        <v>1603</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601"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7" t="e">
        <f>LOOKUP(G27,80:80,81:81)-LOOKUP(C27,80:80,81:81)+100</f>
        <v>#N/A</v>
      </c>
      <c r="I27" s="284"/>
      <c r="J27" s="3727" t="e">
        <f>LOOKUP(I27,80:80,81:81)-LOOKUP(C27,80:80,81:81)+100</f>
        <v>#N/A</v>
      </c>
      <c r="K27" s="394"/>
      <c r="L27" s="1978"/>
      <c r="M27" s="1980"/>
      <c r="N27" s="1980"/>
      <c r="O27" s="2030"/>
      <c r="P27" s="4601"/>
      <c r="Q27" s="483" t="str">
        <f t="shared" si="11"/>
        <v>成新率</v>
      </c>
      <c r="R27" s="3744" t="s">
        <v>13</v>
      </c>
      <c r="S27" s="3747" t="e">
        <f t="shared" si="12"/>
        <v>#N/A</v>
      </c>
      <c r="T27" s="3744" t="s">
        <v>13</v>
      </c>
      <c r="U27" s="3747" t="e">
        <f t="shared" si="13"/>
        <v>#N/A</v>
      </c>
      <c r="V27" s="3744" t="s">
        <v>13</v>
      </c>
      <c r="W27" s="3747" t="e">
        <f t="shared" si="14"/>
        <v>#N/A</v>
      </c>
      <c r="X27" s="484"/>
      <c r="Y27" s="4601"/>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7">
        <f>SUMIF(82:82,G28,83:83)-SUMIF(82:82,C28,83:83)+100</f>
        <v>100</v>
      </c>
      <c r="I28" s="275"/>
      <c r="J28" s="3727">
        <f>SUMIF(82:82,I28,83:83)-SUMIF(82:82,C28,83:83)+100</f>
        <v>100</v>
      </c>
      <c r="K28" s="394"/>
      <c r="L28" s="1979"/>
      <c r="M28" s="1974"/>
      <c r="N28" s="1974"/>
      <c r="O28" s="2029"/>
      <c r="P28" s="4601"/>
      <c r="Q28" s="906" t="str">
        <f t="shared" si="11"/>
        <v>物业等级</v>
      </c>
      <c r="R28" s="3743" t="s">
        <v>13</v>
      </c>
      <c r="S28" s="3746">
        <f t="shared" si="12"/>
        <v>100</v>
      </c>
      <c r="T28" s="3743" t="s">
        <v>13</v>
      </c>
      <c r="U28" s="3746">
        <f t="shared" si="13"/>
        <v>100</v>
      </c>
      <c r="V28" s="3743" t="s">
        <v>13</v>
      </c>
      <c r="W28" s="3746">
        <f t="shared" si="14"/>
        <v>100</v>
      </c>
      <c r="X28" s="909"/>
      <c r="Y28" s="4601"/>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7">
        <f>SUMIF(84:84,G29,85:85)-SUMIF(84:84,C29,85:85)+100</f>
        <v>100</v>
      </c>
      <c r="I29" s="425"/>
      <c r="J29" s="3727">
        <f>SUMIF(84:84,I29,85:85)-SUMIF(84:84,C29,85:85)+100</f>
        <v>100</v>
      </c>
      <c r="K29" s="394"/>
      <c r="L29" s="1979"/>
      <c r="M29" s="1974"/>
      <c r="N29" s="1974"/>
      <c r="O29" s="2029"/>
      <c r="P29" s="4601"/>
      <c r="Q29" s="906" t="str">
        <f t="shared" si="11"/>
        <v>有无电梯</v>
      </c>
      <c r="R29" s="3743" t="s">
        <v>13</v>
      </c>
      <c r="S29" s="3746">
        <f t="shared" si="12"/>
        <v>100</v>
      </c>
      <c r="T29" s="3743" t="s">
        <v>13</v>
      </c>
      <c r="U29" s="3746">
        <f t="shared" si="13"/>
        <v>100</v>
      </c>
      <c r="V29" s="3743" t="s">
        <v>13</v>
      </c>
      <c r="W29" s="3746">
        <f t="shared" si="14"/>
        <v>100</v>
      </c>
      <c r="X29" s="909"/>
      <c r="Y29" s="4601"/>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7" t="e">
        <f>LOOKUP(G30,87:87,88:88)-LOOKUP(C30,87:87,88:88)+100</f>
        <v>#N/A</v>
      </c>
      <c r="I30" s="278"/>
      <c r="J30" s="3727" t="e">
        <f>LOOKUP(I30,87:87,88:88)-LOOKUP(C30,87:87,88:88)+100</f>
        <v>#N/A</v>
      </c>
      <c r="K30" s="395"/>
      <c r="L30" s="1979"/>
      <c r="M30" s="1974"/>
      <c r="N30" s="1974"/>
      <c r="O30" s="2029"/>
      <c r="P30" s="4601"/>
      <c r="Q30" s="906" t="str">
        <f t="shared" si="11"/>
        <v>建筑面积</v>
      </c>
      <c r="R30" s="3743" t="s">
        <v>13</v>
      </c>
      <c r="S30" s="3746" t="e">
        <f t="shared" si="12"/>
        <v>#N/A</v>
      </c>
      <c r="T30" s="3743" t="s">
        <v>13</v>
      </c>
      <c r="U30" s="3746" t="e">
        <f t="shared" si="13"/>
        <v>#N/A</v>
      </c>
      <c r="V30" s="3743" t="s">
        <v>13</v>
      </c>
      <c r="W30" s="3746" t="e">
        <f t="shared" si="14"/>
        <v>#N/A</v>
      </c>
      <c r="X30" s="909"/>
      <c r="Y30" s="4601"/>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7">
        <f>SUMIF(89:89,G31,90:90)-SUMIF(89:89,C31,90:90)+100</f>
        <v>100</v>
      </c>
      <c r="I31" s="425"/>
      <c r="J31" s="3727">
        <f>SUMIF(89:89,I31,90:90)-SUMIF(89:89,C31,90:90)+100</f>
        <v>100</v>
      </c>
      <c r="K31" s="394"/>
      <c r="L31" s="1975"/>
      <c r="M31" s="1928"/>
      <c r="N31" s="1928"/>
      <c r="O31" s="2027"/>
      <c r="P31" s="4601"/>
      <c r="Q31" s="389" t="str">
        <f t="shared" si="11"/>
        <v>是否封闭</v>
      </c>
      <c r="R31" s="3742" t="s">
        <v>13</v>
      </c>
      <c r="S31" s="3745">
        <f t="shared" si="12"/>
        <v>100</v>
      </c>
      <c r="T31" s="3742" t="s">
        <v>13</v>
      </c>
      <c r="U31" s="3745">
        <f t="shared" si="13"/>
        <v>100</v>
      </c>
      <c r="V31" s="3742" t="s">
        <v>13</v>
      </c>
      <c r="W31" s="3745">
        <f t="shared" si="14"/>
        <v>100</v>
      </c>
      <c r="X31" s="482"/>
      <c r="Y31" s="4601"/>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7">
        <f>SUMIF(91:91,G32,92:92)-SUMIF(91:91,C32,92:92)+100</f>
        <v>100</v>
      </c>
      <c r="I32" s="278"/>
      <c r="J32" s="3727">
        <f>SUMIF(91:91,I32,92:92)-SUMIF(91:91,C32,92:92)+100</f>
        <v>100</v>
      </c>
      <c r="K32" s="395"/>
      <c r="L32" s="1979"/>
      <c r="M32" s="1974"/>
      <c r="N32" s="1974"/>
      <c r="O32" s="2029"/>
      <c r="P32" s="4601" t="s">
        <v>1603</v>
      </c>
      <c r="Q32" s="906">
        <f t="shared" si="11"/>
        <v>111</v>
      </c>
      <c r="R32" s="3743" t="s">
        <v>13</v>
      </c>
      <c r="S32" s="3746">
        <f t="shared" si="12"/>
        <v>100</v>
      </c>
      <c r="T32" s="3743" t="s">
        <v>13</v>
      </c>
      <c r="U32" s="3746">
        <f t="shared" si="13"/>
        <v>100</v>
      </c>
      <c r="V32" s="3743" t="s">
        <v>13</v>
      </c>
      <c r="W32" s="3746">
        <f t="shared" si="14"/>
        <v>100</v>
      </c>
      <c r="X32" s="909"/>
      <c r="Y32" s="4601"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7">
        <f>SUMIF(93:93,G33,94:94)-SUMIF(93:93,C33,94:94)+100</f>
        <v>100</v>
      </c>
      <c r="I33" s="278"/>
      <c r="J33" s="3727">
        <f>SUMIF(93:93,I33,94:94)-SUMIF(93:93,C33,94:94)+100</f>
        <v>100</v>
      </c>
      <c r="K33" s="395"/>
      <c r="L33" s="1979"/>
      <c r="M33" s="1974"/>
      <c r="N33" s="1974"/>
      <c r="O33" s="2029"/>
      <c r="P33" s="4601"/>
      <c r="Q33" s="906">
        <f t="shared" si="11"/>
        <v>111</v>
      </c>
      <c r="R33" s="3743" t="s">
        <v>13</v>
      </c>
      <c r="S33" s="3746">
        <f t="shared" si="12"/>
        <v>100</v>
      </c>
      <c r="T33" s="3743" t="s">
        <v>13</v>
      </c>
      <c r="U33" s="3746">
        <f t="shared" si="13"/>
        <v>100</v>
      </c>
      <c r="V33" s="3743" t="s">
        <v>13</v>
      </c>
      <c r="W33" s="3746">
        <f t="shared" si="14"/>
        <v>100</v>
      </c>
      <c r="X33" s="909"/>
      <c r="Y33" s="4601"/>
      <c r="Z33" s="907">
        <f t="shared" si="15"/>
        <v>111</v>
      </c>
      <c r="AA33" s="907">
        <f t="shared" si="3"/>
        <v>1</v>
      </c>
      <c r="AB33" s="907">
        <f t="shared" si="4"/>
        <v>1</v>
      </c>
      <c r="AC33" s="907">
        <f t="shared" si="5"/>
        <v>1</v>
      </c>
    </row>
    <row r="34" spans="1:30" ht="15.75" thickBot="1">
      <c r="A34" s="285"/>
      <c r="B34" s="1361">
        <v>111</v>
      </c>
      <c r="C34" s="261"/>
      <c r="D34" s="2885">
        <v>100</v>
      </c>
      <c r="E34" s="1428"/>
      <c r="F34" s="3728">
        <f>SUMIF(95:95,E34,96:96)-SUMIF(95:95,C34,96:96)+100</f>
        <v>100</v>
      </c>
      <c r="G34" s="1428"/>
      <c r="H34" s="3724">
        <f>SUMIF(95:95,G34,96:96)-SUMIF(95:95,C34,96:96)+100</f>
        <v>100</v>
      </c>
      <c r="I34" s="1428"/>
      <c r="J34" s="3724">
        <f>SUMIF(95:95,I34,96:96)-SUMIF(95:95,C34,96:96)+100</f>
        <v>100</v>
      </c>
      <c r="K34" s="395"/>
      <c r="L34" s="1979"/>
      <c r="M34" s="1974"/>
      <c r="N34" s="1974"/>
      <c r="O34" s="2029"/>
      <c r="P34" s="4601"/>
      <c r="Q34" s="906">
        <f t="shared" si="11"/>
        <v>111</v>
      </c>
      <c r="R34" s="3743" t="s">
        <v>13</v>
      </c>
      <c r="S34" s="3746">
        <f t="shared" si="12"/>
        <v>100</v>
      </c>
      <c r="T34" s="3743" t="s">
        <v>13</v>
      </c>
      <c r="U34" s="3746">
        <f t="shared" si="13"/>
        <v>100</v>
      </c>
      <c r="V34" s="3743" t="s">
        <v>13</v>
      </c>
      <c r="W34" s="3746">
        <f t="shared" si="14"/>
        <v>100</v>
      </c>
      <c r="X34" s="909"/>
      <c r="Y34" s="4601"/>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81" t="str">
        <f>A35</f>
        <v>成交单价（元/平方米）</v>
      </c>
      <c r="Q35" s="4681"/>
      <c r="R35" s="4646">
        <f>E35</f>
        <v>0</v>
      </c>
      <c r="S35" s="4646"/>
      <c r="T35" s="4646">
        <f>G35</f>
        <v>0</v>
      </c>
      <c r="U35" s="4646"/>
      <c r="V35" s="4646">
        <f>I35</f>
        <v>0</v>
      </c>
      <c r="W35" s="4646"/>
      <c r="X35" s="265"/>
      <c r="Y35" s="486"/>
      <c r="Z35" s="265"/>
      <c r="AA35" s="265"/>
      <c r="AB35" s="265"/>
      <c r="AC35" s="265"/>
    </row>
    <row r="36" spans="1:30" ht="15.75" thickBot="1">
      <c r="A36" s="289" t="s">
        <v>1700</v>
      </c>
      <c r="B36" s="290"/>
      <c r="C36" s="3709" t="e">
        <f>R37</f>
        <v>#DIV/0!</v>
      </c>
      <c r="D36" s="3822" t="s">
        <v>2040</v>
      </c>
      <c r="E36" s="3720" t="e">
        <f>R36</f>
        <v>#DIV/0!</v>
      </c>
      <c r="F36" s="2783"/>
      <c r="G36" s="3709" t="e">
        <f>T36</f>
        <v>#DIV/0!</v>
      </c>
      <c r="H36" s="2783"/>
      <c r="I36" s="3720" t="e">
        <f>V36</f>
        <v>#DIV/0!</v>
      </c>
      <c r="J36" s="2783"/>
      <c r="K36" s="2837">
        <f>F36+H36+J36</f>
        <v>0</v>
      </c>
      <c r="L36" s="1981"/>
      <c r="M36" s="1974"/>
      <c r="N36" s="1974"/>
      <c r="O36" s="1974"/>
      <c r="P36" s="4681" t="str">
        <f>A36</f>
        <v>比较价值（元/平方米）</v>
      </c>
      <c r="Q36" s="4681"/>
      <c r="R36" s="4646" t="e">
        <f>IF(F1="售价",ROUND(PRODUCT(R35,AA7:AA34),0),ROUND(PRODUCT(R35,AA7:AA34),1))</f>
        <v>#DIV/0!</v>
      </c>
      <c r="S36" s="4646"/>
      <c r="T36" s="4646" t="e">
        <f>IF(F1="售价",ROUND(PRODUCT(T35,AB7:AB34),0),ROUND(PRODUCT(T35,AB7:AB34),1))</f>
        <v>#DIV/0!</v>
      </c>
      <c r="U36" s="4646"/>
      <c r="V36" s="4646" t="e">
        <f>IF(F1="售价",ROUND(PRODUCT(V35,AC7:AC34),0),ROUND(PRODUCT(V35,AC7:AC34),1))</f>
        <v>#DIV/0!</v>
      </c>
      <c r="W36" s="4646"/>
      <c r="X36" s="265"/>
      <c r="Y36" s="265"/>
      <c r="Z36" s="265"/>
      <c r="AA36" s="265"/>
      <c r="AB36" s="265"/>
      <c r="AC36" s="265"/>
    </row>
    <row r="37" spans="1:30" ht="15.75" thickBot="1">
      <c r="A37" s="291" t="s">
        <v>1701</v>
      </c>
      <c r="B37" s="292"/>
      <c r="C37" s="3721" t="e">
        <f>R37</f>
        <v>#DIV/0!</v>
      </c>
      <c r="D37" s="241"/>
      <c r="E37" s="241"/>
      <c r="F37" s="241"/>
      <c r="G37" s="241"/>
      <c r="H37" s="241"/>
      <c r="I37" s="241"/>
      <c r="J37" s="241"/>
      <c r="K37" s="487"/>
      <c r="L37" s="1981"/>
      <c r="M37" s="1974"/>
      <c r="N37" s="1974"/>
      <c r="O37" s="1974"/>
      <c r="P37" s="4682" t="str">
        <f>A37</f>
        <v>估价对象XX用房的比较价值（楼面单价，元/平方米）</v>
      </c>
      <c r="Q37" s="4683"/>
      <c r="R37" s="4684" t="e">
        <f>IF(F1="售价",ROUND(IF(D36="简单平均",AVERAGE(R36:W36),R36*F36+T36*H36+V36*J36),0),ROUND(IF(D36="简单平均",AVERAGE(R36:V36),R36*F36+T36*H36+V36*J36),1))</f>
        <v>#DIV/0!</v>
      </c>
      <c r="S37" s="4684"/>
      <c r="T37" s="4684"/>
      <c r="U37" s="4684"/>
      <c r="V37" s="4684"/>
      <c r="W37" s="4684"/>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3867</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68B4-92D9-47C0-A3E4-B21E7CC1D6A7}">
  <dimension ref="A1:P162"/>
  <sheetViews>
    <sheetView zoomScale="85" zoomScaleNormal="85" workbookViewId="0">
      <selection activeCell="F18" sqref="F18"/>
    </sheetView>
  </sheetViews>
  <sheetFormatPr defaultRowHeight="12"/>
  <cols>
    <col min="1" max="1" width="19.375" style="4266" customWidth="1"/>
    <col min="2" max="2" width="21.25" style="4266" customWidth="1"/>
    <col min="3" max="4" width="15.625" style="4266" bestFit="1" customWidth="1"/>
    <col min="5" max="5" width="12.375" style="4266" bestFit="1" customWidth="1"/>
    <col min="6" max="6" width="14" style="4266" customWidth="1"/>
    <col min="7" max="7" width="9.375" style="4266" customWidth="1"/>
    <col min="8" max="8" width="9.25" style="4266" customWidth="1"/>
    <col min="9" max="9" width="8" style="4266" bestFit="1" customWidth="1"/>
    <col min="10" max="10" width="10.25" style="4266" bestFit="1" customWidth="1"/>
    <col min="11" max="11" width="11.5" style="4266" bestFit="1" customWidth="1"/>
    <col min="12" max="12" width="9.375" style="4266" bestFit="1" customWidth="1"/>
    <col min="13" max="13" width="9.625" style="4266" bestFit="1" customWidth="1"/>
    <col min="14" max="14" width="9" style="4266" bestFit="1" customWidth="1"/>
    <col min="15" max="15" width="6.375" style="4266" bestFit="1" customWidth="1"/>
    <col min="16" max="16" width="23.625" style="4266" customWidth="1"/>
    <col min="17" max="16384" width="9" style="4266"/>
  </cols>
  <sheetData>
    <row r="1" spans="1:16" s="4267" customFormat="1" ht="24">
      <c r="A1" s="4267" t="s">
        <v>4601</v>
      </c>
      <c r="B1" s="4267" t="s">
        <v>4602</v>
      </c>
      <c r="C1" s="4267" t="s">
        <v>4603</v>
      </c>
      <c r="D1" s="4267" t="s">
        <v>4604</v>
      </c>
      <c r="F1" s="4267" t="s">
        <v>4605</v>
      </c>
      <c r="G1" s="4267" t="s">
        <v>4606</v>
      </c>
      <c r="H1" s="4267" t="s">
        <v>4607</v>
      </c>
      <c r="I1" s="4267" t="s">
        <v>4608</v>
      </c>
      <c r="J1" s="4267" t="s">
        <v>4609</v>
      </c>
      <c r="K1" s="4267" t="s">
        <v>4610</v>
      </c>
      <c r="L1" s="4267" t="s">
        <v>4614</v>
      </c>
      <c r="M1" s="4267" t="s">
        <v>4611</v>
      </c>
      <c r="N1" s="4267" t="s">
        <v>4613</v>
      </c>
      <c r="O1" s="4267" t="s">
        <v>4612</v>
      </c>
      <c r="P1" s="4264" t="s">
        <v>4615</v>
      </c>
    </row>
    <row r="2" spans="1:16">
      <c r="A2" s="4266" t="s">
        <v>4600</v>
      </c>
      <c r="B2" s="4266" t="s">
        <v>4599</v>
      </c>
      <c r="C2" s="4266">
        <v>9836.84</v>
      </c>
      <c r="D2" s="4266">
        <v>11804.21</v>
      </c>
      <c r="E2" s="4266" t="s">
        <v>4498</v>
      </c>
      <c r="F2" s="4266" t="s">
        <v>4598</v>
      </c>
      <c r="G2" s="4266" t="s">
        <v>4571</v>
      </c>
      <c r="H2" s="4266" t="s">
        <v>4594</v>
      </c>
      <c r="I2" s="4266" t="s">
        <v>4494</v>
      </c>
      <c r="J2" s="4265">
        <v>46120</v>
      </c>
      <c r="K2" s="4266" t="s">
        <v>627</v>
      </c>
      <c r="L2" s="4266">
        <v>9413.59</v>
      </c>
      <c r="M2" s="4266">
        <v>627.57000000000005</v>
      </c>
      <c r="N2" s="4266">
        <v>7845</v>
      </c>
      <c r="O2" s="4266">
        <v>0</v>
      </c>
      <c r="P2" s="4266" t="s">
        <v>4597</v>
      </c>
    </row>
    <row r="3" spans="1:16" s="4776" customFormat="1">
      <c r="A3" s="4776" t="s">
        <v>4596</v>
      </c>
      <c r="B3" s="4776" t="s">
        <v>4595</v>
      </c>
      <c r="C3" s="4776">
        <v>8976.69</v>
      </c>
      <c r="D3" s="4776">
        <v>10772.03</v>
      </c>
      <c r="E3" s="4776" t="s">
        <v>4498</v>
      </c>
      <c r="F3" s="4776" t="s">
        <v>4497</v>
      </c>
      <c r="G3" s="4776" t="s">
        <v>4571</v>
      </c>
      <c r="H3" s="4776" t="s">
        <v>4594</v>
      </c>
      <c r="I3" s="4776" t="s">
        <v>4494</v>
      </c>
      <c r="J3" s="4777">
        <v>46114</v>
      </c>
      <c r="K3" s="4776">
        <v>11170</v>
      </c>
      <c r="L3" s="4776">
        <v>12443.34</v>
      </c>
      <c r="M3" s="4776">
        <v>829.56</v>
      </c>
      <c r="N3" s="4776">
        <v>10369</v>
      </c>
      <c r="O3" s="4776">
        <v>0</v>
      </c>
      <c r="P3" s="4776" t="s">
        <v>4593</v>
      </c>
    </row>
    <row r="4" spans="1:16">
      <c r="A4" s="4266" t="s">
        <v>4592</v>
      </c>
      <c r="B4" s="4266" t="s">
        <v>4591</v>
      </c>
      <c r="C4" s="4266">
        <v>14825.31</v>
      </c>
      <c r="D4" s="4266">
        <v>18531.63</v>
      </c>
      <c r="E4" s="4266" t="s">
        <v>4498</v>
      </c>
      <c r="F4" s="4266" t="s">
        <v>4590</v>
      </c>
      <c r="G4" s="4266" t="s">
        <v>4589</v>
      </c>
      <c r="H4" s="4266" t="s">
        <v>4588</v>
      </c>
      <c r="I4" s="4266" t="s">
        <v>4494</v>
      </c>
      <c r="J4" s="4265">
        <v>46100</v>
      </c>
      <c r="K4" s="4266">
        <v>7500</v>
      </c>
      <c r="L4" s="4266">
        <v>5058.91</v>
      </c>
      <c r="M4" s="4266">
        <v>337.26</v>
      </c>
      <c r="N4" s="4266">
        <v>4047</v>
      </c>
      <c r="O4" s="4266">
        <v>0</v>
      </c>
      <c r="P4" s="4266" t="s">
        <v>4587</v>
      </c>
    </row>
    <row r="5" spans="1:16">
      <c r="A5" s="4266" t="s">
        <v>4586</v>
      </c>
      <c r="B5" s="4266" t="s">
        <v>4585</v>
      </c>
      <c r="C5" s="4266">
        <v>8807.82</v>
      </c>
      <c r="D5" s="4266">
        <v>19377.2</v>
      </c>
      <c r="E5" s="4266" t="s">
        <v>4498</v>
      </c>
      <c r="F5" s="4266" t="s">
        <v>4584</v>
      </c>
      <c r="G5" s="4266" t="s">
        <v>4583</v>
      </c>
      <c r="H5" s="4266">
        <v>2.2000000000000002</v>
      </c>
      <c r="I5" s="4266" t="s">
        <v>4494</v>
      </c>
      <c r="J5" s="4265">
        <v>46092</v>
      </c>
      <c r="K5" s="4266">
        <v>17200</v>
      </c>
      <c r="L5" s="4266">
        <v>19528.099999999999</v>
      </c>
      <c r="M5" s="4266">
        <v>1301.8699999999999</v>
      </c>
      <c r="N5" s="4266">
        <v>8876</v>
      </c>
      <c r="O5" s="4266">
        <v>0</v>
      </c>
      <c r="P5" s="4266" t="s">
        <v>4582</v>
      </c>
    </row>
    <row r="6" spans="1:16" s="4281" customFormat="1">
      <c r="A6" s="4281" t="s">
        <v>9877</v>
      </c>
      <c r="B6" s="4281" t="s">
        <v>4581</v>
      </c>
      <c r="C6" s="4281">
        <v>79959.070000000007</v>
      </c>
      <c r="D6" s="4281">
        <v>266129</v>
      </c>
      <c r="E6" s="4281" t="s">
        <v>4498</v>
      </c>
      <c r="F6" s="4281" t="s">
        <v>4580</v>
      </c>
      <c r="G6" s="4281" t="s">
        <v>4537</v>
      </c>
      <c r="H6" s="4281" t="s">
        <v>4579</v>
      </c>
      <c r="I6" s="4281" t="s">
        <v>4494</v>
      </c>
      <c r="J6" s="4282">
        <v>46021</v>
      </c>
      <c r="K6" s="4281">
        <v>294800</v>
      </c>
      <c r="L6" s="4281">
        <v>36868.86</v>
      </c>
      <c r="M6" s="4281">
        <v>2457.92</v>
      </c>
      <c r="N6" s="4281">
        <v>11077</v>
      </c>
      <c r="O6" s="4281">
        <v>0</v>
      </c>
      <c r="P6" s="4281" t="s">
        <v>4578</v>
      </c>
    </row>
    <row r="7" spans="1:16">
      <c r="A7" s="4266" t="s">
        <v>4577</v>
      </c>
      <c r="B7" s="4266" t="s">
        <v>4576</v>
      </c>
      <c r="C7" s="4266">
        <v>9550.32</v>
      </c>
      <c r="D7" s="4266">
        <v>19100.64</v>
      </c>
      <c r="E7" s="4266" t="s">
        <v>4498</v>
      </c>
      <c r="F7" s="4266" t="s">
        <v>4575</v>
      </c>
      <c r="G7" s="4266" t="s">
        <v>4574</v>
      </c>
      <c r="H7" s="4266">
        <v>2</v>
      </c>
      <c r="I7" s="4266" t="s">
        <v>4494</v>
      </c>
      <c r="J7" s="4265">
        <v>46020</v>
      </c>
      <c r="K7" s="4266">
        <v>15600</v>
      </c>
      <c r="L7" s="4266">
        <v>16334.53</v>
      </c>
      <c r="M7" s="4266">
        <v>1088.97</v>
      </c>
      <c r="N7" s="4266">
        <v>8167</v>
      </c>
      <c r="O7" s="4266">
        <v>0</v>
      </c>
      <c r="P7" s="4266" t="s">
        <v>4573</v>
      </c>
    </row>
    <row r="8" spans="1:16" s="4281" customFormat="1">
      <c r="A8" s="4281" t="s">
        <v>9875</v>
      </c>
      <c r="B8" s="4281" t="s">
        <v>4572</v>
      </c>
      <c r="C8" s="4281">
        <v>11304.48</v>
      </c>
      <c r="D8" s="4281">
        <v>71783.47</v>
      </c>
      <c r="E8" s="4281" t="s">
        <v>4498</v>
      </c>
      <c r="F8" s="4281" t="s">
        <v>4504</v>
      </c>
      <c r="G8" s="4281" t="s">
        <v>4571</v>
      </c>
      <c r="H8" s="4281" t="s">
        <v>4570</v>
      </c>
      <c r="I8" s="4281" t="s">
        <v>4494</v>
      </c>
      <c r="J8" s="4282">
        <v>45958</v>
      </c>
      <c r="K8" s="4281">
        <v>93950</v>
      </c>
      <c r="L8" s="4281">
        <v>83108.639999999999</v>
      </c>
      <c r="M8" s="4281">
        <v>5540.58</v>
      </c>
      <c r="N8" s="4281">
        <v>13088</v>
      </c>
      <c r="O8" s="4281">
        <v>0</v>
      </c>
      <c r="P8" s="4281" t="s">
        <v>4569</v>
      </c>
    </row>
    <row r="9" spans="1:16">
      <c r="A9" s="4266" t="s">
        <v>4568</v>
      </c>
      <c r="B9" s="4266" t="s">
        <v>4567</v>
      </c>
      <c r="C9" s="4266">
        <v>10200.06</v>
      </c>
      <c r="D9" s="4266">
        <v>20400.12</v>
      </c>
      <c r="E9" s="4266" t="s">
        <v>4498</v>
      </c>
      <c r="F9" s="4266" t="s">
        <v>4497</v>
      </c>
      <c r="G9" s="4266" t="s">
        <v>4537</v>
      </c>
      <c r="H9" s="4266">
        <v>2</v>
      </c>
      <c r="I9" s="4266" t="s">
        <v>4494</v>
      </c>
      <c r="J9" s="4265">
        <v>45952</v>
      </c>
      <c r="K9" s="4266">
        <v>14800</v>
      </c>
      <c r="L9" s="4266">
        <v>14509.71</v>
      </c>
      <c r="M9" s="4266">
        <v>967.31</v>
      </c>
      <c r="N9" s="4266">
        <v>7255</v>
      </c>
      <c r="O9" s="4266">
        <v>0</v>
      </c>
      <c r="P9" s="4266" t="s">
        <v>4566</v>
      </c>
    </row>
    <row r="10" spans="1:16">
      <c r="A10" s="4266" t="s">
        <v>4565</v>
      </c>
      <c r="B10" s="4266" t="s">
        <v>4564</v>
      </c>
      <c r="C10" s="4266">
        <v>21545.599999999999</v>
      </c>
      <c r="D10" s="4266">
        <v>40505.730000000003</v>
      </c>
      <c r="E10" s="4266" t="s">
        <v>4498</v>
      </c>
      <c r="F10" s="4266" t="s">
        <v>4504</v>
      </c>
      <c r="G10" s="4266" t="s">
        <v>4537</v>
      </c>
      <c r="H10" s="4266">
        <v>1.88</v>
      </c>
      <c r="I10" s="4266" t="s">
        <v>4494</v>
      </c>
      <c r="J10" s="4265">
        <v>45941</v>
      </c>
      <c r="K10" s="4266">
        <v>37500</v>
      </c>
      <c r="L10" s="4266">
        <v>17404.939999999999</v>
      </c>
      <c r="M10" s="4266">
        <v>1160.33</v>
      </c>
      <c r="N10" s="4266">
        <v>9258</v>
      </c>
      <c r="O10" s="4266">
        <v>0</v>
      </c>
      <c r="P10" s="4266" t="s">
        <v>4563</v>
      </c>
    </row>
    <row r="11" spans="1:16" s="4776" customFormat="1">
      <c r="A11" s="4776" t="s">
        <v>4562</v>
      </c>
      <c r="B11" s="4776" t="s">
        <v>4635</v>
      </c>
      <c r="C11" s="4776">
        <v>31330.48</v>
      </c>
      <c r="D11" s="4776">
        <v>122233</v>
      </c>
      <c r="E11" s="4776" t="s">
        <v>4498</v>
      </c>
      <c r="F11" s="4776" t="s">
        <v>4504</v>
      </c>
      <c r="G11" s="4776" t="s">
        <v>4556</v>
      </c>
      <c r="H11" s="4776" t="s">
        <v>4561</v>
      </c>
      <c r="I11" s="4776" t="s">
        <v>4494</v>
      </c>
      <c r="J11" s="4777">
        <v>45719</v>
      </c>
      <c r="K11" s="4776">
        <v>163410</v>
      </c>
      <c r="L11" s="4776">
        <v>52156.88</v>
      </c>
      <c r="M11" s="4776">
        <v>3477.13</v>
      </c>
      <c r="N11" s="4776">
        <v>13369</v>
      </c>
      <c r="O11" s="4776">
        <v>0</v>
      </c>
      <c r="P11" s="4776" t="s">
        <v>4560</v>
      </c>
    </row>
    <row r="12" spans="1:16" s="4281" customFormat="1">
      <c r="A12" s="4281" t="s">
        <v>9876</v>
      </c>
      <c r="B12" s="4281" t="s">
        <v>4559</v>
      </c>
      <c r="C12" s="4281">
        <v>4239.42</v>
      </c>
      <c r="D12" s="4281">
        <v>16957.66</v>
      </c>
      <c r="E12" s="4281" t="s">
        <v>4498</v>
      </c>
      <c r="F12" s="4281" t="s">
        <v>4504</v>
      </c>
      <c r="G12" s="4281" t="s">
        <v>4556</v>
      </c>
      <c r="H12" s="4281">
        <v>4</v>
      </c>
      <c r="I12" s="4281" t="s">
        <v>4494</v>
      </c>
      <c r="J12" s="4282">
        <v>45719</v>
      </c>
      <c r="K12" s="4281">
        <v>22680</v>
      </c>
      <c r="L12" s="4281">
        <v>53497.88</v>
      </c>
      <c r="M12" s="4281">
        <v>3566.53</v>
      </c>
      <c r="N12" s="4281">
        <v>13374</v>
      </c>
      <c r="O12" s="4281">
        <v>0</v>
      </c>
      <c r="P12" s="4281" t="s">
        <v>4558</v>
      </c>
    </row>
    <row r="13" spans="1:16" s="4776" customFormat="1">
      <c r="A13" s="4776" t="s">
        <v>4637</v>
      </c>
      <c r="B13" s="4776" t="s">
        <v>4557</v>
      </c>
      <c r="C13" s="4776">
        <v>5369.21</v>
      </c>
      <c r="D13" s="4776">
        <v>12886.11</v>
      </c>
      <c r="E13" s="4776" t="s">
        <v>4498</v>
      </c>
      <c r="F13" s="4776" t="s">
        <v>4504</v>
      </c>
      <c r="G13" s="4776" t="s">
        <v>4556</v>
      </c>
      <c r="H13" s="4776">
        <v>2.4</v>
      </c>
      <c r="I13" s="4776" t="s">
        <v>4494</v>
      </c>
      <c r="J13" s="4777">
        <v>45713</v>
      </c>
      <c r="K13" s="4776">
        <v>17220</v>
      </c>
      <c r="L13" s="4776">
        <v>32071.75</v>
      </c>
      <c r="M13" s="4776">
        <v>2138.12</v>
      </c>
      <c r="N13" s="4776">
        <v>13363</v>
      </c>
      <c r="O13" s="4776">
        <v>0</v>
      </c>
      <c r="P13" s="4776" t="s">
        <v>4555</v>
      </c>
    </row>
    <row r="14" spans="1:16">
      <c r="A14" s="4266" t="s">
        <v>4554</v>
      </c>
      <c r="B14" s="4266" t="s">
        <v>4553</v>
      </c>
      <c r="C14" s="4266">
        <v>29689.18</v>
      </c>
      <c r="D14" s="4266">
        <v>29689.18</v>
      </c>
      <c r="E14" s="4266" t="s">
        <v>4498</v>
      </c>
      <c r="F14" s="4266" t="s">
        <v>4552</v>
      </c>
      <c r="G14" s="4266">
        <v>40</v>
      </c>
      <c r="H14" s="4266">
        <v>1</v>
      </c>
      <c r="I14" s="4266" t="s">
        <v>4494</v>
      </c>
      <c r="J14" s="4265">
        <v>45679</v>
      </c>
      <c r="K14" s="4266">
        <v>14250.88</v>
      </c>
      <c r="L14" s="4266">
        <v>4800.0200000000004</v>
      </c>
      <c r="M14" s="4266">
        <v>320</v>
      </c>
      <c r="N14" s="4266">
        <v>4800</v>
      </c>
      <c r="O14" s="4266">
        <v>0</v>
      </c>
      <c r="P14" s="4266" t="s">
        <v>4551</v>
      </c>
    </row>
    <row r="15" spans="1:16">
      <c r="A15" s="4266" t="s">
        <v>4550</v>
      </c>
      <c r="B15" s="4266" t="s">
        <v>4549</v>
      </c>
      <c r="C15" s="4266">
        <v>13348.31</v>
      </c>
      <c r="D15" s="4266">
        <v>17352.8</v>
      </c>
      <c r="E15" s="4266" t="s">
        <v>4498</v>
      </c>
      <c r="F15" s="4266" t="s">
        <v>4548</v>
      </c>
      <c r="G15" s="4266" t="s">
        <v>4547</v>
      </c>
      <c r="H15" s="4266">
        <v>1.3</v>
      </c>
      <c r="I15" s="4266" t="s">
        <v>4494</v>
      </c>
      <c r="J15" s="4265">
        <v>45624</v>
      </c>
      <c r="K15" s="4266">
        <v>6823.12</v>
      </c>
      <c r="L15" s="4266">
        <v>5111.59</v>
      </c>
      <c r="M15" s="4266">
        <v>340.77</v>
      </c>
      <c r="N15" s="4266">
        <v>3932</v>
      </c>
      <c r="O15" s="4266">
        <v>0</v>
      </c>
      <c r="P15" s="4266" t="s">
        <v>4546</v>
      </c>
    </row>
    <row r="16" spans="1:16">
      <c r="A16" s="4266" t="s">
        <v>4545</v>
      </c>
      <c r="B16" s="4266" t="s">
        <v>4544</v>
      </c>
      <c r="C16" s="4266">
        <v>41129.769999999997</v>
      </c>
      <c r="D16" s="4266">
        <v>90485.49</v>
      </c>
      <c r="E16" s="4266" t="s">
        <v>4498</v>
      </c>
      <c r="F16" s="4266" t="s">
        <v>4504</v>
      </c>
      <c r="G16" s="4266" t="s">
        <v>4531</v>
      </c>
      <c r="H16" s="4266">
        <v>2.2000000000000002</v>
      </c>
      <c r="I16" s="4266" t="s">
        <v>4494</v>
      </c>
      <c r="J16" s="4265">
        <v>45546</v>
      </c>
      <c r="K16" s="4266">
        <v>80900</v>
      </c>
      <c r="L16" s="4266">
        <v>19669.45</v>
      </c>
      <c r="M16" s="4266">
        <v>1311.3</v>
      </c>
      <c r="N16" s="4266">
        <v>8941</v>
      </c>
      <c r="O16" s="4266">
        <v>0</v>
      </c>
      <c r="P16" s="4266" t="s">
        <v>4543</v>
      </c>
    </row>
    <row r="17" spans="1:16">
      <c r="A17" s="4266" t="s">
        <v>4542</v>
      </c>
      <c r="B17" s="4266" t="s">
        <v>4541</v>
      </c>
      <c r="C17" s="4266">
        <v>32423.18</v>
      </c>
      <c r="D17" s="4266">
        <v>42150</v>
      </c>
      <c r="E17" s="4266" t="s">
        <v>4498</v>
      </c>
      <c r="F17" s="4266" t="s">
        <v>4504</v>
      </c>
      <c r="G17" s="4266" t="s">
        <v>4531</v>
      </c>
      <c r="H17" s="4266">
        <v>1.3</v>
      </c>
      <c r="I17" s="4266" t="s">
        <v>4494</v>
      </c>
      <c r="J17" s="4265">
        <v>45539</v>
      </c>
      <c r="K17" s="4266">
        <v>23500</v>
      </c>
      <c r="L17" s="4266">
        <v>7247.9</v>
      </c>
      <c r="M17" s="4266">
        <v>483.19</v>
      </c>
      <c r="N17" s="4266">
        <v>5575</v>
      </c>
      <c r="O17" s="4266">
        <v>0</v>
      </c>
      <c r="P17" s="4266" t="s">
        <v>4540</v>
      </c>
    </row>
    <row r="18" spans="1:16">
      <c r="A18" s="4266" t="s">
        <v>4539</v>
      </c>
      <c r="B18" s="4266" t="s">
        <v>4538</v>
      </c>
      <c r="C18" s="4266">
        <v>48824.83</v>
      </c>
      <c r="D18" s="4266">
        <v>122062.08</v>
      </c>
      <c r="E18" s="4266" t="s">
        <v>4498</v>
      </c>
      <c r="F18" s="4266" t="s">
        <v>4514</v>
      </c>
      <c r="G18" s="4266" t="s">
        <v>4537</v>
      </c>
      <c r="H18" s="4266" t="s">
        <v>4536</v>
      </c>
      <c r="I18" s="4266" t="s">
        <v>4494</v>
      </c>
      <c r="J18" s="4265">
        <v>45523</v>
      </c>
      <c r="K18" s="4266">
        <v>93000</v>
      </c>
      <c r="L18" s="4266">
        <v>19047.68</v>
      </c>
      <c r="M18" s="4266">
        <v>1269.8499999999999</v>
      </c>
      <c r="N18" s="4266">
        <v>7619</v>
      </c>
      <c r="O18" s="4266">
        <v>0</v>
      </c>
      <c r="P18" s="4266" t="s">
        <v>4535</v>
      </c>
    </row>
    <row r="19" spans="1:16">
      <c r="A19" s="4266" t="s">
        <v>4534</v>
      </c>
      <c r="B19" s="4266" t="s">
        <v>4533</v>
      </c>
      <c r="C19" s="4266">
        <v>19810.400000000001</v>
      </c>
      <c r="D19" s="4266">
        <v>700</v>
      </c>
      <c r="E19" s="4266" t="s">
        <v>4498</v>
      </c>
      <c r="F19" s="4266" t="s">
        <v>4532</v>
      </c>
      <c r="G19" s="4266" t="s">
        <v>4531</v>
      </c>
      <c r="H19" s="4266" t="s">
        <v>4530</v>
      </c>
      <c r="I19" s="4266" t="s">
        <v>4494</v>
      </c>
      <c r="J19" s="4265">
        <v>45461</v>
      </c>
      <c r="K19" s="4266">
        <v>6600</v>
      </c>
      <c r="L19" s="4266">
        <v>3331.58</v>
      </c>
      <c r="M19" s="4266">
        <v>222.11</v>
      </c>
      <c r="N19" s="4266">
        <v>94286</v>
      </c>
      <c r="O19" s="4266">
        <v>0</v>
      </c>
      <c r="P19" s="4266" t="s">
        <v>4529</v>
      </c>
    </row>
    <row r="20" spans="1:16">
      <c r="A20" s="4266" t="s">
        <v>4528</v>
      </c>
      <c r="B20" s="4266" t="s">
        <v>4527</v>
      </c>
      <c r="C20" s="4266">
        <v>32636.74</v>
      </c>
      <c r="D20" s="4266">
        <v>78328</v>
      </c>
      <c r="E20" s="4266" t="s">
        <v>4498</v>
      </c>
      <c r="F20" s="4266" t="s">
        <v>4526</v>
      </c>
      <c r="G20" s="4266">
        <v>20</v>
      </c>
      <c r="H20" s="4266">
        <v>2.4</v>
      </c>
      <c r="I20" s="4266" t="s">
        <v>4494</v>
      </c>
      <c r="J20" s="4265">
        <v>45308</v>
      </c>
      <c r="K20" s="4266">
        <v>65000</v>
      </c>
      <c r="L20" s="4266">
        <v>19916.2</v>
      </c>
      <c r="M20" s="4266">
        <v>1327.75</v>
      </c>
      <c r="N20" s="4266">
        <v>8298</v>
      </c>
      <c r="O20" s="4266">
        <v>0</v>
      </c>
      <c r="P20" s="4266" t="s">
        <v>4525</v>
      </c>
    </row>
    <row r="21" spans="1:16">
      <c r="A21" s="4266" t="s">
        <v>4524</v>
      </c>
      <c r="B21" s="4266" t="s">
        <v>4523</v>
      </c>
      <c r="C21" s="4266">
        <v>7467</v>
      </c>
      <c r="D21" s="4266">
        <v>52000</v>
      </c>
      <c r="E21" s="4266" t="s">
        <v>4498</v>
      </c>
      <c r="F21" s="4266" t="s">
        <v>4497</v>
      </c>
      <c r="G21" s="4266" t="s">
        <v>4522</v>
      </c>
      <c r="H21" s="4266" t="s">
        <v>4521</v>
      </c>
      <c r="I21" s="4266" t="s">
        <v>4494</v>
      </c>
      <c r="J21" s="4265">
        <v>45288</v>
      </c>
      <c r="K21" s="4266">
        <v>118000</v>
      </c>
      <c r="L21" s="4266">
        <v>158028.66</v>
      </c>
      <c r="M21" s="4266">
        <v>10535.24</v>
      </c>
      <c r="N21" s="4266">
        <v>22692</v>
      </c>
      <c r="O21" s="4266">
        <v>0</v>
      </c>
      <c r="P21" s="4266" t="s">
        <v>4520</v>
      </c>
    </row>
    <row r="22" spans="1:16">
      <c r="A22" s="4266" t="s">
        <v>4519</v>
      </c>
      <c r="B22" s="4266" t="s">
        <v>4518</v>
      </c>
      <c r="C22" s="4266">
        <v>9632.01</v>
      </c>
      <c r="D22" s="4266">
        <v>15025.93</v>
      </c>
      <c r="E22" s="4266" t="s">
        <v>4498</v>
      </c>
      <c r="F22" s="4266" t="s">
        <v>4504</v>
      </c>
      <c r="G22" s="4266" t="s">
        <v>4517</v>
      </c>
      <c r="H22" s="4266">
        <v>1.56</v>
      </c>
      <c r="I22" s="4266" t="s">
        <v>4494</v>
      </c>
      <c r="J22" s="4265">
        <v>45189</v>
      </c>
      <c r="K22" s="4266">
        <v>13700</v>
      </c>
      <c r="L22" s="4266">
        <v>14223.4</v>
      </c>
      <c r="M22" s="4266">
        <v>948.23</v>
      </c>
      <c r="N22" s="4266">
        <v>9118</v>
      </c>
      <c r="O22" s="4266">
        <v>0</v>
      </c>
      <c r="P22" s="4266" t="s">
        <v>4511</v>
      </c>
    </row>
    <row r="23" spans="1:16">
      <c r="A23" s="4266" t="s">
        <v>4516</v>
      </c>
      <c r="B23" s="4266" t="s">
        <v>4515</v>
      </c>
      <c r="C23" s="4266">
        <v>15459.22</v>
      </c>
      <c r="D23" s="4266">
        <v>52599.12</v>
      </c>
      <c r="E23" s="4266" t="s">
        <v>4498</v>
      </c>
      <c r="F23" s="4266" t="s">
        <v>4514</v>
      </c>
      <c r="G23" s="4266" t="s">
        <v>4513</v>
      </c>
      <c r="H23" s="4266" t="s">
        <v>4512</v>
      </c>
      <c r="I23" s="4266" t="s">
        <v>4494</v>
      </c>
      <c r="J23" s="4265">
        <v>45114</v>
      </c>
      <c r="K23" s="4266">
        <v>53100</v>
      </c>
      <c r="L23" s="4266">
        <v>34348.43</v>
      </c>
      <c r="M23" s="4266">
        <v>2289.9</v>
      </c>
      <c r="N23" s="4266">
        <v>10095</v>
      </c>
      <c r="O23" s="4266">
        <v>0</v>
      </c>
      <c r="P23" s="4266" t="s">
        <v>4511</v>
      </c>
    </row>
    <row r="24" spans="1:16">
      <c r="A24" s="4266" t="s">
        <v>4510</v>
      </c>
      <c r="B24" s="4266" t="s">
        <v>4509</v>
      </c>
      <c r="C24" s="4266">
        <v>67829.210000000006</v>
      </c>
      <c r="D24" s="4266">
        <v>298100</v>
      </c>
      <c r="E24" s="4266" t="s">
        <v>4498</v>
      </c>
      <c r="F24" s="4266" t="s">
        <v>4508</v>
      </c>
      <c r="G24" s="4266" t="s">
        <v>4503</v>
      </c>
      <c r="H24" s="4266">
        <v>4.4000000000000004</v>
      </c>
      <c r="I24" s="4266" t="s">
        <v>4494</v>
      </c>
      <c r="J24" s="4265">
        <v>45090</v>
      </c>
      <c r="K24" s="4266">
        <v>680000</v>
      </c>
      <c r="L24" s="4266">
        <v>100251.8</v>
      </c>
      <c r="M24" s="4266">
        <v>6683.45</v>
      </c>
      <c r="N24" s="4266">
        <v>22811</v>
      </c>
      <c r="O24" s="4266">
        <v>0</v>
      </c>
      <c r="P24" s="4266" t="s">
        <v>4507</v>
      </c>
    </row>
    <row r="25" spans="1:16" s="4277" customFormat="1">
      <c r="A25" s="4277" t="s">
        <v>4506</v>
      </c>
      <c r="B25" s="4277" t="s">
        <v>4505</v>
      </c>
      <c r="C25" s="4277">
        <v>101190.07</v>
      </c>
      <c r="D25" s="4277">
        <v>198291</v>
      </c>
      <c r="E25" s="4277" t="s">
        <v>4498</v>
      </c>
      <c r="F25" s="4277" t="s">
        <v>4504</v>
      </c>
      <c r="G25" s="4277" t="s">
        <v>4503</v>
      </c>
      <c r="H25" s="4277" t="s">
        <v>4502</v>
      </c>
      <c r="I25" s="4277" t="s">
        <v>4494</v>
      </c>
      <c r="J25" s="4278">
        <v>45089</v>
      </c>
      <c r="K25" s="4277">
        <v>100000</v>
      </c>
      <c r="L25" s="4277">
        <v>9882.39</v>
      </c>
      <c r="M25" s="4277">
        <v>658.83</v>
      </c>
      <c r="N25" s="4277">
        <v>5043</v>
      </c>
      <c r="O25" s="4277">
        <v>0</v>
      </c>
      <c r="P25" s="4277" t="s">
        <v>4501</v>
      </c>
    </row>
    <row r="26" spans="1:16" s="4279" customFormat="1">
      <c r="A26" s="4279" t="s">
        <v>4500</v>
      </c>
      <c r="B26" s="4279" t="s">
        <v>4499</v>
      </c>
      <c r="C26" s="4279">
        <v>5500.65</v>
      </c>
      <c r="D26" s="4279">
        <v>15401.81</v>
      </c>
      <c r="E26" s="4279" t="s">
        <v>4498</v>
      </c>
      <c r="F26" s="4279" t="s">
        <v>4497</v>
      </c>
      <c r="G26" s="4279" t="s">
        <v>4496</v>
      </c>
      <c r="H26" s="4279" t="s">
        <v>4495</v>
      </c>
      <c r="I26" s="4279" t="s">
        <v>4494</v>
      </c>
      <c r="J26" s="4280">
        <v>45030</v>
      </c>
      <c r="K26" s="4279">
        <v>17000</v>
      </c>
      <c r="L26" s="4279">
        <v>30905.43</v>
      </c>
      <c r="M26" s="4279">
        <v>2060.36</v>
      </c>
      <c r="N26" s="4279">
        <v>11038</v>
      </c>
      <c r="O26" s="4279">
        <v>0</v>
      </c>
      <c r="P26" s="4279" t="s">
        <v>4493</v>
      </c>
    </row>
    <row r="125" spans="16:16">
      <c r="P125" s="4266" t="s">
        <v>4636</v>
      </c>
    </row>
    <row r="128" spans="16:16">
      <c r="P128" s="4266" t="s">
        <v>4639</v>
      </c>
    </row>
    <row r="149" spans="1:4" ht="12.75" thickBot="1"/>
    <row r="150" spans="1:4" ht="54.75" thickBot="1">
      <c r="A150" s="4778" t="s">
        <v>4015</v>
      </c>
      <c r="B150" s="4778" t="s">
        <v>9878</v>
      </c>
      <c r="C150" s="4778" t="s">
        <v>9879</v>
      </c>
      <c r="D150" s="4778" t="s">
        <v>9880</v>
      </c>
    </row>
    <row r="151" spans="1:4" ht="81.75" thickBot="1">
      <c r="A151" s="4778" t="s">
        <v>9881</v>
      </c>
      <c r="B151" s="4779" t="s">
        <v>9882</v>
      </c>
      <c r="C151" s="4779" t="s">
        <v>9883</v>
      </c>
      <c r="D151" s="4779" t="s">
        <v>9884</v>
      </c>
    </row>
    <row r="152" spans="1:4" ht="27.75" thickBot="1">
      <c r="A152" s="4778" t="s">
        <v>9885</v>
      </c>
      <c r="B152" s="4779" t="s">
        <v>9886</v>
      </c>
      <c r="C152" s="4779" t="s">
        <v>9887</v>
      </c>
      <c r="D152" s="4779" t="s">
        <v>9887</v>
      </c>
    </row>
    <row r="153" spans="1:4" ht="54.75" thickBot="1">
      <c r="A153" s="4778" t="s">
        <v>9888</v>
      </c>
      <c r="B153" s="4779" t="s">
        <v>9889</v>
      </c>
      <c r="C153" s="4779" t="s">
        <v>9890</v>
      </c>
      <c r="D153" s="4779" t="s">
        <v>9891</v>
      </c>
    </row>
    <row r="154" spans="1:4" ht="54.75" thickBot="1">
      <c r="A154" s="4778" t="s">
        <v>9892</v>
      </c>
      <c r="B154" s="4779" t="s">
        <v>9893</v>
      </c>
      <c r="C154" s="4779" t="s">
        <v>9894</v>
      </c>
      <c r="D154" s="4779" t="s">
        <v>9895</v>
      </c>
    </row>
    <row r="155" spans="1:4" ht="27.75" thickBot="1">
      <c r="A155" s="4778" t="s">
        <v>4607</v>
      </c>
      <c r="B155" s="4779" t="s">
        <v>9896</v>
      </c>
      <c r="C155" s="4779">
        <v>6.35</v>
      </c>
      <c r="D155" s="4779" t="s">
        <v>9897</v>
      </c>
    </row>
    <row r="156" spans="1:4" ht="27.75" thickBot="1">
      <c r="A156" s="4778" t="s">
        <v>9898</v>
      </c>
      <c r="B156" s="4779" t="s">
        <v>9899</v>
      </c>
      <c r="C156" s="4779" t="s">
        <v>9900</v>
      </c>
      <c r="D156" s="4779" t="s">
        <v>9901</v>
      </c>
    </row>
    <row r="157" spans="1:4" ht="14.25" thickBot="1">
      <c r="A157" s="4778" t="s">
        <v>9902</v>
      </c>
      <c r="B157" s="4779" t="s">
        <v>9903</v>
      </c>
      <c r="C157" s="4779" t="s">
        <v>9903</v>
      </c>
      <c r="D157" s="4779" t="s">
        <v>9903</v>
      </c>
    </row>
    <row r="158" spans="1:4" ht="68.25" thickBot="1">
      <c r="A158" s="4778" t="s">
        <v>9904</v>
      </c>
      <c r="B158" s="4779" t="s">
        <v>9905</v>
      </c>
      <c r="C158" s="4779" t="s">
        <v>9906</v>
      </c>
      <c r="D158" s="4779" t="s">
        <v>9907</v>
      </c>
    </row>
    <row r="159" spans="1:4" ht="68.25" thickBot="1">
      <c r="A159" s="4778" t="s">
        <v>9908</v>
      </c>
      <c r="B159" s="4779" t="s">
        <v>9909</v>
      </c>
      <c r="C159" s="4779" t="s">
        <v>9910</v>
      </c>
      <c r="D159" s="4779" t="s">
        <v>9911</v>
      </c>
    </row>
    <row r="160" spans="1:4" ht="14.25" thickBot="1">
      <c r="A160" s="4778" t="s">
        <v>9912</v>
      </c>
      <c r="B160" s="4780">
        <v>46021</v>
      </c>
      <c r="C160" s="4780">
        <v>45958</v>
      </c>
      <c r="D160" s="4780">
        <v>45722</v>
      </c>
    </row>
    <row r="161" spans="1:4" ht="54.75" thickBot="1">
      <c r="A161" s="4778" t="s">
        <v>9913</v>
      </c>
      <c r="B161" s="4779" t="s">
        <v>9914</v>
      </c>
      <c r="C161" s="4779" t="s">
        <v>9915</v>
      </c>
      <c r="D161" s="4779" t="s">
        <v>9916</v>
      </c>
    </row>
    <row r="162" spans="1:4" ht="54.75" thickBot="1">
      <c r="A162" s="4778" t="s">
        <v>9917</v>
      </c>
      <c r="B162" s="4779" t="s">
        <v>9918</v>
      </c>
      <c r="C162" s="4779" t="s">
        <v>9919</v>
      </c>
      <c r="D162" s="4779" t="s">
        <v>9919</v>
      </c>
    </row>
  </sheetData>
  <phoneticPr fontId="135"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6" zoomScale="85" zoomScaleNormal="60" zoomScaleSheetLayoutView="85" workbookViewId="0">
      <selection activeCell="M57" sqref="M5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f>F67</f>
        <v>98270</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f>ROUND(IF(D3="",B2*10000/'数据-汇总表'!E3,B2*10000/D3),0)</f>
        <v>8192</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f>IF(B48="单位面积地价",C50,ROUND(B2*10000/'数据-汇总表'!D3,0))</f>
        <v>40112</v>
      </c>
      <c r="C4" s="1336" t="s">
        <v>3624</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f>ROUND(B2/('数据-汇总表'!D3/666.67),0)</f>
        <v>2674</v>
      </c>
      <c r="C5" s="3371" t="s">
        <v>3623</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10" t="s">
        <v>1677</v>
      </c>
      <c r="D6" s="4611"/>
      <c r="E6" s="4612" t="s">
        <v>1678</v>
      </c>
      <c r="F6" s="4613"/>
      <c r="G6" s="4610" t="s">
        <v>1679</v>
      </c>
      <c r="H6" s="4611"/>
      <c r="I6" s="4610" t="s">
        <v>1680</v>
      </c>
      <c r="J6" s="4611"/>
      <c r="K6" s="2845" t="s">
        <v>1681</v>
      </c>
      <c r="L6" s="1973"/>
      <c r="M6" s="1974"/>
      <c r="N6" s="1974"/>
      <c r="O6" s="1974"/>
      <c r="P6" s="4614" t="s">
        <v>1682</v>
      </c>
      <c r="Q6" s="4615"/>
      <c r="R6" s="4620" t="s">
        <v>1678</v>
      </c>
      <c r="S6" s="4621"/>
      <c r="T6" s="4620" t="s">
        <v>1679</v>
      </c>
      <c r="U6" s="4621"/>
      <c r="V6" s="4626" t="s">
        <v>1680</v>
      </c>
      <c r="W6" s="4626"/>
      <c r="X6" s="909"/>
      <c r="Y6" s="4635" t="s">
        <v>1682</v>
      </c>
      <c r="Z6" s="4636"/>
      <c r="AA6" s="4607" t="s">
        <v>1678</v>
      </c>
      <c r="AB6" s="4608" t="s">
        <v>1679</v>
      </c>
      <c r="AC6" s="4607" t="s">
        <v>1680</v>
      </c>
    </row>
    <row r="7" spans="1:29" ht="15">
      <c r="A7" s="238"/>
      <c r="B7" s="239"/>
      <c r="C7" s="4629" t="s">
        <v>1580</v>
      </c>
      <c r="D7" s="4630"/>
      <c r="E7" s="4644" t="str">
        <f>Sheet1!A6</f>
        <v>北京市石景山区衙门口棚户区改造土地开发项目1616-613、616、617地块B4综合性商业金融服务业用地、F3其他类多功能用地</v>
      </c>
      <c r="F7" s="4645"/>
      <c r="G7" s="4629" t="str">
        <f>Sheet1!A8</f>
        <v>北京城市副中心0101街区FZX-0101-0607地块F3其他类多功能用地</v>
      </c>
      <c r="H7" s="4630"/>
      <c r="I7" s="4629" t="str">
        <f>Sheet1!A12</f>
        <v>北京城市副中心站综合交通枢纽地区 FZX-0101-03单元FZX-0101-0307 (1)地块F3其他类多功能用地</v>
      </c>
      <c r="J7" s="4630"/>
      <c r="K7" s="2845"/>
      <c r="L7" s="1973"/>
      <c r="M7" s="1974"/>
      <c r="N7" s="1974"/>
      <c r="O7" s="1974"/>
      <c r="P7" s="4616"/>
      <c r="Q7" s="4617"/>
      <c r="R7" s="4622"/>
      <c r="S7" s="4623"/>
      <c r="T7" s="4622"/>
      <c r="U7" s="4623"/>
      <c r="V7" s="4626"/>
      <c r="W7" s="4626"/>
      <c r="X7" s="909"/>
      <c r="Y7" s="4637"/>
      <c r="Z7" s="4638"/>
      <c r="AA7" s="4608"/>
      <c r="AB7" s="4608"/>
      <c r="AC7" s="4608"/>
    </row>
    <row r="8" spans="1:29" ht="15.75" thickBot="1">
      <c r="A8" s="240"/>
      <c r="B8" s="241"/>
      <c r="C8" s="4627" t="s">
        <v>1584</v>
      </c>
      <c r="D8" s="4628"/>
      <c r="E8" s="4642" t="str">
        <f>Sheet1!B3</f>
        <v>京土储挂(通)[2026]009号</v>
      </c>
      <c r="F8" s="4643"/>
      <c r="G8" s="4627" t="str">
        <f>Sheet1!B6</f>
        <v>京土储挂(石)[2025]047号</v>
      </c>
      <c r="H8" s="4628"/>
      <c r="I8" s="4627" t="str">
        <f>Sheet1!B8</f>
        <v>京土储挂(通)[2025]033号</v>
      </c>
      <c r="J8" s="4628"/>
      <c r="K8" s="2845" t="s">
        <v>1585</v>
      </c>
      <c r="L8" s="1973"/>
      <c r="M8" s="1974"/>
      <c r="N8" s="1974"/>
      <c r="O8" s="1974"/>
      <c r="P8" s="4618"/>
      <c r="Q8" s="4619"/>
      <c r="R8" s="4622"/>
      <c r="S8" s="4623"/>
      <c r="T8" s="4624"/>
      <c r="U8" s="4625"/>
      <c r="V8" s="4626"/>
      <c r="W8" s="4626"/>
      <c r="X8" s="909"/>
      <c r="Y8" s="4639"/>
      <c r="Z8" s="4640"/>
      <c r="AA8" s="4609"/>
      <c r="AB8" s="4609"/>
      <c r="AC8" s="4609"/>
    </row>
    <row r="9" spans="1:29" s="46" customFormat="1" ht="15.75" thickBot="1">
      <c r="A9" s="3071" t="s">
        <v>1586</v>
      </c>
      <c r="B9" s="3072"/>
      <c r="C9" s="2793">
        <f>'数据-取费表'!B2</f>
        <v>46126</v>
      </c>
      <c r="D9" s="2868">
        <v>100</v>
      </c>
      <c r="E9" s="2822">
        <f>Sheet1!J6</f>
        <v>46021</v>
      </c>
      <c r="F9" s="3693">
        <f>SUMIF(71:71,YEAR(E9)&amp;"-"&amp;INT((MONTH(E9)+2)/3),72:72)</f>
        <v>100.2</v>
      </c>
      <c r="G9" s="3102">
        <f>Sheet1!J8</f>
        <v>45958</v>
      </c>
      <c r="H9" s="3705">
        <f>SUMIF(71:71,YEAR(G9)&amp;"-"&amp;INT((MONTH(G9)+2)/3),72:72)</f>
        <v>100.2</v>
      </c>
      <c r="I9" s="3102">
        <f>Sheet1!J12</f>
        <v>45719</v>
      </c>
      <c r="J9" s="3705">
        <f>SUMIF(71:71,YEAR(I9)&amp;"-"&amp;INT((MONTH(I9)+2)/3),72:72)</f>
        <v>100.4</v>
      </c>
      <c r="K9" s="3106"/>
      <c r="L9" s="1975"/>
      <c r="M9" s="1928"/>
      <c r="N9" s="1928"/>
      <c r="O9" s="1928"/>
      <c r="P9" s="4631" t="s">
        <v>1587</v>
      </c>
      <c r="Q9" s="4641"/>
      <c r="R9" s="3735" t="s">
        <v>13</v>
      </c>
      <c r="S9" s="3518">
        <f t="shared" ref="S9:S17" si="0">F9</f>
        <v>100.2</v>
      </c>
      <c r="T9" s="3735" t="s">
        <v>13</v>
      </c>
      <c r="U9" s="3518">
        <f t="shared" ref="U9:U17" si="1">H9</f>
        <v>100.2</v>
      </c>
      <c r="V9" s="3735" t="s">
        <v>13</v>
      </c>
      <c r="W9" s="3518">
        <f t="shared" ref="W9:W17" si="2">J9</f>
        <v>100.4</v>
      </c>
      <c r="X9" s="482"/>
      <c r="Y9" s="4633" t="s">
        <v>1587</v>
      </c>
      <c r="Z9" s="4634"/>
      <c r="AA9" s="28">
        <f>D9/F9</f>
        <v>0.99800399201596801</v>
      </c>
      <c r="AB9" s="28">
        <f>D9/H9</f>
        <v>0.99800399201596801</v>
      </c>
      <c r="AC9" s="28">
        <f>D9/J9</f>
        <v>0.99601593625497997</v>
      </c>
    </row>
    <row r="10" spans="1:29" s="46" customFormat="1" ht="15.75" thickBot="1">
      <c r="A10" s="3071" t="s">
        <v>1588</v>
      </c>
      <c r="B10" s="3072"/>
      <c r="C10" s="2794" t="s">
        <v>4629</v>
      </c>
      <c r="D10" s="2868">
        <v>100</v>
      </c>
      <c r="E10" s="2794" t="s">
        <v>4629</v>
      </c>
      <c r="F10" s="3693">
        <f>SUMIF(74:74,E10,75:75)-SUMIF(74:74,C10,75:75)+100</f>
        <v>100</v>
      </c>
      <c r="G10" s="2794" t="s">
        <v>4629</v>
      </c>
      <c r="H10" s="3705">
        <f>SUMIF(74:74,G10,75:75)-SUMIF(74:74,C10,75:75)+100</f>
        <v>100</v>
      </c>
      <c r="I10" s="2794" t="s">
        <v>4629</v>
      </c>
      <c r="J10" s="3705">
        <f>SUMIF(74:74,I10,75:75)-SUMIF(74:74,C10,75:75)+100</f>
        <v>100</v>
      </c>
      <c r="K10" s="3106"/>
      <c r="L10" s="1975"/>
      <c r="M10" s="1928"/>
      <c r="N10" s="1928"/>
      <c r="O10" s="1928"/>
      <c r="P10" s="4631" t="s">
        <v>1590</v>
      </c>
      <c r="Q10" s="4632"/>
      <c r="R10" s="3735" t="s">
        <v>13</v>
      </c>
      <c r="S10" s="3518">
        <f t="shared" si="0"/>
        <v>100</v>
      </c>
      <c r="T10" s="3735" t="s">
        <v>13</v>
      </c>
      <c r="U10" s="3518">
        <f t="shared" si="1"/>
        <v>100</v>
      </c>
      <c r="V10" s="3735" t="s">
        <v>13</v>
      </c>
      <c r="W10" s="3518">
        <f t="shared" si="2"/>
        <v>100</v>
      </c>
      <c r="X10" s="482"/>
      <c r="Y10" s="4633" t="s">
        <v>1590</v>
      </c>
      <c r="Z10" s="4634"/>
      <c r="AA10" s="28">
        <f t="shared" ref="AA10:AA47" si="3">D10/F10</f>
        <v>1</v>
      </c>
      <c r="AB10" s="28">
        <f t="shared" ref="AB10:AB47" si="4">D10/H10</f>
        <v>1</v>
      </c>
      <c r="AC10" s="28">
        <f t="shared" ref="AC10:AC47" si="5">D10/J10</f>
        <v>1</v>
      </c>
    </row>
    <row r="11" spans="1:29" s="46" customFormat="1" ht="15">
      <c r="A11" s="3011" t="s">
        <v>1591</v>
      </c>
      <c r="B11" s="2774" t="s">
        <v>1592</v>
      </c>
      <c r="C11" s="3073" t="s">
        <v>4630</v>
      </c>
      <c r="D11" s="2869">
        <v>100</v>
      </c>
      <c r="E11" s="3073" t="s">
        <v>4630</v>
      </c>
      <c r="F11" s="3706">
        <f>SUMIF(76:76,E11,77:77)-SUMIF(76:76,C11,77:77)+100</f>
        <v>100</v>
      </c>
      <c r="G11" s="3073" t="s">
        <v>4631</v>
      </c>
      <c r="H11" s="3706">
        <f>SUMIF(76:76,G11,77:77)-SUMIF(76:76,C11,77:77)+100</f>
        <v>90</v>
      </c>
      <c r="I11" s="3073" t="s">
        <v>4631</v>
      </c>
      <c r="J11" s="3706">
        <f>SUMIF(76:76,I11,77:77)-SUMIF(76:76,C11,77:77)+100</f>
        <v>90</v>
      </c>
      <c r="K11" s="3106"/>
      <c r="L11" s="1975"/>
      <c r="M11" s="1928"/>
      <c r="N11" s="1928"/>
      <c r="O11" s="2027"/>
      <c r="P11" s="4594" t="s">
        <v>1593</v>
      </c>
      <c r="Q11" s="1698" t="str">
        <f t="shared" ref="Q11:Q17" si="6">B11</f>
        <v>用途</v>
      </c>
      <c r="R11" s="3735" t="s">
        <v>13</v>
      </c>
      <c r="S11" s="3518">
        <f t="shared" si="0"/>
        <v>100</v>
      </c>
      <c r="T11" s="3735" t="s">
        <v>13</v>
      </c>
      <c r="U11" s="3518">
        <f t="shared" si="1"/>
        <v>90</v>
      </c>
      <c r="V11" s="3735" t="s">
        <v>13</v>
      </c>
      <c r="W11" s="3518">
        <f t="shared" si="2"/>
        <v>90</v>
      </c>
      <c r="X11" s="482"/>
      <c r="Y11" s="4606" t="s">
        <v>1594</v>
      </c>
      <c r="Z11" s="28" t="str">
        <f t="shared" ref="Z11:Z17" si="7">Q11</f>
        <v>用途</v>
      </c>
      <c r="AA11" s="28">
        <f t="shared" si="3"/>
        <v>1</v>
      </c>
      <c r="AB11" s="28">
        <f t="shared" si="4"/>
        <v>1.1111111111111112</v>
      </c>
      <c r="AC11" s="28">
        <f t="shared" si="5"/>
        <v>1.1111111111111112</v>
      </c>
    </row>
    <row r="12" spans="1:29" s="253" customFormat="1" ht="27">
      <c r="A12" s="3074"/>
      <c r="B12" s="2771" t="s">
        <v>1595</v>
      </c>
      <c r="C12" s="2798"/>
      <c r="D12" s="2870">
        <v>100</v>
      </c>
      <c r="E12" s="2848"/>
      <c r="F12" s="3707">
        <f>ROUND(100/'数据-取费表'!G16,1)</f>
        <v>120.2</v>
      </c>
      <c r="G12" s="2854"/>
      <c r="H12" s="3707">
        <f>ROUND(100/'数据-取费表'!G16,1)</f>
        <v>120.2</v>
      </c>
      <c r="I12" s="2854"/>
      <c r="J12" s="3707">
        <f>ROUND(100/'数据-取费表'!G16,1)</f>
        <v>120.2</v>
      </c>
      <c r="K12" s="3107"/>
      <c r="L12" s="1976"/>
      <c r="M12" s="1977"/>
      <c r="N12" s="1977"/>
      <c r="O12" s="2028"/>
      <c r="P12" s="4594"/>
      <c r="Q12" s="1698" t="str">
        <f t="shared" si="6"/>
        <v>土地使用年限（年）</v>
      </c>
      <c r="R12" s="3735" t="s">
        <v>13</v>
      </c>
      <c r="S12" s="3518">
        <f t="shared" si="0"/>
        <v>120.2</v>
      </c>
      <c r="T12" s="3735" t="s">
        <v>13</v>
      </c>
      <c r="U12" s="3518">
        <f t="shared" si="1"/>
        <v>120.2</v>
      </c>
      <c r="V12" s="3735" t="s">
        <v>13</v>
      </c>
      <c r="W12" s="3518">
        <f t="shared" si="2"/>
        <v>120.2</v>
      </c>
      <c r="X12" s="482"/>
      <c r="Y12" s="4606"/>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f>'数据-汇总表'!I6</f>
        <v>3.49</v>
      </c>
      <c r="D13" s="2870">
        <v>100</v>
      </c>
      <c r="E13" s="2797">
        <f>ROUND(Sheet1!D6/Sheet1!C6,2)</f>
        <v>3.33</v>
      </c>
      <c r="F13" s="3707">
        <f>LOOKUP(E13,81:81,82:82)-LOOKUP(C13,81:81,82:82)+100</f>
        <v>100</v>
      </c>
      <c r="G13" s="2825">
        <v>6.35</v>
      </c>
      <c r="H13" s="3707">
        <f>LOOKUP(G13,81:81,82:82)-LOOKUP(C13,81:81,82:82)+100</f>
        <v>94</v>
      </c>
      <c r="I13" s="2797">
        <f>Sheet1!H12</f>
        <v>4</v>
      </c>
      <c r="J13" s="3707">
        <f>LOOKUP(I13,81:81,82:82)-LOOKUP(C13,81:81,82:82)+100</f>
        <v>98</v>
      </c>
      <c r="K13" s="3131">
        <v>2</v>
      </c>
      <c r="L13" s="1978"/>
      <c r="M13" s="1974"/>
      <c r="N13" s="1974"/>
      <c r="O13" s="2029"/>
      <c r="P13" s="4594"/>
      <c r="Q13" s="1698" t="str">
        <f t="shared" si="6"/>
        <v>容积率</v>
      </c>
      <c r="R13" s="3735" t="s">
        <v>13</v>
      </c>
      <c r="S13" s="3518">
        <f t="shared" si="0"/>
        <v>100</v>
      </c>
      <c r="T13" s="3735" t="s">
        <v>13</v>
      </c>
      <c r="U13" s="3518">
        <f t="shared" si="1"/>
        <v>94</v>
      </c>
      <c r="V13" s="3735" t="s">
        <v>13</v>
      </c>
      <c r="W13" s="3518">
        <f t="shared" si="2"/>
        <v>98</v>
      </c>
      <c r="X13" s="482"/>
      <c r="Y13" s="4606"/>
      <c r="Z13" s="28" t="str">
        <f t="shared" si="7"/>
        <v>容积率</v>
      </c>
      <c r="AA13" s="28">
        <f t="shared" si="3"/>
        <v>1</v>
      </c>
      <c r="AB13" s="28">
        <f t="shared" si="4"/>
        <v>1.0638297872340425</v>
      </c>
      <c r="AC13" s="28">
        <f t="shared" si="5"/>
        <v>1.0204081632653061</v>
      </c>
    </row>
    <row r="14" spans="1:29" s="46" customFormat="1" ht="15">
      <c r="A14" s="3076"/>
      <c r="B14" s="4268" t="s">
        <v>4632</v>
      </c>
      <c r="C14" s="2798" t="s">
        <v>4633</v>
      </c>
      <c r="D14" s="2871">
        <v>100</v>
      </c>
      <c r="E14" s="4269" t="s">
        <v>4634</v>
      </c>
      <c r="F14" s="3707">
        <f>SUMIF(83:83,E14,84:84)-SUMIF(83:83,C14,84:84)+100</f>
        <v>105</v>
      </c>
      <c r="G14" s="4270" t="s">
        <v>4634</v>
      </c>
      <c r="H14" s="3707">
        <f>SUMIF(83:83,G14,84:84)-SUMIF(83:83,C14,84:84)+100</f>
        <v>105</v>
      </c>
      <c r="I14" s="4269" t="s">
        <v>4634</v>
      </c>
      <c r="J14" s="3707">
        <f>SUMIF(83:83,I14,84:84)-SUMIF(83:83,C14,84:84)+100</f>
        <v>105</v>
      </c>
      <c r="K14" s="3132"/>
      <c r="L14" s="1975"/>
      <c r="M14" s="1928"/>
      <c r="N14" s="1928"/>
      <c r="O14" s="2027"/>
      <c r="P14" s="4594"/>
      <c r="Q14" s="1698" t="str">
        <f t="shared" si="6"/>
        <v>自持限制</v>
      </c>
      <c r="R14" s="3735" t="s">
        <v>13</v>
      </c>
      <c r="S14" s="3518">
        <f t="shared" si="0"/>
        <v>105</v>
      </c>
      <c r="T14" s="3735" t="s">
        <v>13</v>
      </c>
      <c r="U14" s="3518">
        <f t="shared" si="1"/>
        <v>105</v>
      </c>
      <c r="V14" s="3735" t="s">
        <v>13</v>
      </c>
      <c r="W14" s="3518">
        <f t="shared" si="2"/>
        <v>105</v>
      </c>
      <c r="X14" s="482"/>
      <c r="Y14" s="4606"/>
      <c r="Z14" s="28" t="str">
        <f t="shared" si="7"/>
        <v>自持限制</v>
      </c>
      <c r="AA14" s="28">
        <f>D14/F14</f>
        <v>0.95238095238095233</v>
      </c>
      <c r="AB14" s="28">
        <f>D14/H14</f>
        <v>0.95238095238095233</v>
      </c>
      <c r="AC14" s="28">
        <f>D14/J14</f>
        <v>0.95238095238095233</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594"/>
      <c r="Q15" s="1698">
        <f t="shared" si="6"/>
        <v>111</v>
      </c>
      <c r="R15" s="3735" t="s">
        <v>13</v>
      </c>
      <c r="S15" s="3518">
        <f t="shared" si="0"/>
        <v>100</v>
      </c>
      <c r="T15" s="3735" t="s">
        <v>13</v>
      </c>
      <c r="U15" s="3518">
        <f t="shared" si="1"/>
        <v>100</v>
      </c>
      <c r="V15" s="3735" t="s">
        <v>13</v>
      </c>
      <c r="W15" s="3518">
        <f t="shared" si="2"/>
        <v>100</v>
      </c>
      <c r="X15" s="482"/>
      <c r="Y15" s="4606"/>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594"/>
      <c r="Q16" s="1698">
        <f t="shared" si="6"/>
        <v>111</v>
      </c>
      <c r="R16" s="3735" t="s">
        <v>13</v>
      </c>
      <c r="S16" s="3518">
        <f t="shared" si="0"/>
        <v>100</v>
      </c>
      <c r="T16" s="3735" t="s">
        <v>13</v>
      </c>
      <c r="U16" s="3518">
        <f t="shared" si="1"/>
        <v>100</v>
      </c>
      <c r="V16" s="3735" t="s">
        <v>13</v>
      </c>
      <c r="W16" s="3518">
        <f t="shared" si="2"/>
        <v>100</v>
      </c>
      <c r="X16" s="482"/>
      <c r="Y16" s="4606"/>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76" t="s">
        <v>1598</v>
      </c>
      <c r="Q17" s="1507" t="str">
        <f t="shared" si="6"/>
        <v>居住社区成熟度</v>
      </c>
      <c r="R17" s="3736" t="s">
        <v>13</v>
      </c>
      <c r="S17" s="3738">
        <f t="shared" si="0"/>
        <v>100</v>
      </c>
      <c r="T17" s="3736" t="s">
        <v>13</v>
      </c>
      <c r="U17" s="3738">
        <f t="shared" si="1"/>
        <v>100</v>
      </c>
      <c r="V17" s="3736" t="s">
        <v>13</v>
      </c>
      <c r="W17" s="3738">
        <f t="shared" si="2"/>
        <v>100</v>
      </c>
      <c r="X17" s="909"/>
      <c r="Y17" s="4596" t="s">
        <v>1598</v>
      </c>
      <c r="Z17" s="907" t="str">
        <f t="shared" si="7"/>
        <v>居住社区成熟度</v>
      </c>
      <c r="AA17" s="907">
        <f t="shared" si="3"/>
        <v>1</v>
      </c>
      <c r="AB17" s="907">
        <f t="shared" si="4"/>
        <v>1</v>
      </c>
      <c r="AC17" s="907">
        <f t="shared" si="5"/>
        <v>1</v>
      </c>
    </row>
    <row r="18" spans="1:29" ht="15">
      <c r="A18" s="3075"/>
      <c r="B18" s="2778"/>
      <c r="C18" s="2802"/>
      <c r="D18" s="2875"/>
      <c r="E18" s="2830"/>
      <c r="F18" s="3698"/>
      <c r="G18" s="2830"/>
      <c r="H18" s="3699"/>
      <c r="I18" s="2836"/>
      <c r="J18" s="3698"/>
      <c r="K18" s="3132"/>
      <c r="L18" s="1979"/>
      <c r="M18" s="1974"/>
      <c r="N18" s="1974"/>
      <c r="O18" s="2029"/>
      <c r="P18" s="4677"/>
      <c r="Q18" s="1507"/>
      <c r="R18" s="3736"/>
      <c r="S18" s="3738"/>
      <c r="T18" s="3736"/>
      <c r="U18" s="3738"/>
      <c r="V18" s="3736"/>
      <c r="W18" s="3738"/>
      <c r="X18" s="909"/>
      <c r="Y18" s="4597"/>
      <c r="Z18" s="907"/>
      <c r="AA18" s="907">
        <v>1</v>
      </c>
      <c r="AB18" s="907">
        <v>1</v>
      </c>
      <c r="AC18" s="907">
        <v>1</v>
      </c>
    </row>
    <row r="19" spans="1:29" ht="138.75">
      <c r="A19" s="3075"/>
      <c r="B19" s="2779" t="s">
        <v>1684</v>
      </c>
      <c r="C19" s="2817" t="str">
        <f>估价对象房地状况!C16</f>
        <v>估价对象周边3公里范围有华冠购物中心、国泰良辰百货等购物中心及社区配套商业用房，人流量较大，集中程度较好，商业繁华度较好。</v>
      </c>
      <c r="D19" s="2876">
        <v>100</v>
      </c>
      <c r="E19" s="4275" t="s">
        <v>9920</v>
      </c>
      <c r="F19" s="3699">
        <f>SUMIF(91:91,E20,92:92)-SUMIF(91:91,C20,92:92)+100</f>
        <v>100</v>
      </c>
      <c r="G19" s="4275" t="s">
        <v>4646</v>
      </c>
      <c r="H19" s="3700">
        <f>SUMIF(91:91,G20,92:92)-SUMIF(91:91,C20,92:92)+100</f>
        <v>100</v>
      </c>
      <c r="I19" s="4276" t="s">
        <v>4646</v>
      </c>
      <c r="J19" s="3700">
        <f>SUMIF(91:91,I20,92:92)-SUMIF(91:91,C20,92:92)+100</f>
        <v>100</v>
      </c>
      <c r="K19" s="3131">
        <v>4</v>
      </c>
      <c r="L19" s="1979"/>
      <c r="M19" s="1974"/>
      <c r="N19" s="1974"/>
      <c r="O19" s="2029"/>
      <c r="P19" s="4677"/>
      <c r="Q19" s="1507" t="str">
        <f>B19</f>
        <v>商业繁华度</v>
      </c>
      <c r="R19" s="3736" t="s">
        <v>13</v>
      </c>
      <c r="S19" s="3738">
        <f>F19</f>
        <v>100</v>
      </c>
      <c r="T19" s="3736" t="s">
        <v>13</v>
      </c>
      <c r="U19" s="3738">
        <f>H19</f>
        <v>100</v>
      </c>
      <c r="V19" s="3736" t="s">
        <v>13</v>
      </c>
      <c r="W19" s="3738">
        <f>J19</f>
        <v>100</v>
      </c>
      <c r="X19" s="909"/>
      <c r="Y19" s="4597"/>
      <c r="Z19" s="907" t="str">
        <f>Q19</f>
        <v>商业繁华度</v>
      </c>
      <c r="AA19" s="907">
        <f t="shared" si="3"/>
        <v>1</v>
      </c>
      <c r="AB19" s="907">
        <f t="shared" si="4"/>
        <v>1</v>
      </c>
      <c r="AC19" s="907">
        <f t="shared" si="5"/>
        <v>1</v>
      </c>
    </row>
    <row r="20" spans="1:29" ht="15">
      <c r="A20" s="3075"/>
      <c r="B20" s="2780"/>
      <c r="C20" s="2804" t="s">
        <v>3604</v>
      </c>
      <c r="D20" s="2876"/>
      <c r="E20" s="2828" t="s">
        <v>3604</v>
      </c>
      <c r="F20" s="3699"/>
      <c r="G20" s="2828" t="s">
        <v>3604</v>
      </c>
      <c r="H20" s="3698"/>
      <c r="I20" s="2834" t="s">
        <v>3604</v>
      </c>
      <c r="J20" s="3698"/>
      <c r="K20" s="3132"/>
      <c r="L20" s="1979"/>
      <c r="M20" s="1974"/>
      <c r="N20" s="1974"/>
      <c r="O20" s="2029"/>
      <c r="P20" s="4677"/>
      <c r="Q20" s="1507"/>
      <c r="R20" s="3736"/>
      <c r="S20" s="3738"/>
      <c r="T20" s="3736"/>
      <c r="U20" s="3738"/>
      <c r="V20" s="3736"/>
      <c r="W20" s="3738"/>
      <c r="X20" s="909"/>
      <c r="Y20" s="4597"/>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77"/>
      <c r="Q21" s="1507" t="str">
        <f>B21</f>
        <v>办公集聚程度</v>
      </c>
      <c r="R21" s="3736" t="s">
        <v>13</v>
      </c>
      <c r="S21" s="3738">
        <f>F21</f>
        <v>100</v>
      </c>
      <c r="T21" s="3736" t="s">
        <v>13</v>
      </c>
      <c r="U21" s="3738">
        <f>H21</f>
        <v>100</v>
      </c>
      <c r="V21" s="3736" t="s">
        <v>13</v>
      </c>
      <c r="W21" s="3738">
        <f>J21</f>
        <v>100</v>
      </c>
      <c r="X21" s="909"/>
      <c r="Y21" s="4597"/>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77"/>
      <c r="Q22" s="1507"/>
      <c r="R22" s="3736"/>
      <c r="S22" s="3738"/>
      <c r="T22" s="3736"/>
      <c r="U22" s="3738"/>
      <c r="V22" s="3736"/>
      <c r="W22" s="3738"/>
      <c r="X22" s="909"/>
      <c r="Y22" s="4597"/>
      <c r="Z22" s="907"/>
      <c r="AA22" s="907">
        <v>1</v>
      </c>
      <c r="AB22" s="907">
        <v>1</v>
      </c>
      <c r="AC22" s="907">
        <v>1</v>
      </c>
    </row>
    <row r="23" spans="1:29" ht="177">
      <c r="A23" s="3075"/>
      <c r="B23" s="2779" t="s">
        <v>1740</v>
      </c>
      <c r="C23" s="2803" t="str">
        <f>估价对象房地状况!C18</f>
        <v>估价对象周边有多条城市主次干道通过，路网密集程度较好，道路通达程度较好。周边有952路、953路、F33路、F37路、F85路等多条公交线路，综合评价交通便捷度较好。</v>
      </c>
      <c r="D23" s="2876">
        <v>100</v>
      </c>
      <c r="E23" s="4275" t="s">
        <v>9922</v>
      </c>
      <c r="F23" s="3700">
        <f>SUMIF(95:95,E24,96:96)-SUMIF(95:95,C24,96:96)+100</f>
        <v>100</v>
      </c>
      <c r="G23" s="4275" t="s">
        <v>9921</v>
      </c>
      <c r="H23" s="3699">
        <f>SUMIF(95:95,G24,96:96)-SUMIF(95:95,C24,96:96)+100</f>
        <v>100</v>
      </c>
      <c r="I23" s="4276" t="s">
        <v>4647</v>
      </c>
      <c r="J23" s="3699">
        <f>SUMIF(95:95,I24,96:96)-SUMIF(95:95,C24,96:96)+100</f>
        <v>100</v>
      </c>
      <c r="K23" s="3131">
        <v>4</v>
      </c>
      <c r="L23" s="1979"/>
      <c r="M23" s="1974"/>
      <c r="N23" s="1974"/>
      <c r="O23" s="2029"/>
      <c r="P23" s="4677"/>
      <c r="Q23" s="1507" t="str">
        <f>B23</f>
        <v>交通便捷度</v>
      </c>
      <c r="R23" s="3736" t="s">
        <v>13</v>
      </c>
      <c r="S23" s="3738">
        <f>F23</f>
        <v>100</v>
      </c>
      <c r="T23" s="3736" t="s">
        <v>13</v>
      </c>
      <c r="U23" s="3738">
        <f>H23</f>
        <v>100</v>
      </c>
      <c r="V23" s="3736" t="s">
        <v>13</v>
      </c>
      <c r="W23" s="3738">
        <f>J23</f>
        <v>100</v>
      </c>
      <c r="X23" s="909"/>
      <c r="Y23" s="4597"/>
      <c r="Z23" s="907" t="str">
        <f>Q23</f>
        <v>交通便捷度</v>
      </c>
      <c r="AA23" s="907">
        <f t="shared" si="3"/>
        <v>1</v>
      </c>
      <c r="AB23" s="907">
        <f t="shared" si="4"/>
        <v>1</v>
      </c>
      <c r="AC23" s="907">
        <f t="shared" si="5"/>
        <v>1</v>
      </c>
    </row>
    <row r="24" spans="1:29" ht="15">
      <c r="A24" s="3075"/>
      <c r="B24" s="2781"/>
      <c r="C24" s="2802" t="s">
        <v>3604</v>
      </c>
      <c r="D24" s="2876"/>
      <c r="E24" s="2830" t="s">
        <v>3604</v>
      </c>
      <c r="F24" s="3698"/>
      <c r="G24" s="2830" t="s">
        <v>3604</v>
      </c>
      <c r="H24" s="3698"/>
      <c r="I24" s="2836" t="s">
        <v>3604</v>
      </c>
      <c r="J24" s="3698"/>
      <c r="K24" s="3132"/>
      <c r="L24" s="1979"/>
      <c r="M24" s="1974"/>
      <c r="N24" s="1974"/>
      <c r="O24" s="2029"/>
      <c r="P24" s="4677"/>
      <c r="Q24" s="1507"/>
      <c r="R24" s="3736"/>
      <c r="S24" s="3738"/>
      <c r="T24" s="3736"/>
      <c r="U24" s="3738"/>
      <c r="V24" s="3736"/>
      <c r="W24" s="3738"/>
      <c r="X24" s="909"/>
      <c r="Y24" s="4597"/>
      <c r="Z24" s="907"/>
      <c r="AA24" s="907">
        <v>1</v>
      </c>
      <c r="AB24" s="907">
        <v>1</v>
      </c>
      <c r="AC24" s="907">
        <v>1</v>
      </c>
    </row>
    <row r="25" spans="1:29" ht="15">
      <c r="A25" s="3079"/>
      <c r="B25" s="2779" t="s">
        <v>1777</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77"/>
      <c r="Q25" s="1507" t="str">
        <f t="shared" ref="Q25:Q39" si="8">B25</f>
        <v>区域土地利用方向</v>
      </c>
      <c r="R25" s="3736" t="s">
        <v>13</v>
      </c>
      <c r="S25" s="3738">
        <f>F25</f>
        <v>100</v>
      </c>
      <c r="T25" s="3736" t="s">
        <v>13</v>
      </c>
      <c r="U25" s="3738">
        <f>H25</f>
        <v>100</v>
      </c>
      <c r="V25" s="3736" t="s">
        <v>13</v>
      </c>
      <c r="W25" s="3738">
        <f>J25</f>
        <v>100</v>
      </c>
      <c r="X25" s="909"/>
      <c r="Y25" s="4597"/>
      <c r="Z25" s="907" t="str">
        <f>Q25</f>
        <v>区域土地利用方向</v>
      </c>
      <c r="AA25" s="907">
        <f t="shared" si="3"/>
        <v>1</v>
      </c>
      <c r="AB25" s="907">
        <f t="shared" si="4"/>
        <v>1</v>
      </c>
      <c r="AC25" s="907">
        <f t="shared" si="5"/>
        <v>1</v>
      </c>
    </row>
    <row r="26" spans="1:29" ht="15">
      <c r="A26" s="3079"/>
      <c r="B26" s="2780"/>
      <c r="C26" s="2818" t="s">
        <v>3604</v>
      </c>
      <c r="D26" s="2875"/>
      <c r="E26" s="2830" t="s">
        <v>3604</v>
      </c>
      <c r="F26" s="3698"/>
      <c r="G26" s="2836" t="s">
        <v>3604</v>
      </c>
      <c r="H26" s="3698"/>
      <c r="I26" s="2836" t="s">
        <v>3604</v>
      </c>
      <c r="J26" s="3698"/>
      <c r="K26" s="3133"/>
      <c r="L26" s="1979"/>
      <c r="M26" s="1974"/>
      <c r="N26" s="1974"/>
      <c r="O26" s="2029"/>
      <c r="P26" s="4677"/>
      <c r="Q26" s="1507"/>
      <c r="R26" s="3736"/>
      <c r="S26" s="3738"/>
      <c r="T26" s="3736"/>
      <c r="U26" s="3738"/>
      <c r="V26" s="3736"/>
      <c r="W26" s="3738"/>
      <c r="X26" s="909"/>
      <c r="Y26" s="4597"/>
      <c r="Z26" s="907"/>
      <c r="AA26" s="907"/>
      <c r="AB26" s="907"/>
      <c r="AC26" s="907"/>
    </row>
    <row r="27" spans="1:29" ht="149.25">
      <c r="A27" s="3079"/>
      <c r="B27" s="2781" t="s">
        <v>1778</v>
      </c>
      <c r="C27" s="2817" t="str">
        <f>估价对象房地状况!C20</f>
        <v>估价对象周边有房山人民公园、北潞园健身公园等绿化景观，自然环境较好；有房山区良乡体育中心等人文场所，人文环境较好；综合评价环境状况较好。</v>
      </c>
      <c r="D27" s="2876">
        <v>100</v>
      </c>
      <c r="E27" s="4781" t="s">
        <v>9923</v>
      </c>
      <c r="F27" s="3699">
        <f>SUMIF(99:99,E28,100:100)-SUMIF(99:99,C28,100:100)+100</f>
        <v>100</v>
      </c>
      <c r="G27" s="4275" t="s">
        <v>4649</v>
      </c>
      <c r="H27" s="3699">
        <f>SUMIF(99:99,G28,100:100)-SUMIF(99:99,C28,100:100)+100</f>
        <v>100</v>
      </c>
      <c r="I27" s="4276" t="s">
        <v>4649</v>
      </c>
      <c r="J27" s="3699">
        <f>SUMIF(99:99,I28,100:100)-SUMIF(99:99,C28,100:100)+100</f>
        <v>100</v>
      </c>
      <c r="K27" s="3131">
        <v>3</v>
      </c>
      <c r="L27" s="1979"/>
      <c r="M27" s="1974"/>
      <c r="N27" s="1974"/>
      <c r="O27" s="2029"/>
      <c r="P27" s="4677"/>
      <c r="Q27" s="1507" t="str">
        <f t="shared" si="8"/>
        <v>自然及人文环境状况</v>
      </c>
      <c r="R27" s="3736" t="s">
        <v>13</v>
      </c>
      <c r="S27" s="3738">
        <f>F27</f>
        <v>100</v>
      </c>
      <c r="T27" s="3736" t="s">
        <v>13</v>
      </c>
      <c r="U27" s="3738">
        <f>H27</f>
        <v>100</v>
      </c>
      <c r="V27" s="3736" t="s">
        <v>13</v>
      </c>
      <c r="W27" s="3738">
        <f>J27</f>
        <v>100</v>
      </c>
      <c r="X27" s="909"/>
      <c r="Y27" s="4597"/>
      <c r="Z27" s="907" t="str">
        <f>Q27</f>
        <v>自然及人文环境状况</v>
      </c>
      <c r="AA27" s="907">
        <f t="shared" si="3"/>
        <v>1</v>
      </c>
      <c r="AB27" s="907">
        <f t="shared" si="4"/>
        <v>1</v>
      </c>
      <c r="AC27" s="907">
        <f t="shared" si="5"/>
        <v>1</v>
      </c>
    </row>
    <row r="28" spans="1:29" ht="15">
      <c r="A28" s="3079"/>
      <c r="B28" s="2780"/>
      <c r="C28" s="2802" t="s">
        <v>3604</v>
      </c>
      <c r="D28" s="2875"/>
      <c r="E28" s="2853" t="s">
        <v>3604</v>
      </c>
      <c r="F28" s="3698"/>
      <c r="G28" s="2853" t="s">
        <v>3604</v>
      </c>
      <c r="H28" s="3698"/>
      <c r="I28" s="2802" t="s">
        <v>3604</v>
      </c>
      <c r="J28" s="3698"/>
      <c r="K28" s="3132"/>
      <c r="L28" s="1979"/>
      <c r="M28" s="1974"/>
      <c r="N28" s="1974"/>
      <c r="O28" s="2029"/>
      <c r="P28" s="4677"/>
      <c r="Q28" s="1507"/>
      <c r="R28" s="3736"/>
      <c r="S28" s="3738"/>
      <c r="T28" s="3736"/>
      <c r="U28" s="3738"/>
      <c r="V28" s="3736"/>
      <c r="W28" s="3738"/>
      <c r="X28" s="909"/>
      <c r="Y28" s="4597"/>
      <c r="Z28" s="907"/>
      <c r="AA28" s="907">
        <v>1</v>
      </c>
      <c r="AB28" s="907">
        <v>1</v>
      </c>
      <c r="AC28" s="907">
        <v>1</v>
      </c>
    </row>
    <row r="29" spans="1:29" s="46" customFormat="1" ht="233.25">
      <c r="A29" s="3081"/>
      <c r="B29" s="2781" t="s">
        <v>1685</v>
      </c>
      <c r="C29" s="2803"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D29" s="2876">
        <v>100</v>
      </c>
      <c r="E29" s="4275" t="s">
        <v>9924</v>
      </c>
      <c r="F29" s="3699">
        <f>SUMIF(101:101,E30,102:102)-SUMIF(101:101,C30,102:102)+100</f>
        <v>100</v>
      </c>
      <c r="G29" s="4275" t="s">
        <v>4648</v>
      </c>
      <c r="H29" s="3699">
        <f>SUMIF(101:101,G30,102:102)-SUMIF(101:101,C30,102:102)+100</f>
        <v>100</v>
      </c>
      <c r="I29" s="4276" t="s">
        <v>4648</v>
      </c>
      <c r="J29" s="3699">
        <f>SUMIF(101:101,I30,102:102)-SUMIF(101:101,C30,102:102)+100</f>
        <v>100</v>
      </c>
      <c r="K29" s="3131">
        <v>3</v>
      </c>
      <c r="L29" s="1975"/>
      <c r="M29" s="1928"/>
      <c r="N29" s="1928"/>
      <c r="O29" s="2027"/>
      <c r="P29" s="4677"/>
      <c r="Q29" s="1698" t="str">
        <f t="shared" si="8"/>
        <v>公共配套设施</v>
      </c>
      <c r="R29" s="3735" t="s">
        <v>13</v>
      </c>
      <c r="S29" s="3518">
        <f>F29</f>
        <v>100</v>
      </c>
      <c r="T29" s="3735" t="s">
        <v>13</v>
      </c>
      <c r="U29" s="3518">
        <f>H29</f>
        <v>100</v>
      </c>
      <c r="V29" s="3735" t="s">
        <v>13</v>
      </c>
      <c r="W29" s="3518">
        <f>J29</f>
        <v>100</v>
      </c>
      <c r="X29" s="482"/>
      <c r="Y29" s="4597"/>
      <c r="Z29" s="28" t="str">
        <f>Q29</f>
        <v>公共配套设施</v>
      </c>
      <c r="AA29" s="907">
        <f>D29/F29</f>
        <v>1</v>
      </c>
      <c r="AB29" s="907">
        <f>D29/H29</f>
        <v>1</v>
      </c>
      <c r="AC29" s="907">
        <f>D29/J29</f>
        <v>1</v>
      </c>
    </row>
    <row r="30" spans="1:29" s="46" customFormat="1" ht="15">
      <c r="A30" s="3081"/>
      <c r="B30" s="2780"/>
      <c r="C30" s="3082" t="s">
        <v>3604</v>
      </c>
      <c r="D30" s="2875"/>
      <c r="E30" s="2853" t="s">
        <v>3604</v>
      </c>
      <c r="F30" s="3698"/>
      <c r="G30" s="2853" t="s">
        <v>3604</v>
      </c>
      <c r="H30" s="3698"/>
      <c r="I30" s="2802" t="s">
        <v>3604</v>
      </c>
      <c r="J30" s="3698"/>
      <c r="K30" s="3132"/>
      <c r="L30" s="1975"/>
      <c r="M30" s="1928"/>
      <c r="N30" s="1928"/>
      <c r="O30" s="2027"/>
      <c r="P30" s="4677"/>
      <c r="Q30" s="1698"/>
      <c r="R30" s="3735"/>
      <c r="S30" s="3518"/>
      <c r="T30" s="3735"/>
      <c r="U30" s="3518"/>
      <c r="V30" s="3735"/>
      <c r="W30" s="3518"/>
      <c r="X30" s="482"/>
      <c r="Y30" s="4597"/>
      <c r="Z30" s="28"/>
      <c r="AA30" s="907">
        <v>1</v>
      </c>
      <c r="AB30" s="907">
        <v>1</v>
      </c>
      <c r="AC30" s="907">
        <v>1</v>
      </c>
    </row>
    <row r="31" spans="1:29" s="46" customFormat="1" ht="15">
      <c r="A31" s="3081"/>
      <c r="B31" s="2781" t="s">
        <v>1686</v>
      </c>
      <c r="C31" s="2803" t="str">
        <f>估价对象房地状况!C22</f>
        <v>七通</v>
      </c>
      <c r="D31" s="2876">
        <v>100</v>
      </c>
      <c r="E31" s="2827"/>
      <c r="F31" s="3699">
        <f>SUMIF(103:103,E32,104:104)-SUMIF(103:103,C32,104:104)+100</f>
        <v>100</v>
      </c>
      <c r="G31" s="2827"/>
      <c r="H31" s="3699">
        <f>SUMIF(103:103,G32,104:104)-SUMIF(103:103,C32,104:104)+100</f>
        <v>100</v>
      </c>
      <c r="I31" s="2833"/>
      <c r="J31" s="3699">
        <f>SUMIF(103:103,I32,104:104)-SUMIF(103:103,C32,104:104)+100</f>
        <v>100</v>
      </c>
      <c r="K31" s="3131">
        <v>3</v>
      </c>
      <c r="L31" s="1975"/>
      <c r="M31" s="1928"/>
      <c r="N31" s="1928"/>
      <c r="O31" s="2027"/>
      <c r="P31" s="4677"/>
      <c r="Q31" s="1698" t="str">
        <f t="shared" ref="Q31" si="9">B31</f>
        <v>基础设施水平</v>
      </c>
      <c r="R31" s="3735" t="s">
        <v>13</v>
      </c>
      <c r="S31" s="3518">
        <f>F31</f>
        <v>100</v>
      </c>
      <c r="T31" s="3735" t="s">
        <v>13</v>
      </c>
      <c r="U31" s="3518">
        <f>H31</f>
        <v>100</v>
      </c>
      <c r="V31" s="3735" t="s">
        <v>13</v>
      </c>
      <c r="W31" s="3518">
        <f>J31</f>
        <v>100</v>
      </c>
      <c r="X31" s="482"/>
      <c r="Y31" s="4597"/>
      <c r="Z31" s="28" t="str">
        <f>Q31</f>
        <v>基础设施水平</v>
      </c>
      <c r="AA31" s="907">
        <f>D31/F31</f>
        <v>1</v>
      </c>
      <c r="AB31" s="907">
        <f>D31/H31</f>
        <v>1</v>
      </c>
      <c r="AC31" s="907">
        <f>D31/J31</f>
        <v>1</v>
      </c>
    </row>
    <row r="32" spans="1:29" s="46" customFormat="1" ht="15">
      <c r="A32" s="3081"/>
      <c r="B32" s="2780"/>
      <c r="C32" s="3082" t="s">
        <v>3605</v>
      </c>
      <c r="D32" s="2875"/>
      <c r="E32" s="3098" t="s">
        <v>3605</v>
      </c>
      <c r="F32" s="3698"/>
      <c r="G32" s="3098" t="s">
        <v>3605</v>
      </c>
      <c r="H32" s="3698"/>
      <c r="I32" s="3098" t="s">
        <v>3605</v>
      </c>
      <c r="J32" s="3698"/>
      <c r="K32" s="3132"/>
      <c r="L32" s="1975"/>
      <c r="M32" s="1928"/>
      <c r="N32" s="1928"/>
      <c r="O32" s="2027"/>
      <c r="P32" s="4677"/>
      <c r="Q32" s="1698"/>
      <c r="R32" s="3735"/>
      <c r="S32" s="3518"/>
      <c r="T32" s="3735"/>
      <c r="U32" s="3518"/>
      <c r="V32" s="3735"/>
      <c r="W32" s="3518"/>
      <c r="X32" s="482"/>
      <c r="Y32" s="4597"/>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77"/>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97"/>
      <c r="Z33" s="907" t="str">
        <f t="shared" ref="Z33:Z47" si="13">Q33</f>
        <v>临街状况</v>
      </c>
      <c r="AA33" s="907">
        <f t="shared" si="3"/>
        <v>1</v>
      </c>
      <c r="AB33" s="907">
        <f t="shared" si="4"/>
        <v>1</v>
      </c>
      <c r="AC33" s="907">
        <f t="shared" si="5"/>
        <v>1</v>
      </c>
    </row>
    <row r="34" spans="1:29" ht="27">
      <c r="A34" s="3075"/>
      <c r="B34" s="2781" t="s">
        <v>1722</v>
      </c>
      <c r="C34" s="4271"/>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77"/>
      <c r="Q34" s="1507" t="str">
        <f t="shared" si="8"/>
        <v>毗邻道路的类型与等级</v>
      </c>
      <c r="R34" s="3736" t="s">
        <v>13</v>
      </c>
      <c r="S34" s="3738">
        <f t="shared" si="10"/>
        <v>100</v>
      </c>
      <c r="T34" s="3736" t="s">
        <v>13</v>
      </c>
      <c r="U34" s="3738">
        <f t="shared" si="11"/>
        <v>100</v>
      </c>
      <c r="V34" s="3736" t="s">
        <v>13</v>
      </c>
      <c r="W34" s="3738">
        <f t="shared" si="12"/>
        <v>100</v>
      </c>
      <c r="X34" s="909"/>
      <c r="Y34" s="4597"/>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77"/>
      <c r="Q35" s="1507"/>
      <c r="R35" s="3736"/>
      <c r="S35" s="3738"/>
      <c r="T35" s="3736"/>
      <c r="U35" s="3738"/>
      <c r="V35" s="3736"/>
      <c r="W35" s="3738"/>
      <c r="X35" s="909"/>
      <c r="Y35" s="4597"/>
      <c r="Z35" s="907"/>
      <c r="AA35" s="907">
        <v>1</v>
      </c>
      <c r="AB35" s="907">
        <v>1</v>
      </c>
      <c r="AC35" s="907">
        <v>1</v>
      </c>
    </row>
    <row r="36" spans="1:29" ht="15">
      <c r="A36" s="3075"/>
      <c r="B36" s="2771" t="s">
        <v>1779</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77"/>
      <c r="Q36" s="1507" t="str">
        <f t="shared" si="8"/>
        <v>土地级别</v>
      </c>
      <c r="R36" s="3736" t="s">
        <v>13</v>
      </c>
      <c r="S36" s="3738">
        <f t="shared" si="10"/>
        <v>100</v>
      </c>
      <c r="T36" s="3736" t="s">
        <v>13</v>
      </c>
      <c r="U36" s="3738">
        <f t="shared" si="11"/>
        <v>100</v>
      </c>
      <c r="V36" s="3736" t="s">
        <v>13</v>
      </c>
      <c r="W36" s="3738">
        <f t="shared" si="12"/>
        <v>100</v>
      </c>
      <c r="X36" s="909"/>
      <c r="Y36" s="4597"/>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77"/>
      <c r="Q37" s="1507">
        <f t="shared" si="8"/>
        <v>111</v>
      </c>
      <c r="R37" s="3736" t="s">
        <v>13</v>
      </c>
      <c r="S37" s="3738">
        <f t="shared" si="10"/>
        <v>100</v>
      </c>
      <c r="T37" s="3736" t="s">
        <v>13</v>
      </c>
      <c r="U37" s="3738">
        <f t="shared" si="11"/>
        <v>100</v>
      </c>
      <c r="V37" s="3736" t="s">
        <v>13</v>
      </c>
      <c r="W37" s="3738">
        <f t="shared" si="12"/>
        <v>100</v>
      </c>
      <c r="X37" s="909"/>
      <c r="Y37" s="4597"/>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78" t="s">
        <v>1603</v>
      </c>
      <c r="Q38" s="1507">
        <f t="shared" si="8"/>
        <v>111</v>
      </c>
      <c r="R38" s="3736" t="s">
        <v>13</v>
      </c>
      <c r="S38" s="3738">
        <f t="shared" si="10"/>
        <v>100</v>
      </c>
      <c r="T38" s="3736" t="s">
        <v>13</v>
      </c>
      <c r="U38" s="3738">
        <f t="shared" si="11"/>
        <v>100</v>
      </c>
      <c r="V38" s="3736" t="s">
        <v>13</v>
      </c>
      <c r="W38" s="3738">
        <f t="shared" si="12"/>
        <v>100</v>
      </c>
      <c r="X38" s="909"/>
      <c r="Y38" s="4601"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79"/>
      <c r="Q39" s="1507">
        <f t="shared" si="8"/>
        <v>111</v>
      </c>
      <c r="R39" s="3737" t="s">
        <v>13</v>
      </c>
      <c r="S39" s="3739">
        <f t="shared" si="10"/>
        <v>100</v>
      </c>
      <c r="T39" s="3737" t="s">
        <v>13</v>
      </c>
      <c r="U39" s="3739">
        <f t="shared" si="11"/>
        <v>100</v>
      </c>
      <c r="V39" s="3737" t="s">
        <v>13</v>
      </c>
      <c r="W39" s="3739">
        <f t="shared" si="12"/>
        <v>100</v>
      </c>
      <c r="X39" s="484"/>
      <c r="Y39" s="4601"/>
      <c r="Z39" s="485">
        <f t="shared" si="13"/>
        <v>111</v>
      </c>
      <c r="AA39" s="907">
        <f t="shared" si="3"/>
        <v>1</v>
      </c>
      <c r="AB39" s="907">
        <f t="shared" si="4"/>
        <v>1</v>
      </c>
      <c r="AC39" s="907">
        <f t="shared" si="5"/>
        <v>1</v>
      </c>
    </row>
    <row r="40" spans="1:29" ht="15">
      <c r="A40" s="3089" t="s">
        <v>1601</v>
      </c>
      <c r="B40" s="2780" t="s">
        <v>1780</v>
      </c>
      <c r="C40" s="3090">
        <f>'数据-汇总表'!D3</f>
        <v>24498.84</v>
      </c>
      <c r="D40" s="2879">
        <v>100</v>
      </c>
      <c r="E40" s="3090">
        <f>Sheet1!C6</f>
        <v>79959.070000000007</v>
      </c>
      <c r="F40" s="3708">
        <f>LOOKUP(E40,118:118,119:119)-LOOKUP(C40,118:118,119:119)+100</f>
        <v>102</v>
      </c>
      <c r="G40" s="3090">
        <f>Sheet1!C8</f>
        <v>11304.48</v>
      </c>
      <c r="H40" s="3708">
        <f>LOOKUP(G40,118:118,119:119)-LOOKUP(C40,118:118,119:119)+100</f>
        <v>99</v>
      </c>
      <c r="I40" s="3103">
        <f>Sheet1!C12</f>
        <v>4239.42</v>
      </c>
      <c r="J40" s="3708">
        <f>LOOKUP(I40,118:118,119:119)-LOOKUP(C40,118:118,119:119)+100</f>
        <v>98</v>
      </c>
      <c r="K40" s="2840"/>
      <c r="L40" s="1979"/>
      <c r="M40" s="1974"/>
      <c r="N40" s="1974"/>
      <c r="O40" s="2029"/>
      <c r="P40" s="4679"/>
      <c r="Q40" s="1507" t="str">
        <f>B40</f>
        <v>宗地面积</v>
      </c>
      <c r="R40" s="3736" t="s">
        <v>13</v>
      </c>
      <c r="S40" s="3738">
        <f t="shared" si="10"/>
        <v>102</v>
      </c>
      <c r="T40" s="3736" t="s">
        <v>13</v>
      </c>
      <c r="U40" s="3738">
        <f t="shared" si="11"/>
        <v>99</v>
      </c>
      <c r="V40" s="3736" t="s">
        <v>13</v>
      </c>
      <c r="W40" s="3738">
        <f t="shared" si="12"/>
        <v>98</v>
      </c>
      <c r="X40" s="909"/>
      <c r="Y40" s="4601"/>
      <c r="Z40" s="907" t="str">
        <f t="shared" si="13"/>
        <v>宗地面积</v>
      </c>
      <c r="AA40" s="907">
        <f t="shared" si="3"/>
        <v>0.98039215686274506</v>
      </c>
      <c r="AB40" s="907">
        <f t="shared" si="4"/>
        <v>1.0101010101010102</v>
      </c>
      <c r="AC40" s="907">
        <f t="shared" si="5"/>
        <v>1.0204081632653061</v>
      </c>
    </row>
    <row r="41" spans="1:29" ht="15">
      <c r="A41" s="3089"/>
      <c r="B41" s="2771" t="s">
        <v>1781</v>
      </c>
      <c r="C41" s="2808" t="s">
        <v>3611</v>
      </c>
      <c r="D41" s="2872">
        <v>100</v>
      </c>
      <c r="E41" s="2808" t="s">
        <v>3612</v>
      </c>
      <c r="F41" s="3701">
        <f>SUMIF(120:120,E41,121:121)-SUMIF(120:120,C41,121:121)+100</f>
        <v>99</v>
      </c>
      <c r="G41" s="2808" t="s">
        <v>3611</v>
      </c>
      <c r="H41" s="3701">
        <f>SUMIF(120:120,G41,121:121)-SUMIF(120:120,C41,121:121)+100</f>
        <v>100</v>
      </c>
      <c r="I41" s="2808" t="s">
        <v>3611</v>
      </c>
      <c r="J41" s="3701">
        <f>SUMIF(120:120,I41,121:121)-SUMIF(120:120,C41,121:121)+100</f>
        <v>100</v>
      </c>
      <c r="K41" s="2839">
        <v>1</v>
      </c>
      <c r="L41" s="1979"/>
      <c r="M41" s="1974"/>
      <c r="N41" s="1974"/>
      <c r="O41" s="2029"/>
      <c r="P41" s="4679"/>
      <c r="Q41" s="1507" t="str">
        <f t="shared" ref="Q41:Q47" si="14">B41</f>
        <v>宗地形状</v>
      </c>
      <c r="R41" s="3736" t="s">
        <v>13</v>
      </c>
      <c r="S41" s="3738">
        <f t="shared" si="10"/>
        <v>99</v>
      </c>
      <c r="T41" s="3736" t="s">
        <v>13</v>
      </c>
      <c r="U41" s="3738">
        <f t="shared" si="11"/>
        <v>100</v>
      </c>
      <c r="V41" s="3736" t="s">
        <v>13</v>
      </c>
      <c r="W41" s="3738">
        <f t="shared" si="12"/>
        <v>100</v>
      </c>
      <c r="X41" s="909"/>
      <c r="Y41" s="4601"/>
      <c r="Z41" s="907" t="str">
        <f t="shared" si="13"/>
        <v>宗地形状</v>
      </c>
      <c r="AA41" s="907">
        <f t="shared" si="3"/>
        <v>1.0101010101010102</v>
      </c>
      <c r="AB41" s="907">
        <f t="shared" si="4"/>
        <v>1</v>
      </c>
      <c r="AC41" s="907">
        <f t="shared" si="5"/>
        <v>1</v>
      </c>
    </row>
    <row r="42" spans="1:29" ht="15">
      <c r="A42" s="3089"/>
      <c r="B42" s="2771" t="s">
        <v>1782</v>
      </c>
      <c r="C42" s="2808" t="s">
        <v>4638</v>
      </c>
      <c r="D42" s="2872">
        <v>100</v>
      </c>
      <c r="E42" s="2808" t="s">
        <v>4638</v>
      </c>
      <c r="F42" s="3701">
        <f>SUMIF(122:122,E42,123:123)-SUMIF(122:122,C42,123:123)+100</f>
        <v>100</v>
      </c>
      <c r="G42" s="2808" t="s">
        <v>4638</v>
      </c>
      <c r="H42" s="3701">
        <f>SUMIF(122:122,G42,123:123)-SUMIF(122:122,C42,123:123)+100</f>
        <v>100</v>
      </c>
      <c r="I42" s="2808" t="s">
        <v>4638</v>
      </c>
      <c r="J42" s="3701">
        <f>SUMIF(122:122,I42,123:123)-SUMIF(122:122,C42,123:123)+100</f>
        <v>100</v>
      </c>
      <c r="K42" s="2839">
        <v>1</v>
      </c>
      <c r="L42" s="1979"/>
      <c r="M42" s="1974"/>
      <c r="N42" s="1974"/>
      <c r="O42" s="2029"/>
      <c r="P42" s="4679"/>
      <c r="Q42" s="1507" t="str">
        <f t="shared" si="14"/>
        <v>临街宽度及深度</v>
      </c>
      <c r="R42" s="3736" t="s">
        <v>13</v>
      </c>
      <c r="S42" s="3738">
        <f t="shared" si="10"/>
        <v>100</v>
      </c>
      <c r="T42" s="3736" t="s">
        <v>13</v>
      </c>
      <c r="U42" s="3738">
        <f t="shared" si="11"/>
        <v>100</v>
      </c>
      <c r="V42" s="3736" t="s">
        <v>13</v>
      </c>
      <c r="W42" s="3738">
        <f t="shared" si="12"/>
        <v>100</v>
      </c>
      <c r="X42" s="909"/>
      <c r="Y42" s="4601"/>
      <c r="Z42" s="907" t="str">
        <f t="shared" si="13"/>
        <v>临街宽度及深度</v>
      </c>
      <c r="AA42" s="907">
        <f t="shared" si="3"/>
        <v>1</v>
      </c>
      <c r="AB42" s="907">
        <f t="shared" si="4"/>
        <v>1</v>
      </c>
      <c r="AC42" s="907">
        <f t="shared" si="5"/>
        <v>1</v>
      </c>
    </row>
    <row r="43" spans="1:29" s="46" customFormat="1" ht="15">
      <c r="A43" s="3091"/>
      <c r="B43" s="2771" t="s">
        <v>1783</v>
      </c>
      <c r="C43" s="3092" t="s">
        <v>3606</v>
      </c>
      <c r="D43" s="2870">
        <v>100</v>
      </c>
      <c r="E43" s="3092" t="s">
        <v>3606</v>
      </c>
      <c r="F43" s="3701">
        <f>SUMIF(124:124,E43,125:125)-SUMIF(124:124,C43,125:125)+100</f>
        <v>100</v>
      </c>
      <c r="G43" s="3092" t="s">
        <v>3606</v>
      </c>
      <c r="H43" s="3701">
        <f>SUMIF(124:124,G43,125:125)-SUMIF(124:124,C43,125:125)+100</f>
        <v>100</v>
      </c>
      <c r="I43" s="3092" t="s">
        <v>3606</v>
      </c>
      <c r="J43" s="3701">
        <f>SUMIF(124:124,I43,125:125)-SUMIF(124:124,C43,125:125)+100</f>
        <v>100</v>
      </c>
      <c r="K43" s="2839">
        <v>1</v>
      </c>
      <c r="L43" s="1975"/>
      <c r="M43" s="1928"/>
      <c r="N43" s="1928"/>
      <c r="O43" s="2027"/>
      <c r="P43" s="4679"/>
      <c r="Q43" s="1507" t="str">
        <f t="shared" si="14"/>
        <v>宗地开发程度</v>
      </c>
      <c r="R43" s="3735" t="s">
        <v>13</v>
      </c>
      <c r="S43" s="3518">
        <f t="shared" si="10"/>
        <v>100</v>
      </c>
      <c r="T43" s="3735" t="s">
        <v>13</v>
      </c>
      <c r="U43" s="3518">
        <f t="shared" si="11"/>
        <v>100</v>
      </c>
      <c r="V43" s="3735" t="s">
        <v>13</v>
      </c>
      <c r="W43" s="3518">
        <f t="shared" si="12"/>
        <v>100</v>
      </c>
      <c r="X43" s="482"/>
      <c r="Y43" s="4601"/>
      <c r="Z43" s="28" t="str">
        <f t="shared" si="13"/>
        <v>宗地开发程度</v>
      </c>
      <c r="AA43" s="28">
        <f t="shared" si="3"/>
        <v>1</v>
      </c>
      <c r="AB43" s="28">
        <f t="shared" si="4"/>
        <v>1</v>
      </c>
      <c r="AC43" s="28">
        <f t="shared" si="5"/>
        <v>1</v>
      </c>
    </row>
    <row r="44" spans="1:29" ht="15">
      <c r="A44" s="3089"/>
      <c r="B44" s="2771" t="s">
        <v>1784</v>
      </c>
      <c r="C44" s="2808" t="s">
        <v>3604</v>
      </c>
      <c r="D44" s="2872">
        <v>100</v>
      </c>
      <c r="E44" s="2808" t="s">
        <v>3604</v>
      </c>
      <c r="F44" s="3701">
        <f>SUMIF(126:126,E44,127:127)-SUMIF(126:126,C44,127:127)+100</f>
        <v>100</v>
      </c>
      <c r="G44" s="2808" t="s">
        <v>3604</v>
      </c>
      <c r="H44" s="3701">
        <f>SUMIF(126:126,G44,127:127)-SUMIF(126:126,C44,127:127)+100</f>
        <v>100</v>
      </c>
      <c r="I44" s="2808" t="s">
        <v>3604</v>
      </c>
      <c r="J44" s="3701">
        <f>SUMIF(126:126,I44,127:127)-SUMIF(126:126,C44,127:127)+100</f>
        <v>100</v>
      </c>
      <c r="K44" s="2839">
        <v>1</v>
      </c>
      <c r="L44" s="1979"/>
      <c r="M44" s="1974"/>
      <c r="N44" s="1974"/>
      <c r="O44" s="2029"/>
      <c r="P44" s="4679" t="s">
        <v>1603</v>
      </c>
      <c r="Q44" s="1507" t="str">
        <f t="shared" si="14"/>
        <v>工程地质条件</v>
      </c>
      <c r="R44" s="3736" t="s">
        <v>13</v>
      </c>
      <c r="S44" s="3738">
        <f t="shared" si="10"/>
        <v>100</v>
      </c>
      <c r="T44" s="3736" t="s">
        <v>13</v>
      </c>
      <c r="U44" s="3738">
        <f t="shared" si="11"/>
        <v>100</v>
      </c>
      <c r="V44" s="3736" t="s">
        <v>13</v>
      </c>
      <c r="W44" s="3738">
        <f t="shared" si="12"/>
        <v>100</v>
      </c>
      <c r="X44" s="909"/>
      <c r="Y44" s="4601"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79"/>
      <c r="Q45" s="1507">
        <f t="shared" si="14"/>
        <v>111</v>
      </c>
      <c r="R45" s="3736" t="s">
        <v>13</v>
      </c>
      <c r="S45" s="3738">
        <f t="shared" si="10"/>
        <v>100</v>
      </c>
      <c r="T45" s="3736" t="s">
        <v>13</v>
      </c>
      <c r="U45" s="3738">
        <f t="shared" si="11"/>
        <v>100</v>
      </c>
      <c r="V45" s="3736" t="s">
        <v>13</v>
      </c>
      <c r="W45" s="3738">
        <f t="shared" si="12"/>
        <v>100</v>
      </c>
      <c r="X45" s="909"/>
      <c r="Y45" s="4601"/>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79"/>
      <c r="Q46" s="1507">
        <f t="shared" si="14"/>
        <v>111</v>
      </c>
      <c r="R46" s="3736" t="s">
        <v>13</v>
      </c>
      <c r="S46" s="3738">
        <f t="shared" si="10"/>
        <v>100</v>
      </c>
      <c r="T46" s="3736" t="s">
        <v>13</v>
      </c>
      <c r="U46" s="3738">
        <f t="shared" si="11"/>
        <v>100</v>
      </c>
      <c r="V46" s="3736" t="s">
        <v>13</v>
      </c>
      <c r="W46" s="3738">
        <f t="shared" si="12"/>
        <v>100</v>
      </c>
      <c r="X46" s="909"/>
      <c r="Y46" s="4601"/>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79"/>
      <c r="Q47" s="1507">
        <f t="shared" si="14"/>
        <v>111</v>
      </c>
      <c r="R47" s="3737" t="s">
        <v>13</v>
      </c>
      <c r="S47" s="3739">
        <f t="shared" si="10"/>
        <v>100</v>
      </c>
      <c r="T47" s="3737" t="s">
        <v>13</v>
      </c>
      <c r="U47" s="3739">
        <f t="shared" si="11"/>
        <v>100</v>
      </c>
      <c r="V47" s="3737" t="s">
        <v>13</v>
      </c>
      <c r="W47" s="3739">
        <f t="shared" si="12"/>
        <v>100</v>
      </c>
      <c r="X47" s="484"/>
      <c r="Y47" s="4601"/>
      <c r="Z47" s="485">
        <f t="shared" si="13"/>
        <v>111</v>
      </c>
      <c r="AA47" s="907">
        <f t="shared" si="3"/>
        <v>1</v>
      </c>
      <c r="AB47" s="907">
        <f t="shared" si="4"/>
        <v>1</v>
      </c>
      <c r="AC47" s="907">
        <f t="shared" si="5"/>
        <v>1</v>
      </c>
    </row>
    <row r="48" spans="1:29" ht="15">
      <c r="A48" s="286" t="s">
        <v>1751</v>
      </c>
      <c r="B48" s="1430" t="s">
        <v>1785</v>
      </c>
      <c r="C48" s="439" t="s">
        <v>0</v>
      </c>
      <c r="D48" s="288"/>
      <c r="E48" s="3187">
        <f>Sheet1!N6</f>
        <v>11077</v>
      </c>
      <c r="F48" s="3135"/>
      <c r="G48" s="3188">
        <f>Sheet1!N8</f>
        <v>13088</v>
      </c>
      <c r="H48" s="3136"/>
      <c r="I48" s="3187">
        <f>Sheet1!N12</f>
        <v>13374</v>
      </c>
      <c r="J48" s="3136"/>
      <c r="K48" s="2844"/>
      <c r="L48" s="1981"/>
      <c r="M48" s="1974"/>
      <c r="N48" s="1974"/>
      <c r="O48" s="1974"/>
      <c r="P48" s="4594" t="str">
        <f>A48</f>
        <v>成交单价</v>
      </c>
      <c r="Q48" s="4594"/>
      <c r="R48" s="4595">
        <f>E48</f>
        <v>11077</v>
      </c>
      <c r="S48" s="4595"/>
      <c r="T48" s="4595">
        <f>G48</f>
        <v>13088</v>
      </c>
      <c r="U48" s="4595"/>
      <c r="V48" s="4595">
        <f>I48</f>
        <v>13374</v>
      </c>
      <c r="W48" s="4595"/>
      <c r="X48" s="265"/>
      <c r="Y48" s="486"/>
      <c r="Z48" s="265"/>
      <c r="AA48" s="265"/>
      <c r="AB48" s="265"/>
      <c r="AC48" s="265"/>
    </row>
    <row r="49" spans="1:29" ht="15.75" thickBot="1">
      <c r="A49" s="289" t="s">
        <v>1700</v>
      </c>
      <c r="B49" s="440"/>
      <c r="C49" s="3720">
        <f>R50</f>
        <v>11081</v>
      </c>
      <c r="D49" s="3822" t="s">
        <v>2040</v>
      </c>
      <c r="E49" s="3720">
        <f>R49</f>
        <v>8674</v>
      </c>
      <c r="F49" s="2783"/>
      <c r="G49" s="3709">
        <f>T49</f>
        <v>12357</v>
      </c>
      <c r="H49" s="2783"/>
      <c r="I49" s="3720">
        <f>V49</f>
        <v>12211</v>
      </c>
      <c r="J49" s="2783"/>
      <c r="K49" s="2837">
        <f>F49+H49+J49</f>
        <v>0</v>
      </c>
      <c r="L49" s="1981"/>
      <c r="M49" s="1974"/>
      <c r="N49" s="1974"/>
      <c r="O49" s="1974"/>
      <c r="P49" s="4594" t="str">
        <f>A49</f>
        <v>比较价值（元/平方米）</v>
      </c>
      <c r="Q49" s="4594"/>
      <c r="R49" s="4595">
        <f>ROUND(PRODUCT(R48,AA9:AA47),0)</f>
        <v>8674</v>
      </c>
      <c r="S49" s="4595"/>
      <c r="T49" s="4595">
        <f>ROUND(PRODUCT(T48,AB9:AB47),0)</f>
        <v>12357</v>
      </c>
      <c r="U49" s="4595"/>
      <c r="V49" s="4595">
        <f>ROUND(PRODUCT(V48,AC9:AC47),0)</f>
        <v>12211</v>
      </c>
      <c r="W49" s="4595"/>
      <c r="X49" s="265"/>
      <c r="Y49" s="265"/>
      <c r="Z49" s="265"/>
      <c r="AA49" s="265"/>
      <c r="AB49" s="265"/>
      <c r="AC49" s="265"/>
    </row>
    <row r="50" spans="1:29" ht="15.75" thickBot="1">
      <c r="A50" s="291" t="s">
        <v>1786</v>
      </c>
      <c r="B50" s="292"/>
      <c r="C50" s="3721">
        <f>R50</f>
        <v>11081</v>
      </c>
      <c r="D50" s="293"/>
      <c r="E50" s="293"/>
      <c r="F50" s="293"/>
      <c r="G50" s="293"/>
      <c r="H50" s="293"/>
      <c r="I50" s="293"/>
      <c r="J50" s="293"/>
      <c r="K50" s="3108"/>
      <c r="L50" s="1981"/>
      <c r="M50" s="1974"/>
      <c r="N50" s="1974"/>
      <c r="O50" s="1974"/>
      <c r="P50" s="4591" t="str">
        <f>A50</f>
        <v>估价对象XX用房的比较价值（楼面单价，元/平方米）</v>
      </c>
      <c r="Q50" s="4592"/>
      <c r="R50" s="4593">
        <f>ROUND(IF(D49="简单平均",AVERAGE(R49:W49),R49*F49+T49*H49+V49*J49),0)</f>
        <v>11081</v>
      </c>
      <c r="S50" s="4593"/>
      <c r="T50" s="4593"/>
      <c r="U50" s="4593"/>
      <c r="V50" s="4593"/>
      <c r="W50" s="4593"/>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0.277034816693567</v>
      </c>
      <c r="F53" s="299" t="str">
        <f>IF(OR(E53&gt;=0.3,E53&lt;=-0.3),"超过30%","")</f>
        <v/>
      </c>
      <c r="G53" s="298">
        <f>IF(G48&lt;G49,G49/G48-1,G48/G49-1)</f>
        <v>5.9156753257262995E-2</v>
      </c>
      <c r="H53" s="299" t="str">
        <f>IF(OR(G53&gt;=0.3,G53&lt;=-0.3),"超过30%","")</f>
        <v/>
      </c>
      <c r="I53" s="298">
        <f>IF(I48&lt;I49,I49/I48-1,I48/I49-1)</f>
        <v>9.5241994922610651E-2</v>
      </c>
      <c r="J53" s="299" t="str">
        <f>IF(OR(I53&gt;=0.3,I53&lt;=-0.3),"超过30%","")</f>
        <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0.4246022596264698</v>
      </c>
      <c r="F54" s="299" t="str">
        <f>IF(OR(E54&gt;=0.2,E54&lt;=-0.2),"超过20%","")</f>
        <v>超过20%</v>
      </c>
      <c r="G54" s="298">
        <f>IF(G49&lt;I49,I49/G49-1,G49/I49-1)</f>
        <v>1.195643272459268E-2</v>
      </c>
      <c r="H54" s="299" t="str">
        <f>IF(OR(G54&gt;=0.2,G54&lt;=-0.2),"超过20%","")</f>
        <v/>
      </c>
      <c r="I54" s="298">
        <f>IF(I49&lt;E49,E49/I49-1,I49/E49-1)</f>
        <v>0.40777034816693569</v>
      </c>
      <c r="J54" s="299" t="str">
        <f>IF(OR(I54&gt;=0.2,I54&lt;=-0.2),"超过20%","")</f>
        <v>超过20%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0.18154735036562242</v>
      </c>
      <c r="F55" s="299" t="str">
        <f>IF(OR(E55&gt;=0.3,E55&lt;=-0.3),"超过30%","")</f>
        <v/>
      </c>
      <c r="G55" s="298">
        <f>IF(G48&lt;I48,I48/G48-1,G48/I48-1)</f>
        <v>2.1852078239608774E-2</v>
      </c>
      <c r="H55" s="299" t="str">
        <f>IF(OR(G55&gt;=0.3,G55&lt;=-0.3),"超过30%","")</f>
        <v/>
      </c>
      <c r="I55" s="298">
        <f>IF(I48&lt;E48,E48/I48-1,I48/E48-1)</f>
        <v>0.20736661550961455</v>
      </c>
      <c r="J55" s="299" t="str">
        <f>IF(OR(I55&gt;=0.3,I55&lt;=-0.3),"超过30%","")</f>
        <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1787</v>
      </c>
      <c r="B57" s="442" t="s">
        <v>1788</v>
      </c>
      <c r="C57" s="1431" t="s">
        <v>1789</v>
      </c>
      <c r="D57" s="1432" t="s">
        <v>1790</v>
      </c>
      <c r="E57" s="443" t="s">
        <v>1791</v>
      </c>
      <c r="F57" s="577" t="s">
        <v>1792</v>
      </c>
      <c r="G57" s="4653" t="s">
        <v>1793</v>
      </c>
      <c r="H57" s="4693"/>
      <c r="I57" s="50" t="s">
        <v>1794</v>
      </c>
      <c r="J57" s="1433">
        <f>项目基本情况!F35</f>
        <v>0</v>
      </c>
      <c r="K57" s="1434" t="s">
        <v>1795</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1796</v>
      </c>
      <c r="B58" s="3749">
        <f>C50</f>
        <v>11081</v>
      </c>
      <c r="C58" s="2813">
        <v>1</v>
      </c>
      <c r="D58" s="3047">
        <v>1</v>
      </c>
      <c r="E58" s="3046">
        <f>'数据-汇总表'!E8+'数据-汇总表'!E9</f>
        <v>85551.93</v>
      </c>
      <c r="F58" s="3068">
        <f t="shared" ref="F58:F66" si="15">ROUND(B58*E58/10000,0)</f>
        <v>94800</v>
      </c>
      <c r="G58" s="4694"/>
      <c r="H58" s="4681"/>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1797</v>
      </c>
      <c r="B59" s="3749">
        <f>ROUND($C$50*C59*D59,0)</f>
        <v>1662</v>
      </c>
      <c r="C59" s="3045">
        <f t="shared" ref="C59:C66" si="16">IF($C$57="北京市系数",I59,J59)</f>
        <v>0.6</v>
      </c>
      <c r="D59" s="3048">
        <v>0.25</v>
      </c>
      <c r="E59" s="3050">
        <f>面积指标!G37</f>
        <v>15467.050000000001</v>
      </c>
      <c r="F59" s="3068">
        <f t="shared" si="15"/>
        <v>2571</v>
      </c>
      <c r="G59" s="2171" t="s">
        <v>1798</v>
      </c>
      <c r="H59" s="574" t="str">
        <f>项目基本情况!B37</f>
        <v>七级</v>
      </c>
      <c r="I59" s="3063">
        <f>SUMIF(修正!A59:A70,H59,修正!B59:B70)</f>
        <v>0.6</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1799</v>
      </c>
      <c r="B60" s="3749">
        <f t="shared" ref="B60:B66" si="17">ROUND($C$50*C60*D60,0)</f>
        <v>831</v>
      </c>
      <c r="C60" s="3045">
        <f t="shared" si="16"/>
        <v>0.3</v>
      </c>
      <c r="D60" s="3048">
        <v>0.25</v>
      </c>
      <c r="E60" s="3050">
        <f>面积指标!H37</f>
        <v>2669.4900000000071</v>
      </c>
      <c r="F60" s="3068">
        <f t="shared" si="15"/>
        <v>222</v>
      </c>
      <c r="G60" s="2172"/>
      <c r="H60" s="574" t="str">
        <f>项目基本情况!B37</f>
        <v>七级</v>
      </c>
      <c r="I60" s="3063">
        <f>SUMIF(修正!A59:A70,H60,修正!C59:C70)</f>
        <v>0.3</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1800</v>
      </c>
      <c r="B61" s="3749">
        <f t="shared" si="17"/>
        <v>693</v>
      </c>
      <c r="C61" s="3045">
        <f t="shared" si="16"/>
        <v>0.25</v>
      </c>
      <c r="D61" s="3048">
        <v>0.25</v>
      </c>
      <c r="E61" s="3050"/>
      <c r="F61" s="3068">
        <f t="shared" si="15"/>
        <v>0</v>
      </c>
      <c r="G61" s="2172"/>
      <c r="H61" s="574" t="str">
        <f>项目基本情况!B37</f>
        <v>七级</v>
      </c>
      <c r="I61" s="3063">
        <f>SUMIF(修正!A59:A70,H61,修正!D59:D70)</f>
        <v>0.25</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1801</v>
      </c>
      <c r="B62" s="3749">
        <f t="shared" si="17"/>
        <v>0</v>
      </c>
      <c r="C62" s="3045">
        <f t="shared" si="16"/>
        <v>0</v>
      </c>
      <c r="D62" s="3048">
        <v>0.25</v>
      </c>
      <c r="E62" s="3051">
        <f>'数据-汇总表'!E11</f>
        <v>0</v>
      </c>
      <c r="F62" s="3068">
        <f t="shared" si="15"/>
        <v>0</v>
      </c>
      <c r="G62" s="3060" t="s">
        <v>1802</v>
      </c>
      <c r="H62" s="574">
        <f>项目基本情况!C37</f>
        <v>0</v>
      </c>
      <c r="I62" s="3063">
        <f>SUMIF(修正!A59:A70,H62,修正!E59:E70)</f>
        <v>0</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1803</v>
      </c>
      <c r="B63" s="3749">
        <f t="shared" si="17"/>
        <v>693</v>
      </c>
      <c r="C63" s="3045">
        <f t="shared" si="16"/>
        <v>0.25</v>
      </c>
      <c r="D63" s="3048">
        <v>0.25</v>
      </c>
      <c r="E63" s="3051">
        <f>'数据-汇总表'!E12</f>
        <v>0</v>
      </c>
      <c r="F63" s="3068">
        <f t="shared" si="15"/>
        <v>0</v>
      </c>
      <c r="G63" s="3061" t="s">
        <v>660</v>
      </c>
      <c r="H63" s="574" t="str">
        <f>IF(G63="商业",项目基本情况!B37,IF(G63="办公",项目基本情况!C37,IF(G63="住宅",项目基本情况!D37,项目基本情况!E37)))</f>
        <v>七级</v>
      </c>
      <c r="I63" s="3063">
        <f>SUMIF(修正!A59:A70,H63,修正!F59:F70)</f>
        <v>0.25</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1805</v>
      </c>
      <c r="B64" s="3749">
        <f t="shared" si="17"/>
        <v>0</v>
      </c>
      <c r="C64" s="3045">
        <f t="shared" si="16"/>
        <v>0</v>
      </c>
      <c r="D64" s="3048">
        <v>0.25</v>
      </c>
      <c r="E64" s="3051">
        <f>'数据-汇总表'!E13</f>
        <v>0</v>
      </c>
      <c r="F64" s="3068">
        <f t="shared" si="15"/>
        <v>0</v>
      </c>
      <c r="G64" s="3061" t="s">
        <v>3264</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1807</v>
      </c>
      <c r="B65" s="3749">
        <f t="shared" si="17"/>
        <v>416</v>
      </c>
      <c r="C65" s="3045">
        <f t="shared" si="16"/>
        <v>0.15</v>
      </c>
      <c r="D65" s="3048">
        <v>0.25</v>
      </c>
      <c r="E65" s="3051">
        <f>'数据-汇总表'!E14</f>
        <v>16275.06</v>
      </c>
      <c r="F65" s="3068">
        <f t="shared" si="15"/>
        <v>677</v>
      </c>
      <c r="G65" s="3060" t="s">
        <v>1798</v>
      </c>
      <c r="H65" s="574" t="str">
        <f>项目基本情况!B37</f>
        <v>七级</v>
      </c>
      <c r="I65" s="3063">
        <f>SUMIF(修正!A59:A70,H65,修正!G59:G70)</f>
        <v>0.15</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1808</v>
      </c>
      <c r="B66" s="3749">
        <f t="shared" si="17"/>
        <v>0</v>
      </c>
      <c r="C66" s="3045">
        <f t="shared" si="16"/>
        <v>0</v>
      </c>
      <c r="D66" s="3048">
        <v>0.25</v>
      </c>
      <c r="E66" s="3051">
        <f>'数据-汇总表'!E15</f>
        <v>0</v>
      </c>
      <c r="F66" s="3068">
        <f t="shared" si="15"/>
        <v>0</v>
      </c>
      <c r="G66" s="3062" t="s">
        <v>1802</v>
      </c>
      <c r="H66" s="578">
        <f>项目基本情况!C37</f>
        <v>0</v>
      </c>
      <c r="I66" s="3066">
        <f>SUMIF(修正!A59:A70,H66,修正!G59:G70)</f>
        <v>0</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1809</v>
      </c>
      <c r="B67" s="449" t="s">
        <v>20</v>
      </c>
      <c r="C67" s="449" t="s">
        <v>21</v>
      </c>
      <c r="D67" s="3069" t="s">
        <v>386</v>
      </c>
      <c r="E67" s="3052">
        <f>IF(B48="楼面地价",SUM(E58:E66),'数据-汇总表'!D3)</f>
        <v>119963.53</v>
      </c>
      <c r="F67" s="3053">
        <f>IF(B48="楼面地价",SUM(F58:F66),ROUND(C50*E67/10000,0))</f>
        <v>98270</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1810</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5" t="s">
        <v>660</v>
      </c>
      <c r="B72" s="175" t="str">
        <f>"北京市平均增长率"&amp;TEXT(SUMIF(基准地价修正!N25:N29,A72,基准地价修正!P25:P29),"0.00%")</f>
        <v>北京市平均增长率0.00%</v>
      </c>
      <c r="C72" s="389">
        <v>100</v>
      </c>
      <c r="D72" s="5">
        <f>C72-$C$73</f>
        <v>100.2</v>
      </c>
      <c r="E72" s="5">
        <f>D72</f>
        <v>100.2</v>
      </c>
      <c r="F72" s="5">
        <f>E72</f>
        <v>100.2</v>
      </c>
      <c r="G72" s="5">
        <f t="shared" ref="G72:O72" si="20">F72-$C$73</f>
        <v>100.4</v>
      </c>
      <c r="H72" s="5">
        <f>G72</f>
        <v>100.4</v>
      </c>
      <c r="I72" s="5">
        <f>H72</f>
        <v>100.4</v>
      </c>
      <c r="J72" s="5">
        <f>I72</f>
        <v>100.4</v>
      </c>
      <c r="K72" s="3750">
        <f t="shared" si="20"/>
        <v>100.60000000000001</v>
      </c>
      <c r="L72" s="5">
        <f>K72</f>
        <v>100.60000000000001</v>
      </c>
      <c r="M72" s="761">
        <f>L72</f>
        <v>100.60000000000001</v>
      </c>
      <c r="N72" s="5">
        <f>M72</f>
        <v>100.60000000000001</v>
      </c>
      <c r="O72" s="3751">
        <f t="shared" si="20"/>
        <v>100.80000000000001</v>
      </c>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v>-0.2</v>
      </c>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t="s">
        <v>4616</v>
      </c>
      <c r="D76" s="324" t="s">
        <v>4617</v>
      </c>
      <c r="E76" s="324" t="s">
        <v>4618</v>
      </c>
      <c r="F76" s="324" t="s">
        <v>4619</v>
      </c>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v>100</v>
      </c>
      <c r="D77" s="329">
        <v>90</v>
      </c>
      <c r="E77" s="329">
        <v>85</v>
      </c>
      <c r="F77" s="329">
        <v>80</v>
      </c>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0（含）-1</v>
      </c>
      <c r="D80" s="340" t="str">
        <f t="shared" ref="D80:L80" si="21">D81&amp;"（含）"&amp;"-"&amp;E81</f>
        <v>1（含）-2</v>
      </c>
      <c r="E80" s="340" t="str">
        <f t="shared" si="21"/>
        <v>2（含）-3</v>
      </c>
      <c r="F80" s="340" t="str">
        <f t="shared" si="21"/>
        <v>3（含）-4</v>
      </c>
      <c r="G80" s="340" t="str">
        <f t="shared" si="21"/>
        <v>4（含）-5</v>
      </c>
      <c r="H80" s="340" t="str">
        <f t="shared" si="21"/>
        <v>5（含）-6</v>
      </c>
      <c r="I80" s="340" t="str">
        <f t="shared" si="21"/>
        <v>6（含）-7</v>
      </c>
      <c r="J80" s="340" t="str">
        <f t="shared" si="21"/>
        <v>7（含）-8</v>
      </c>
      <c r="K80" s="3122" t="str">
        <f t="shared" si="21"/>
        <v>8（含）-9</v>
      </c>
      <c r="L80" s="340" t="str">
        <f t="shared" si="21"/>
        <v>9（含）-10</v>
      </c>
      <c r="M80" s="267" t="str">
        <f>M81&amp;"（含）"&amp;"-"&amp;P81</f>
        <v>10（含）-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1</v>
      </c>
      <c r="E81" s="342">
        <v>2</v>
      </c>
      <c r="F81" s="342">
        <v>3</v>
      </c>
      <c r="G81" s="342">
        <v>4</v>
      </c>
      <c r="H81" s="342">
        <v>5</v>
      </c>
      <c r="I81" s="342">
        <v>6</v>
      </c>
      <c r="J81" s="342">
        <v>7</v>
      </c>
      <c r="K81" s="344">
        <v>8</v>
      </c>
      <c r="L81" s="344">
        <v>9</v>
      </c>
      <c r="M81" s="345">
        <v>10</v>
      </c>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2">IF($B$48="单位面积地价",C82+$K13,C82-$K13)</f>
        <v>98</v>
      </c>
      <c r="E82" s="337">
        <f t="shared" si="22"/>
        <v>96</v>
      </c>
      <c r="F82" s="337">
        <f t="shared" si="22"/>
        <v>94</v>
      </c>
      <c r="G82" s="337">
        <f t="shared" si="22"/>
        <v>92</v>
      </c>
      <c r="H82" s="337">
        <f t="shared" si="22"/>
        <v>90</v>
      </c>
      <c r="I82" s="337">
        <f t="shared" si="22"/>
        <v>88</v>
      </c>
      <c r="J82" s="337">
        <f t="shared" si="22"/>
        <v>86</v>
      </c>
      <c r="K82" s="3121">
        <f t="shared" si="22"/>
        <v>84</v>
      </c>
      <c r="L82" s="337">
        <f t="shared" si="22"/>
        <v>82</v>
      </c>
      <c r="M82" s="337">
        <f t="shared" si="22"/>
        <v>80</v>
      </c>
      <c r="N82" s="2009"/>
      <c r="O82" s="2009"/>
      <c r="P82" s="2007"/>
      <c r="Q82" s="1995"/>
      <c r="R82" s="1974"/>
      <c r="S82" s="1974"/>
      <c r="T82" s="1974"/>
      <c r="U82" s="1974"/>
      <c r="V82" s="1974"/>
      <c r="W82" s="1974"/>
      <c r="X82" s="1974"/>
      <c r="Y82" s="1974"/>
      <c r="Z82" s="1974"/>
      <c r="AA82" s="1974"/>
      <c r="AB82" s="1974"/>
      <c r="AC82" s="1974"/>
    </row>
    <row r="83" spans="1:29" s="279" customFormat="1" ht="28.5" thickTop="1">
      <c r="A83" s="346"/>
      <c r="B83" s="331" t="str">
        <f>B14</f>
        <v>自持限制</v>
      </c>
      <c r="C83" s="347" t="s">
        <v>4620</v>
      </c>
      <c r="D83" s="347" t="s">
        <v>4621</v>
      </c>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v>100</v>
      </c>
      <c r="D84" s="329">
        <v>95</v>
      </c>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1811</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96</v>
      </c>
      <c r="E92" s="337">
        <f>D92-$K19</f>
        <v>92</v>
      </c>
      <c r="F92" s="337">
        <f>E92-$K19</f>
        <v>88</v>
      </c>
      <c r="G92" s="337">
        <f>F92-$K19</f>
        <v>84</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96</v>
      </c>
      <c r="E96" s="337">
        <f>D96-$K23</f>
        <v>92</v>
      </c>
      <c r="F96" s="337">
        <f>E96-$K23</f>
        <v>88</v>
      </c>
      <c r="G96" s="337">
        <f>F96-$K23</f>
        <v>84</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1812</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1813</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97</v>
      </c>
      <c r="E100" s="337">
        <f>D100-$K27</f>
        <v>94</v>
      </c>
      <c r="F100" s="337">
        <f>E100-$K27</f>
        <v>91</v>
      </c>
      <c r="G100" s="337">
        <f>F100-$K27</f>
        <v>88</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97</v>
      </c>
      <c r="E102" s="337">
        <f>D102-$K29</f>
        <v>94</v>
      </c>
      <c r="F102" s="337">
        <f>E102-$K29</f>
        <v>91</v>
      </c>
      <c r="G102" s="337">
        <f>F102-$K29</f>
        <v>88</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97</v>
      </c>
      <c r="E104" s="337">
        <f>D104-$K31</f>
        <v>94</v>
      </c>
      <c r="F104" s="337">
        <f>E104-$K31</f>
        <v>91</v>
      </c>
      <c r="G104" s="337">
        <f>F104-$K31</f>
        <v>88</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3">C106-$K33</f>
        <v>100</v>
      </c>
      <c r="E106" s="337">
        <f t="shared" si="23"/>
        <v>100</v>
      </c>
      <c r="F106" s="337">
        <f t="shared" si="23"/>
        <v>100</v>
      </c>
      <c r="G106" s="337">
        <f t="shared" si="23"/>
        <v>100</v>
      </c>
      <c r="H106" s="337">
        <f t="shared" si="23"/>
        <v>100</v>
      </c>
      <c r="I106" s="337">
        <f t="shared" si="23"/>
        <v>100</v>
      </c>
      <c r="J106" s="337">
        <f t="shared" si="23"/>
        <v>100</v>
      </c>
      <c r="K106" s="3121">
        <f t="shared" si="23"/>
        <v>100</v>
      </c>
      <c r="L106" s="337">
        <f t="shared" si="23"/>
        <v>100</v>
      </c>
      <c r="M106" s="337">
        <f t="shared" si="23"/>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t="s">
        <v>4622</v>
      </c>
      <c r="D107" s="347" t="s">
        <v>4623</v>
      </c>
      <c r="E107" s="347" t="s">
        <v>4624</v>
      </c>
      <c r="F107" s="347" t="s">
        <v>4625</v>
      </c>
      <c r="G107" s="347" t="s">
        <v>4626</v>
      </c>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4">C108-$K34</f>
        <v>100</v>
      </c>
      <c r="E108" s="337">
        <f t="shared" si="24"/>
        <v>100</v>
      </c>
      <c r="F108" s="337">
        <f t="shared" si="24"/>
        <v>100</v>
      </c>
      <c r="G108" s="337">
        <f t="shared" si="24"/>
        <v>100</v>
      </c>
      <c r="H108" s="337">
        <f t="shared" si="24"/>
        <v>100</v>
      </c>
      <c r="I108" s="337">
        <f t="shared" si="24"/>
        <v>100</v>
      </c>
      <c r="J108" s="337">
        <f t="shared" si="24"/>
        <v>100</v>
      </c>
      <c r="K108" s="3121">
        <f t="shared" si="24"/>
        <v>100</v>
      </c>
      <c r="L108" s="337">
        <f t="shared" si="24"/>
        <v>100</v>
      </c>
      <c r="M108" s="337">
        <f t="shared" si="24"/>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1779</v>
      </c>
      <c r="C109" s="372" t="s">
        <v>22</v>
      </c>
      <c r="D109" s="372" t="s">
        <v>23</v>
      </c>
      <c r="E109" s="372" t="s">
        <v>317</v>
      </c>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5">C110-$K36</f>
        <v>100</v>
      </c>
      <c r="E110" s="337">
        <f t="shared" si="25"/>
        <v>100</v>
      </c>
      <c r="F110" s="337">
        <f t="shared" si="25"/>
        <v>100</v>
      </c>
      <c r="G110" s="337">
        <f t="shared" si="25"/>
        <v>100</v>
      </c>
      <c r="H110" s="337">
        <f t="shared" si="25"/>
        <v>100</v>
      </c>
      <c r="I110" s="337">
        <f t="shared" si="25"/>
        <v>100</v>
      </c>
      <c r="J110" s="337">
        <f t="shared" si="25"/>
        <v>100</v>
      </c>
      <c r="K110" s="3121">
        <f t="shared" si="25"/>
        <v>100</v>
      </c>
      <c r="L110" s="337">
        <f t="shared" si="25"/>
        <v>100</v>
      </c>
      <c r="M110" s="337">
        <f t="shared" si="25"/>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ht="28.5">
      <c r="A117" s="262" t="s">
        <v>1601</v>
      </c>
      <c r="B117" s="322" t="s">
        <v>1818</v>
      </c>
      <c r="C117" s="323" t="str">
        <f>C118&amp;"(含)"&amp;"-"&amp;D118</f>
        <v>0(含)-10000</v>
      </c>
      <c r="D117" s="323" t="str">
        <f t="shared" ref="D117:M117" si="26">D118&amp;"(含)"&amp;"-"&amp;E118</f>
        <v>10000(含)-20000</v>
      </c>
      <c r="E117" s="323" t="str">
        <f t="shared" si="26"/>
        <v>20000(含)-30000</v>
      </c>
      <c r="F117" s="323" t="str">
        <f t="shared" si="26"/>
        <v>30000(含)-40000</v>
      </c>
      <c r="G117" s="323" t="str">
        <f t="shared" si="26"/>
        <v>40000(含)-</v>
      </c>
      <c r="H117" s="323" t="str">
        <f t="shared" si="26"/>
        <v>(含)-</v>
      </c>
      <c r="I117" s="323" t="str">
        <f t="shared" si="26"/>
        <v>(含)-</v>
      </c>
      <c r="J117" s="323" t="str">
        <f t="shared" si="26"/>
        <v>(含)-</v>
      </c>
      <c r="K117" s="3129" t="str">
        <f t="shared" si="26"/>
        <v>(含)-</v>
      </c>
      <c r="L117" s="323" t="str">
        <f t="shared" si="26"/>
        <v>(含)-</v>
      </c>
      <c r="M117" s="323" t="str">
        <f t="shared" si="26"/>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v>0</v>
      </c>
      <c r="D118" s="5">
        <v>10000</v>
      </c>
      <c r="E118" s="5">
        <v>20000</v>
      </c>
      <c r="F118" s="5">
        <v>30000</v>
      </c>
      <c r="G118" s="5">
        <v>40000</v>
      </c>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v>100</v>
      </c>
      <c r="D119" s="380">
        <v>101</v>
      </c>
      <c r="E119" s="380">
        <v>102</v>
      </c>
      <c r="F119" s="380">
        <v>103</v>
      </c>
      <c r="G119" s="380">
        <v>104</v>
      </c>
      <c r="H119" s="380"/>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1819</v>
      </c>
      <c r="C120" s="372" t="s">
        <v>3610</v>
      </c>
      <c r="D120" s="372" t="s">
        <v>3611</v>
      </c>
      <c r="E120" s="372" t="s">
        <v>3612</v>
      </c>
      <c r="F120" s="372" t="s">
        <v>3613</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7">C121-$K41</f>
        <v>99</v>
      </c>
      <c r="E121" s="337">
        <f t="shared" si="27"/>
        <v>98</v>
      </c>
      <c r="F121" s="337">
        <f t="shared" si="27"/>
        <v>97</v>
      </c>
      <c r="G121" s="337">
        <f t="shared" si="27"/>
        <v>96</v>
      </c>
      <c r="H121" s="337">
        <f t="shared" si="27"/>
        <v>95</v>
      </c>
      <c r="I121" s="337">
        <f t="shared" si="27"/>
        <v>94</v>
      </c>
      <c r="J121" s="337">
        <f t="shared" si="27"/>
        <v>93</v>
      </c>
      <c r="K121" s="3121">
        <f t="shared" si="27"/>
        <v>92</v>
      </c>
      <c r="L121" s="337">
        <f t="shared" si="27"/>
        <v>91</v>
      </c>
      <c r="M121" s="338">
        <f t="shared" si="27"/>
        <v>90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1820</v>
      </c>
      <c r="C122" s="347" t="s">
        <v>4627</v>
      </c>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8">C123-$K42</f>
        <v>99</v>
      </c>
      <c r="E123" s="337">
        <f t="shared" si="28"/>
        <v>98</v>
      </c>
      <c r="F123" s="337">
        <f t="shared" si="28"/>
        <v>97</v>
      </c>
      <c r="G123" s="337">
        <f t="shared" si="28"/>
        <v>96</v>
      </c>
      <c r="H123" s="337">
        <f t="shared" si="28"/>
        <v>95</v>
      </c>
      <c r="I123" s="337">
        <f t="shared" si="28"/>
        <v>94</v>
      </c>
      <c r="J123" s="337">
        <f t="shared" si="28"/>
        <v>93</v>
      </c>
      <c r="K123" s="3121">
        <f t="shared" si="28"/>
        <v>92</v>
      </c>
      <c r="L123" s="337">
        <f t="shared" si="28"/>
        <v>91</v>
      </c>
      <c r="M123" s="338">
        <f t="shared" si="28"/>
        <v>90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1821</v>
      </c>
      <c r="C124" s="347" t="s">
        <v>3605</v>
      </c>
      <c r="D124" s="347" t="s">
        <v>3606</v>
      </c>
      <c r="E124" s="347" t="s">
        <v>3607</v>
      </c>
      <c r="F124" s="347" t="s">
        <v>3608</v>
      </c>
      <c r="G124" s="347" t="s">
        <v>3609</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9">C125-$K43</f>
        <v>99</v>
      </c>
      <c r="E125" s="337">
        <f t="shared" si="29"/>
        <v>98</v>
      </c>
      <c r="F125" s="337">
        <f t="shared" si="29"/>
        <v>97</v>
      </c>
      <c r="G125" s="337">
        <f t="shared" si="29"/>
        <v>96</v>
      </c>
      <c r="H125" s="337">
        <f t="shared" si="29"/>
        <v>95</v>
      </c>
      <c r="I125" s="337">
        <f t="shared" si="29"/>
        <v>94</v>
      </c>
      <c r="J125" s="337">
        <f t="shared" si="29"/>
        <v>93</v>
      </c>
      <c r="K125" s="3121">
        <f t="shared" si="29"/>
        <v>92</v>
      </c>
      <c r="L125" s="337">
        <f t="shared" si="29"/>
        <v>91</v>
      </c>
      <c r="M125" s="338">
        <f t="shared" si="29"/>
        <v>90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1822</v>
      </c>
      <c r="C126" s="347" t="s">
        <v>4628</v>
      </c>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30">C127-$K44</f>
        <v>99</v>
      </c>
      <c r="E127" s="337">
        <f t="shared" si="30"/>
        <v>98</v>
      </c>
      <c r="F127" s="337">
        <f t="shared" si="30"/>
        <v>97</v>
      </c>
      <c r="G127" s="337">
        <f t="shared" si="30"/>
        <v>96</v>
      </c>
      <c r="H127" s="337">
        <f t="shared" si="30"/>
        <v>95</v>
      </c>
      <c r="I127" s="337">
        <f t="shared" si="30"/>
        <v>94</v>
      </c>
      <c r="J127" s="337">
        <f t="shared" si="30"/>
        <v>93</v>
      </c>
      <c r="K127" s="3121">
        <f t="shared" si="30"/>
        <v>92</v>
      </c>
      <c r="L127" s="337">
        <f t="shared" si="30"/>
        <v>91</v>
      </c>
      <c r="M127" s="338">
        <f t="shared" si="30"/>
        <v>90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1823</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3622</v>
      </c>
      <c r="B4" s="3370" t="e">
        <f>IF(B43="单位面积地价",C45,ROUND(B2*10000/'数据-汇总表'!D3,0))</f>
        <v>#DIV/0!</v>
      </c>
      <c r="C4" s="1336" t="s">
        <v>3624</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3623</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10" t="s">
        <v>1677</v>
      </c>
      <c r="D6" s="4611"/>
      <c r="E6" s="4612" t="s">
        <v>1678</v>
      </c>
      <c r="F6" s="4613"/>
      <c r="G6" s="4610" t="s">
        <v>1679</v>
      </c>
      <c r="H6" s="4611"/>
      <c r="I6" s="4610" t="s">
        <v>1680</v>
      </c>
      <c r="J6" s="4611"/>
      <c r="K6" s="393" t="s">
        <v>1681</v>
      </c>
      <c r="L6" s="1973"/>
      <c r="M6" s="1974"/>
      <c r="N6" s="1974"/>
      <c r="O6" s="1974"/>
      <c r="P6" s="4614" t="s">
        <v>1682</v>
      </c>
      <c r="Q6" s="4615"/>
      <c r="R6" s="4620" t="s">
        <v>1678</v>
      </c>
      <c r="S6" s="4621"/>
      <c r="T6" s="4620" t="s">
        <v>1679</v>
      </c>
      <c r="U6" s="4621"/>
      <c r="V6" s="4626" t="s">
        <v>1680</v>
      </c>
      <c r="W6" s="4626"/>
      <c r="X6" s="909"/>
      <c r="Y6" s="4635" t="s">
        <v>1682</v>
      </c>
      <c r="Z6" s="4636"/>
      <c r="AA6" s="4607" t="s">
        <v>1678</v>
      </c>
      <c r="AB6" s="4608" t="s">
        <v>1679</v>
      </c>
      <c r="AC6" s="4607" t="s">
        <v>1680</v>
      </c>
    </row>
    <row r="7" spans="1:29" ht="15">
      <c r="A7" s="3079"/>
      <c r="B7" s="3144"/>
      <c r="C7" s="4629" t="s">
        <v>1580</v>
      </c>
      <c r="D7" s="4630"/>
      <c r="E7" s="4644" t="s">
        <v>1581</v>
      </c>
      <c r="F7" s="4645"/>
      <c r="G7" s="4629" t="s">
        <v>1582</v>
      </c>
      <c r="H7" s="4630"/>
      <c r="I7" s="4629" t="s">
        <v>1583</v>
      </c>
      <c r="J7" s="4630"/>
      <c r="K7" s="393"/>
      <c r="L7" s="1973"/>
      <c r="M7" s="1974"/>
      <c r="N7" s="1974"/>
      <c r="O7" s="1974"/>
      <c r="P7" s="4616"/>
      <c r="Q7" s="4617"/>
      <c r="R7" s="4622"/>
      <c r="S7" s="4623"/>
      <c r="T7" s="4622"/>
      <c r="U7" s="4623"/>
      <c r="V7" s="4626"/>
      <c r="W7" s="4626"/>
      <c r="X7" s="909"/>
      <c r="Y7" s="4637"/>
      <c r="Z7" s="4638"/>
      <c r="AA7" s="4608"/>
      <c r="AB7" s="4608"/>
      <c r="AC7" s="4608"/>
    </row>
    <row r="8" spans="1:29" ht="15.75" thickBot="1">
      <c r="A8" s="3145"/>
      <c r="B8" s="3146"/>
      <c r="C8" s="4695" t="s">
        <v>1824</v>
      </c>
      <c r="D8" s="4696"/>
      <c r="E8" s="4697" t="s">
        <v>1824</v>
      </c>
      <c r="F8" s="4698"/>
      <c r="G8" s="4695" t="s">
        <v>1824</v>
      </c>
      <c r="H8" s="4696"/>
      <c r="I8" s="4695" t="s">
        <v>1824</v>
      </c>
      <c r="J8" s="4696"/>
      <c r="K8" s="393" t="s">
        <v>1585</v>
      </c>
      <c r="L8" s="1973"/>
      <c r="M8" s="1974"/>
      <c r="N8" s="1974"/>
      <c r="O8" s="1974"/>
      <c r="P8" s="4618"/>
      <c r="Q8" s="4619"/>
      <c r="R8" s="4622"/>
      <c r="S8" s="4623"/>
      <c r="T8" s="4624"/>
      <c r="U8" s="4625"/>
      <c r="V8" s="4626"/>
      <c r="W8" s="4626"/>
      <c r="X8" s="909"/>
      <c r="Y8" s="4639"/>
      <c r="Z8" s="4640"/>
      <c r="AA8" s="4609"/>
      <c r="AB8" s="4609"/>
      <c r="AC8" s="4609"/>
    </row>
    <row r="9" spans="1:29" s="46" customFormat="1" ht="15.75" thickBot="1">
      <c r="A9" s="3071" t="s">
        <v>1586</v>
      </c>
      <c r="B9" s="3072"/>
      <c r="C9" s="2793">
        <f>'数据-取费表'!B2</f>
        <v>46126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31" t="s">
        <v>1587</v>
      </c>
      <c r="Q9" s="4641"/>
      <c r="R9" s="3735" t="s">
        <v>13</v>
      </c>
      <c r="S9" s="3518">
        <f t="shared" ref="S9:S17" si="0">F9</f>
        <v>0</v>
      </c>
      <c r="T9" s="3735" t="s">
        <v>13</v>
      </c>
      <c r="U9" s="3518">
        <f t="shared" ref="U9:U17" si="1">H9</f>
        <v>0</v>
      </c>
      <c r="V9" s="3735" t="s">
        <v>13</v>
      </c>
      <c r="W9" s="3518">
        <f t="shared" ref="W9:W17" si="2">J9</f>
        <v>0</v>
      </c>
      <c r="X9" s="482"/>
      <c r="Y9" s="4633" t="s">
        <v>1587</v>
      </c>
      <c r="Z9" s="4634"/>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31" t="s">
        <v>1590</v>
      </c>
      <c r="Q10" s="4632"/>
      <c r="R10" s="3735" t="s">
        <v>13</v>
      </c>
      <c r="S10" s="3518">
        <f t="shared" si="0"/>
        <v>0</v>
      </c>
      <c r="T10" s="3735" t="s">
        <v>13</v>
      </c>
      <c r="U10" s="3518">
        <f t="shared" si="1"/>
        <v>0</v>
      </c>
      <c r="V10" s="3735" t="s">
        <v>13</v>
      </c>
      <c r="W10" s="3518">
        <f t="shared" si="2"/>
        <v>0</v>
      </c>
      <c r="X10" s="482"/>
      <c r="Y10" s="4633" t="s">
        <v>1590</v>
      </c>
      <c r="Z10" s="4634"/>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594" t="s">
        <v>1593</v>
      </c>
      <c r="Q11" s="1698" t="str">
        <f t="shared" ref="Q11:Q17" si="6">B11</f>
        <v>用途</v>
      </c>
      <c r="R11" s="3735" t="s">
        <v>13</v>
      </c>
      <c r="S11" s="3518">
        <f t="shared" si="0"/>
        <v>100</v>
      </c>
      <c r="T11" s="3735" t="s">
        <v>13</v>
      </c>
      <c r="U11" s="3518">
        <f t="shared" si="1"/>
        <v>100</v>
      </c>
      <c r="V11" s="3735" t="s">
        <v>13</v>
      </c>
      <c r="W11" s="3518">
        <f t="shared" si="2"/>
        <v>100</v>
      </c>
      <c r="X11" s="482"/>
      <c r="Y11" s="4606"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120.2</v>
      </c>
      <c r="G12" s="2798"/>
      <c r="H12" s="3707">
        <f>ROUND(100/'数据-取费表'!G16,1)</f>
        <v>120.2</v>
      </c>
      <c r="I12" s="2798"/>
      <c r="J12" s="3707">
        <f>ROUND(100/'数据-取费表'!G16,1)</f>
        <v>120.2</v>
      </c>
      <c r="K12" s="434"/>
      <c r="L12" s="1976"/>
      <c r="M12" s="1977"/>
      <c r="N12" s="1977"/>
      <c r="O12" s="2028"/>
      <c r="P12" s="4594"/>
      <c r="Q12" s="1698" t="str">
        <f t="shared" si="6"/>
        <v>土地使用年限（年）</v>
      </c>
      <c r="R12" s="3735" t="s">
        <v>13</v>
      </c>
      <c r="S12" s="3518">
        <f t="shared" si="0"/>
        <v>120.2</v>
      </c>
      <c r="T12" s="3735" t="s">
        <v>13</v>
      </c>
      <c r="U12" s="3518">
        <f t="shared" si="1"/>
        <v>120.2</v>
      </c>
      <c r="V12" s="3735" t="s">
        <v>13</v>
      </c>
      <c r="W12" s="3518">
        <f t="shared" si="2"/>
        <v>120.2</v>
      </c>
      <c r="X12" s="482"/>
      <c r="Y12" s="4606"/>
      <c r="Z12" s="28" t="str">
        <f t="shared" si="7"/>
        <v>土地使用年限（年）</v>
      </c>
      <c r="AA12" s="28">
        <f t="shared" si="3"/>
        <v>0.83194675540765384</v>
      </c>
      <c r="AB12" s="28">
        <f t="shared" si="4"/>
        <v>0.83194675540765384</v>
      </c>
      <c r="AC12" s="28">
        <f t="shared" si="5"/>
        <v>0.83194675540765384</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594"/>
      <c r="Q13" s="1698" t="str">
        <f t="shared" si="6"/>
        <v>容积率</v>
      </c>
      <c r="R13" s="3735" t="s">
        <v>13</v>
      </c>
      <c r="S13" s="3518" t="e">
        <f t="shared" si="0"/>
        <v>#N/A</v>
      </c>
      <c r="T13" s="3735" t="s">
        <v>13</v>
      </c>
      <c r="U13" s="3518" t="e">
        <f t="shared" si="1"/>
        <v>#N/A</v>
      </c>
      <c r="V13" s="3735" t="s">
        <v>13</v>
      </c>
      <c r="W13" s="3518" t="e">
        <f t="shared" si="2"/>
        <v>#N/A</v>
      </c>
      <c r="X13" s="482"/>
      <c r="Y13" s="4606"/>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594"/>
      <c r="Q14" s="1698">
        <f t="shared" si="6"/>
        <v>111</v>
      </c>
      <c r="R14" s="3735" t="s">
        <v>13</v>
      </c>
      <c r="S14" s="3518">
        <f t="shared" si="0"/>
        <v>100</v>
      </c>
      <c r="T14" s="3735" t="s">
        <v>13</v>
      </c>
      <c r="U14" s="3518">
        <f t="shared" si="1"/>
        <v>100</v>
      </c>
      <c r="V14" s="3735" t="s">
        <v>13</v>
      </c>
      <c r="W14" s="3518">
        <f t="shared" si="2"/>
        <v>100</v>
      </c>
      <c r="X14" s="482"/>
      <c r="Y14" s="4606"/>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594"/>
      <c r="Q15" s="1698">
        <f t="shared" si="6"/>
        <v>111</v>
      </c>
      <c r="R15" s="3735" t="s">
        <v>13</v>
      </c>
      <c r="S15" s="3518">
        <f t="shared" si="0"/>
        <v>100</v>
      </c>
      <c r="T15" s="3735" t="s">
        <v>13</v>
      </c>
      <c r="U15" s="3518">
        <f t="shared" si="1"/>
        <v>100</v>
      </c>
      <c r="V15" s="3735" t="s">
        <v>13</v>
      </c>
      <c r="W15" s="3518">
        <f t="shared" si="2"/>
        <v>100</v>
      </c>
      <c r="X15" s="482"/>
      <c r="Y15" s="4606"/>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594"/>
      <c r="Q16" s="1698">
        <f t="shared" si="6"/>
        <v>111</v>
      </c>
      <c r="R16" s="3735" t="s">
        <v>13</v>
      </c>
      <c r="S16" s="3518">
        <f t="shared" si="0"/>
        <v>100</v>
      </c>
      <c r="T16" s="3735" t="s">
        <v>13</v>
      </c>
      <c r="U16" s="3518">
        <f t="shared" si="1"/>
        <v>100</v>
      </c>
      <c r="V16" s="3735" t="s">
        <v>13</v>
      </c>
      <c r="W16" s="3518">
        <f t="shared" si="2"/>
        <v>100</v>
      </c>
      <c r="X16" s="482"/>
      <c r="Y16" s="4606"/>
      <c r="Z16" s="28">
        <f t="shared" si="7"/>
        <v>111</v>
      </c>
      <c r="AA16" s="28">
        <f t="shared" si="3"/>
        <v>1</v>
      </c>
      <c r="AB16" s="28">
        <f t="shared" si="4"/>
        <v>1</v>
      </c>
      <c r="AC16" s="28">
        <f t="shared" si="5"/>
        <v>1</v>
      </c>
    </row>
    <row r="17" spans="1:29" ht="57">
      <c r="A17" s="3078" t="s">
        <v>1597</v>
      </c>
      <c r="B17" s="3147" t="s">
        <v>1825</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76" t="s">
        <v>1598</v>
      </c>
      <c r="Q17" s="1507" t="str">
        <f t="shared" si="6"/>
        <v>产业集聚程度</v>
      </c>
      <c r="R17" s="3736" t="s">
        <v>13</v>
      </c>
      <c r="S17" s="3738">
        <f t="shared" si="0"/>
        <v>100</v>
      </c>
      <c r="T17" s="3736" t="s">
        <v>13</v>
      </c>
      <c r="U17" s="3738">
        <f t="shared" si="1"/>
        <v>100</v>
      </c>
      <c r="V17" s="3736" t="s">
        <v>13</v>
      </c>
      <c r="W17" s="3738">
        <f t="shared" si="2"/>
        <v>100</v>
      </c>
      <c r="X17" s="909"/>
      <c r="Y17" s="4596"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77"/>
      <c r="Q18" s="1507"/>
      <c r="R18" s="3736"/>
      <c r="S18" s="3738"/>
      <c r="T18" s="3736"/>
      <c r="U18" s="3738"/>
      <c r="V18" s="3736"/>
      <c r="W18" s="3738"/>
      <c r="X18" s="909"/>
      <c r="Y18" s="4597"/>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77"/>
      <c r="Q19" s="1507" t="str">
        <f>B19</f>
        <v>交通便捷度</v>
      </c>
      <c r="R19" s="3736" t="s">
        <v>13</v>
      </c>
      <c r="S19" s="3738">
        <f>F19</f>
        <v>100</v>
      </c>
      <c r="T19" s="3736" t="s">
        <v>13</v>
      </c>
      <c r="U19" s="3738">
        <f>H19</f>
        <v>100</v>
      </c>
      <c r="V19" s="3736" t="s">
        <v>13</v>
      </c>
      <c r="W19" s="3738">
        <f>J19</f>
        <v>100</v>
      </c>
      <c r="X19" s="909"/>
      <c r="Y19" s="4597"/>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77"/>
      <c r="Q20" s="1507"/>
      <c r="R20" s="3736"/>
      <c r="S20" s="3738"/>
      <c r="T20" s="3736"/>
      <c r="U20" s="3738"/>
      <c r="V20" s="3736"/>
      <c r="W20" s="3738"/>
      <c r="X20" s="909"/>
      <c r="Y20" s="4597"/>
      <c r="Z20" s="907"/>
      <c r="AA20" s="907">
        <v>1</v>
      </c>
      <c r="AB20" s="907">
        <v>1</v>
      </c>
      <c r="AC20" s="907">
        <v>1</v>
      </c>
    </row>
    <row r="21" spans="1:29" ht="15">
      <c r="A21" s="3075"/>
      <c r="B21" s="3149" t="s">
        <v>1777</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77"/>
      <c r="Q21" s="1507" t="str">
        <f t="shared" ref="Q21:Q35" si="8">B21</f>
        <v>区域土地利用方向</v>
      </c>
      <c r="R21" s="3736" t="s">
        <v>13</v>
      </c>
      <c r="S21" s="3738">
        <f>F21</f>
        <v>100</v>
      </c>
      <c r="T21" s="3736" t="s">
        <v>13</v>
      </c>
      <c r="U21" s="3738">
        <f>H21</f>
        <v>100</v>
      </c>
      <c r="V21" s="3736" t="s">
        <v>13</v>
      </c>
      <c r="W21" s="3738">
        <f>J21</f>
        <v>100</v>
      </c>
      <c r="X21" s="909"/>
      <c r="Y21" s="4597"/>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77"/>
      <c r="Q22" s="1507"/>
      <c r="R22" s="3736"/>
      <c r="S22" s="3738"/>
      <c r="T22" s="3736"/>
      <c r="U22" s="3738"/>
      <c r="V22" s="3736"/>
      <c r="W22" s="3738"/>
      <c r="X22" s="909"/>
      <c r="Y22" s="4597"/>
      <c r="Z22" s="907"/>
      <c r="AA22" s="907"/>
      <c r="AB22" s="907"/>
      <c r="AC22" s="907"/>
    </row>
    <row r="23" spans="1:29" ht="71.25">
      <c r="A23" s="3079"/>
      <c r="B23" s="3149" t="s">
        <v>1826</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77"/>
      <c r="Q23" s="1507" t="str">
        <f t="shared" si="8"/>
        <v>环境状况</v>
      </c>
      <c r="R23" s="3736" t="s">
        <v>13</v>
      </c>
      <c r="S23" s="3738">
        <f>F23</f>
        <v>100</v>
      </c>
      <c r="T23" s="3736" t="s">
        <v>13</v>
      </c>
      <c r="U23" s="3738">
        <f>H23</f>
        <v>100</v>
      </c>
      <c r="V23" s="3736" t="s">
        <v>13</v>
      </c>
      <c r="W23" s="3738">
        <f>J23</f>
        <v>100</v>
      </c>
      <c r="X23" s="909"/>
      <c r="Y23" s="4597"/>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77"/>
      <c r="Q24" s="1507"/>
      <c r="R24" s="3736"/>
      <c r="S24" s="3738"/>
      <c r="T24" s="3736"/>
      <c r="U24" s="3738"/>
      <c r="V24" s="3736"/>
      <c r="W24" s="3738"/>
      <c r="X24" s="909"/>
      <c r="Y24" s="4597"/>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77"/>
      <c r="Q25" s="1698" t="str">
        <f t="shared" si="8"/>
        <v>公共配套设施</v>
      </c>
      <c r="R25" s="3735" t="s">
        <v>13</v>
      </c>
      <c r="S25" s="3518">
        <f>F25</f>
        <v>100</v>
      </c>
      <c r="T25" s="3735" t="s">
        <v>13</v>
      </c>
      <c r="U25" s="3518">
        <f>H25</f>
        <v>100</v>
      </c>
      <c r="V25" s="3735" t="s">
        <v>13</v>
      </c>
      <c r="W25" s="3518">
        <f>J25</f>
        <v>100</v>
      </c>
      <c r="X25" s="482"/>
      <c r="Y25" s="4597"/>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77"/>
      <c r="Q26" s="1698"/>
      <c r="R26" s="3735"/>
      <c r="S26" s="3518"/>
      <c r="T26" s="3735"/>
      <c r="U26" s="3518"/>
      <c r="V26" s="3735"/>
      <c r="W26" s="3518"/>
      <c r="X26" s="482"/>
      <c r="Y26" s="4597"/>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77"/>
      <c r="Q27" s="1698" t="str">
        <f t="shared" ref="Q27" si="9">B27</f>
        <v>基础设施水平</v>
      </c>
      <c r="R27" s="3735" t="s">
        <v>13</v>
      </c>
      <c r="S27" s="3518">
        <f>F27</f>
        <v>100</v>
      </c>
      <c r="T27" s="3735" t="s">
        <v>13</v>
      </c>
      <c r="U27" s="3518">
        <f>H27</f>
        <v>100</v>
      </c>
      <c r="V27" s="3735" t="s">
        <v>13</v>
      </c>
      <c r="W27" s="3518">
        <f>J27</f>
        <v>100</v>
      </c>
      <c r="X27" s="482"/>
      <c r="Y27" s="4597"/>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77"/>
      <c r="Q28" s="1698"/>
      <c r="R28" s="3735"/>
      <c r="S28" s="3518"/>
      <c r="T28" s="3735"/>
      <c r="U28" s="3518"/>
      <c r="V28" s="3735"/>
      <c r="W28" s="3518"/>
      <c r="X28" s="482"/>
      <c r="Y28" s="4597"/>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77"/>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97"/>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77"/>
      <c r="Q30" s="1507" t="str">
        <f t="shared" si="8"/>
        <v>毗邻道路的类型与等级</v>
      </c>
      <c r="R30" s="3736" t="s">
        <v>13</v>
      </c>
      <c r="S30" s="3738">
        <f t="shared" si="10"/>
        <v>100</v>
      </c>
      <c r="T30" s="3736" t="s">
        <v>13</v>
      </c>
      <c r="U30" s="3738">
        <f t="shared" si="11"/>
        <v>100</v>
      </c>
      <c r="V30" s="3736" t="s">
        <v>13</v>
      </c>
      <c r="W30" s="3738">
        <f t="shared" si="12"/>
        <v>100</v>
      </c>
      <c r="X30" s="909"/>
      <c r="Y30" s="4597"/>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77"/>
      <c r="Q31" s="1507"/>
      <c r="R31" s="3736"/>
      <c r="S31" s="3738"/>
      <c r="T31" s="3736"/>
      <c r="U31" s="3738"/>
      <c r="V31" s="3736"/>
      <c r="W31" s="3738"/>
      <c r="X31" s="909"/>
      <c r="Y31" s="4597"/>
      <c r="Z31" s="907"/>
      <c r="AA31" s="907">
        <v>1</v>
      </c>
      <c r="AB31" s="907">
        <v>1</v>
      </c>
      <c r="AC31" s="907">
        <v>1</v>
      </c>
    </row>
    <row r="32" spans="1:29" ht="15">
      <c r="A32" s="3075"/>
      <c r="B32" s="3152" t="s">
        <v>1779</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77"/>
      <c r="Q32" s="1507" t="str">
        <f t="shared" si="8"/>
        <v>土地级别</v>
      </c>
      <c r="R32" s="3736" t="s">
        <v>13</v>
      </c>
      <c r="S32" s="3738">
        <f t="shared" si="10"/>
        <v>100</v>
      </c>
      <c r="T32" s="3736" t="s">
        <v>13</v>
      </c>
      <c r="U32" s="3738">
        <f t="shared" si="11"/>
        <v>100</v>
      </c>
      <c r="V32" s="3736" t="s">
        <v>13</v>
      </c>
      <c r="W32" s="3738">
        <f t="shared" si="12"/>
        <v>100</v>
      </c>
      <c r="X32" s="909"/>
      <c r="Y32" s="4597"/>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77"/>
      <c r="Q33" s="1507">
        <f t="shared" si="8"/>
        <v>111</v>
      </c>
      <c r="R33" s="3736" t="s">
        <v>13</v>
      </c>
      <c r="S33" s="3738">
        <f t="shared" si="10"/>
        <v>100</v>
      </c>
      <c r="T33" s="3736" t="s">
        <v>13</v>
      </c>
      <c r="U33" s="3738">
        <f t="shared" si="11"/>
        <v>100</v>
      </c>
      <c r="V33" s="3736" t="s">
        <v>13</v>
      </c>
      <c r="W33" s="3738">
        <f t="shared" si="12"/>
        <v>100</v>
      </c>
      <c r="X33" s="909"/>
      <c r="Y33" s="4597"/>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78" t="s">
        <v>1603</v>
      </c>
      <c r="Q34" s="1507">
        <f t="shared" si="8"/>
        <v>111</v>
      </c>
      <c r="R34" s="3736" t="s">
        <v>13</v>
      </c>
      <c r="S34" s="3738">
        <f t="shared" si="10"/>
        <v>100</v>
      </c>
      <c r="T34" s="3736" t="s">
        <v>13</v>
      </c>
      <c r="U34" s="3738">
        <f t="shared" si="11"/>
        <v>100</v>
      </c>
      <c r="V34" s="3736" t="s">
        <v>13</v>
      </c>
      <c r="W34" s="3738">
        <f t="shared" si="12"/>
        <v>100</v>
      </c>
      <c r="X34" s="909"/>
      <c r="Y34" s="4601"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79"/>
      <c r="Q35" s="1507">
        <f t="shared" si="8"/>
        <v>111</v>
      </c>
      <c r="R35" s="3737" t="s">
        <v>13</v>
      </c>
      <c r="S35" s="3739">
        <f t="shared" si="10"/>
        <v>100</v>
      </c>
      <c r="T35" s="3737" t="s">
        <v>13</v>
      </c>
      <c r="U35" s="3739">
        <f t="shared" si="11"/>
        <v>100</v>
      </c>
      <c r="V35" s="3737" t="s">
        <v>13</v>
      </c>
      <c r="W35" s="3739">
        <f t="shared" si="12"/>
        <v>100</v>
      </c>
      <c r="X35" s="484"/>
      <c r="Y35" s="4601"/>
      <c r="Z35" s="485">
        <f t="shared" si="13"/>
        <v>111</v>
      </c>
      <c r="AA35" s="907">
        <f t="shared" si="3"/>
        <v>1</v>
      </c>
      <c r="AB35" s="907">
        <f t="shared" si="4"/>
        <v>1</v>
      </c>
      <c r="AC35" s="907">
        <f t="shared" si="5"/>
        <v>1</v>
      </c>
    </row>
    <row r="36" spans="1:31" ht="15">
      <c r="A36" s="3078" t="s">
        <v>1601</v>
      </c>
      <c r="B36" s="2780" t="s">
        <v>1780</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79"/>
      <c r="Q36" s="1507" t="str">
        <f>B36</f>
        <v>宗地面积</v>
      </c>
      <c r="R36" s="3736" t="s">
        <v>13</v>
      </c>
      <c r="S36" s="3738" t="e">
        <f t="shared" si="10"/>
        <v>#N/A</v>
      </c>
      <c r="T36" s="3736" t="s">
        <v>13</v>
      </c>
      <c r="U36" s="3738" t="e">
        <f t="shared" si="11"/>
        <v>#N/A</v>
      </c>
      <c r="V36" s="3736" t="s">
        <v>13</v>
      </c>
      <c r="W36" s="3738" t="e">
        <f t="shared" si="12"/>
        <v>#N/A</v>
      </c>
      <c r="X36" s="909"/>
      <c r="Y36" s="4601"/>
      <c r="Z36" s="907" t="str">
        <f t="shared" si="13"/>
        <v>宗地面积</v>
      </c>
      <c r="AA36" s="907" t="e">
        <f t="shared" si="3"/>
        <v>#N/A</v>
      </c>
      <c r="AB36" s="907" t="e">
        <f t="shared" si="4"/>
        <v>#N/A</v>
      </c>
      <c r="AC36" s="907" t="e">
        <f t="shared" si="5"/>
        <v>#N/A</v>
      </c>
    </row>
    <row r="37" spans="1:31" ht="15">
      <c r="A37" s="3089"/>
      <c r="B37" s="2771" t="s">
        <v>1781</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79"/>
      <c r="Q37" s="1507" t="str">
        <f t="shared" ref="Q37:Q42" si="14">B37</f>
        <v>宗地形状</v>
      </c>
      <c r="R37" s="3736" t="s">
        <v>13</v>
      </c>
      <c r="S37" s="3738">
        <f t="shared" si="10"/>
        <v>100</v>
      </c>
      <c r="T37" s="3736" t="s">
        <v>13</v>
      </c>
      <c r="U37" s="3738">
        <f t="shared" si="11"/>
        <v>100</v>
      </c>
      <c r="V37" s="3736" t="s">
        <v>13</v>
      </c>
      <c r="W37" s="3738">
        <f t="shared" si="12"/>
        <v>100</v>
      </c>
      <c r="X37" s="909"/>
      <c r="Y37" s="4601"/>
      <c r="Z37" s="907" t="str">
        <f t="shared" si="13"/>
        <v>宗地形状</v>
      </c>
      <c r="AA37" s="907">
        <f t="shared" si="3"/>
        <v>1</v>
      </c>
      <c r="AB37" s="907">
        <f t="shared" si="4"/>
        <v>1</v>
      </c>
      <c r="AC37" s="907">
        <f t="shared" si="5"/>
        <v>1</v>
      </c>
    </row>
    <row r="38" spans="1:31" s="46" customFormat="1" ht="15">
      <c r="A38" s="3091"/>
      <c r="B38" s="2771" t="s">
        <v>1783</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79"/>
      <c r="Q38" s="1507" t="str">
        <f t="shared" si="14"/>
        <v>宗地开发程度</v>
      </c>
      <c r="R38" s="3735" t="s">
        <v>13</v>
      </c>
      <c r="S38" s="3518">
        <f t="shared" si="10"/>
        <v>100</v>
      </c>
      <c r="T38" s="3735" t="s">
        <v>13</v>
      </c>
      <c r="U38" s="3518">
        <f t="shared" si="11"/>
        <v>100</v>
      </c>
      <c r="V38" s="3735" t="s">
        <v>13</v>
      </c>
      <c r="W38" s="3518">
        <f t="shared" si="12"/>
        <v>100</v>
      </c>
      <c r="X38" s="482"/>
      <c r="Y38" s="4601"/>
      <c r="Z38" s="28" t="str">
        <f t="shared" si="13"/>
        <v>宗地开发程度</v>
      </c>
      <c r="AA38" s="28">
        <f t="shared" si="3"/>
        <v>1</v>
      </c>
      <c r="AB38" s="28">
        <f t="shared" si="4"/>
        <v>1</v>
      </c>
      <c r="AC38" s="28">
        <f t="shared" si="5"/>
        <v>1</v>
      </c>
    </row>
    <row r="39" spans="1:31" ht="15">
      <c r="A39" s="3089"/>
      <c r="B39" s="2771" t="s">
        <v>1784</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79" t="s">
        <v>1603</v>
      </c>
      <c r="Q39" s="1507" t="str">
        <f t="shared" si="14"/>
        <v>工程地质条件</v>
      </c>
      <c r="R39" s="3736" t="s">
        <v>13</v>
      </c>
      <c r="S39" s="3738">
        <f t="shared" si="10"/>
        <v>100</v>
      </c>
      <c r="T39" s="3736" t="s">
        <v>13</v>
      </c>
      <c r="U39" s="3738">
        <f t="shared" si="11"/>
        <v>100</v>
      </c>
      <c r="V39" s="3736" t="s">
        <v>13</v>
      </c>
      <c r="W39" s="3738">
        <f t="shared" si="12"/>
        <v>100</v>
      </c>
      <c r="X39" s="909"/>
      <c r="Y39" s="4601"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79"/>
      <c r="Q40" s="1507">
        <f t="shared" si="14"/>
        <v>111</v>
      </c>
      <c r="R40" s="3736" t="s">
        <v>13</v>
      </c>
      <c r="S40" s="3738">
        <f t="shared" si="10"/>
        <v>100</v>
      </c>
      <c r="T40" s="3736" t="s">
        <v>13</v>
      </c>
      <c r="U40" s="3738">
        <f t="shared" si="11"/>
        <v>100</v>
      </c>
      <c r="V40" s="3736" t="s">
        <v>13</v>
      </c>
      <c r="W40" s="3738">
        <f t="shared" si="12"/>
        <v>100</v>
      </c>
      <c r="X40" s="909"/>
      <c r="Y40" s="4601"/>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79"/>
      <c r="Q41" s="1507">
        <f t="shared" si="14"/>
        <v>111</v>
      </c>
      <c r="R41" s="3736" t="s">
        <v>13</v>
      </c>
      <c r="S41" s="3738">
        <f t="shared" si="10"/>
        <v>100</v>
      </c>
      <c r="T41" s="3736" t="s">
        <v>13</v>
      </c>
      <c r="U41" s="3738">
        <f t="shared" si="11"/>
        <v>100</v>
      </c>
      <c r="V41" s="3736" t="s">
        <v>13</v>
      </c>
      <c r="W41" s="3738">
        <f t="shared" si="12"/>
        <v>100</v>
      </c>
      <c r="X41" s="909"/>
      <c r="Y41" s="4601"/>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79"/>
      <c r="Q42" s="1507">
        <f t="shared" si="14"/>
        <v>111</v>
      </c>
      <c r="R42" s="3737" t="s">
        <v>13</v>
      </c>
      <c r="S42" s="3739">
        <f t="shared" si="10"/>
        <v>100</v>
      </c>
      <c r="T42" s="3737" t="s">
        <v>13</v>
      </c>
      <c r="U42" s="3739">
        <f t="shared" si="11"/>
        <v>100</v>
      </c>
      <c r="V42" s="3737" t="s">
        <v>13</v>
      </c>
      <c r="W42" s="3739">
        <f t="shared" si="12"/>
        <v>100</v>
      </c>
      <c r="X42" s="484"/>
      <c r="Y42" s="4601"/>
      <c r="Z42" s="485">
        <f t="shared" si="13"/>
        <v>111</v>
      </c>
      <c r="AA42" s="907">
        <f t="shared" si="3"/>
        <v>1</v>
      </c>
      <c r="AB42" s="907">
        <f t="shared" si="4"/>
        <v>1</v>
      </c>
      <c r="AC42" s="907">
        <f t="shared" si="5"/>
        <v>1</v>
      </c>
    </row>
    <row r="43" spans="1:31" ht="15">
      <c r="A43" s="286" t="s">
        <v>1751</v>
      </c>
      <c r="B43" s="1430" t="s">
        <v>1827</v>
      </c>
      <c r="C43" s="439" t="s">
        <v>0</v>
      </c>
      <c r="D43" s="3158"/>
      <c r="E43" s="3187"/>
      <c r="F43" s="3135"/>
      <c r="G43" s="3188"/>
      <c r="H43" s="3136"/>
      <c r="I43" s="3187"/>
      <c r="J43" s="3136"/>
      <c r="K43" s="2844"/>
      <c r="L43" s="1981"/>
      <c r="M43" s="1974"/>
      <c r="N43" s="1974"/>
      <c r="O43" s="1974"/>
      <c r="P43" s="4594" t="str">
        <f>A43</f>
        <v>成交单价</v>
      </c>
      <c r="Q43" s="4594"/>
      <c r="R43" s="4595">
        <f>E43</f>
        <v>0</v>
      </c>
      <c r="S43" s="4595"/>
      <c r="T43" s="4595">
        <f>G43</f>
        <v>0</v>
      </c>
      <c r="U43" s="4595"/>
      <c r="V43" s="4595">
        <f>I43</f>
        <v>0</v>
      </c>
      <c r="W43" s="4595"/>
      <c r="X43" s="265"/>
      <c r="Y43" s="486"/>
      <c r="Z43" s="265"/>
      <c r="AA43" s="265"/>
      <c r="AB43" s="265"/>
      <c r="AC43" s="265"/>
    </row>
    <row r="44" spans="1:31" ht="15.75" thickBot="1">
      <c r="A44" s="289" t="s">
        <v>1700</v>
      </c>
      <c r="B44" s="440"/>
      <c r="C44" s="3720" t="e">
        <f>R45</f>
        <v>#DIV/0!</v>
      </c>
      <c r="D44" s="3825" t="s">
        <v>2040</v>
      </c>
      <c r="E44" s="3720" t="e">
        <f>R44</f>
        <v>#DIV/0!</v>
      </c>
      <c r="F44" s="2783"/>
      <c r="G44" s="3709" t="e">
        <f>T44</f>
        <v>#DIV/0!</v>
      </c>
      <c r="H44" s="2783"/>
      <c r="I44" s="3720" t="e">
        <f>V44</f>
        <v>#DIV/0!</v>
      </c>
      <c r="J44" s="2783"/>
      <c r="K44" s="2837">
        <f>F44+H44+J44</f>
        <v>0</v>
      </c>
      <c r="L44" s="1981"/>
      <c r="M44" s="1974"/>
      <c r="N44" s="1974"/>
      <c r="O44" s="1974"/>
      <c r="P44" s="4594" t="str">
        <f>A44</f>
        <v>比较价值（元/平方米）</v>
      </c>
      <c r="Q44" s="4594"/>
      <c r="R44" s="4595" t="e">
        <f>ROUND(PRODUCT(R43,AA9:AA42),0)</f>
        <v>#DIV/0!</v>
      </c>
      <c r="S44" s="4595"/>
      <c r="T44" s="4595" t="e">
        <f>ROUND(PRODUCT(T43,AB9:AB42),0)</f>
        <v>#DIV/0!</v>
      </c>
      <c r="U44" s="4595"/>
      <c r="V44" s="4595" t="e">
        <f>ROUND(PRODUCT(V43,AC9:AC42),0)</f>
        <v>#DIV/0!</v>
      </c>
      <c r="W44" s="4595"/>
      <c r="X44" s="265"/>
      <c r="Y44" s="265"/>
      <c r="Z44" s="265"/>
      <c r="AA44" s="265"/>
      <c r="AB44" s="265"/>
      <c r="AC44" s="265"/>
    </row>
    <row r="45" spans="1:31" ht="15.75" thickBot="1">
      <c r="A45" s="291" t="s">
        <v>1701</v>
      </c>
      <c r="B45" s="292"/>
      <c r="C45" s="3721" t="e">
        <f>R45</f>
        <v>#DIV/0!</v>
      </c>
      <c r="D45" s="3137"/>
      <c r="E45" s="3137"/>
      <c r="F45" s="3137"/>
      <c r="G45" s="3137"/>
      <c r="H45" s="3137"/>
      <c r="I45" s="3137"/>
      <c r="J45" s="3137"/>
      <c r="K45" s="3159"/>
      <c r="L45" s="1981"/>
      <c r="M45" s="1974"/>
      <c r="N45" s="1974"/>
      <c r="O45" s="1974"/>
      <c r="P45" s="4591" t="str">
        <f>A45</f>
        <v>估价对象XX用房的比较价值（楼面单价，元/平方米）</v>
      </c>
      <c r="Q45" s="4592"/>
      <c r="R45" s="4593" t="e">
        <f>ROUND(IF(D44="简单平均",AVERAGE(R44:W44),R44*F44+T44*H44+V44*J44),0)</f>
        <v>#DIV/0!</v>
      </c>
      <c r="S45" s="4593"/>
      <c r="T45" s="4593"/>
      <c r="U45" s="4593"/>
      <c r="V45" s="4593"/>
      <c r="W45" s="4593"/>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1787</v>
      </c>
      <c r="B52" s="442" t="s">
        <v>1788</v>
      </c>
      <c r="C52" s="1431" t="s">
        <v>1789</v>
      </c>
      <c r="D52" s="1432" t="s">
        <v>1790</v>
      </c>
      <c r="E52" s="443" t="s">
        <v>1791</v>
      </c>
      <c r="F52" s="444" t="s">
        <v>1792</v>
      </c>
      <c r="G52" s="4653" t="s">
        <v>1793</v>
      </c>
      <c r="H52" s="4693"/>
      <c r="I52" s="3012" t="s">
        <v>1828</v>
      </c>
      <c r="J52" s="3012">
        <f>项目基本情况!F35</f>
        <v>0</v>
      </c>
      <c r="K52" s="1434" t="s">
        <v>1795</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1796</v>
      </c>
      <c r="B53" s="3749" t="e">
        <f>C45</f>
        <v>#DIV/0!</v>
      </c>
      <c r="C53" s="3070">
        <v>1</v>
      </c>
      <c r="D53" s="3047">
        <v>1</v>
      </c>
      <c r="E53" s="3046">
        <f>'数据-汇总表'!E8+'数据-汇总表'!E9</f>
        <v>85551.93</v>
      </c>
      <c r="F53" s="3049" t="e">
        <f t="shared" ref="F53:F62" si="15">ROUND(B53*E53/10000,0)</f>
        <v>#DIV/0!</v>
      </c>
      <c r="G53" s="4694"/>
      <c r="H53" s="4681"/>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1797</v>
      </c>
      <c r="B54" s="3749" t="e">
        <f>ROUND($C$45*C54*D54,0)</f>
        <v>#DIV/0!</v>
      </c>
      <c r="C54" s="3045">
        <f t="shared" ref="C54:C62" si="16">IF($C$52="北京市系数",I54,J54)</f>
        <v>0.6</v>
      </c>
      <c r="D54" s="3048">
        <v>0.25</v>
      </c>
      <c r="E54" s="3050"/>
      <c r="F54" s="3049" t="e">
        <f t="shared" si="15"/>
        <v>#DIV/0!</v>
      </c>
      <c r="G54" s="3057" t="s">
        <v>1798</v>
      </c>
      <c r="H54" s="3054" t="str">
        <f>项目基本情况!B37</f>
        <v>七级</v>
      </c>
      <c r="I54" s="2713">
        <f>SUMIF(修正!A59:A70,H54,修正!B59:B70)</f>
        <v>0.6</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1799</v>
      </c>
      <c r="B55" s="3749" t="e">
        <f t="shared" ref="B55:B62" si="17">ROUND($C$45*C55*D55,0)</f>
        <v>#DIV/0!</v>
      </c>
      <c r="C55" s="3045">
        <f t="shared" si="16"/>
        <v>0.3</v>
      </c>
      <c r="D55" s="3048">
        <v>0.25</v>
      </c>
      <c r="E55" s="3050"/>
      <c r="F55" s="3049" t="e">
        <f t="shared" si="15"/>
        <v>#DIV/0!</v>
      </c>
      <c r="G55" s="3058"/>
      <c r="H55" s="3054" t="str">
        <f>项目基本情况!B37</f>
        <v>七级</v>
      </c>
      <c r="I55" s="2713">
        <f>SUMIF(修正!A59:A70,H55,修正!C59:C70)</f>
        <v>0.3</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1800</v>
      </c>
      <c r="B56" s="3749" t="e">
        <f t="shared" si="17"/>
        <v>#DIV/0!</v>
      </c>
      <c r="C56" s="3045">
        <f t="shared" si="16"/>
        <v>0.25</v>
      </c>
      <c r="D56" s="3048">
        <v>0.25</v>
      </c>
      <c r="E56" s="3050"/>
      <c r="F56" s="3049" t="e">
        <f t="shared" si="15"/>
        <v>#DIV/0!</v>
      </c>
      <c r="G56" s="3058"/>
      <c r="H56" s="3054" t="str">
        <f>项目基本情况!B37</f>
        <v>七级</v>
      </c>
      <c r="I56" s="2713">
        <f>SUMIF(修正!A59:A70,H56,修正!D59:D70)</f>
        <v>0.25</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9"/>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1801</v>
      </c>
      <c r="B58" s="3749" t="e">
        <f t="shared" si="17"/>
        <v>#DIV/0!</v>
      </c>
      <c r="C58" s="3045">
        <f t="shared" si="16"/>
        <v>0</v>
      </c>
      <c r="D58" s="3048">
        <v>0.25</v>
      </c>
      <c r="E58" s="3051">
        <f>'数据-汇总表'!E11</f>
        <v>0</v>
      </c>
      <c r="F58" s="3049" t="e">
        <f t="shared" si="15"/>
        <v>#DIV/0!</v>
      </c>
      <c r="G58" s="3060" t="s">
        <v>1802</v>
      </c>
      <c r="H58" s="3054">
        <f>项目基本情况!C37</f>
        <v>0</v>
      </c>
      <c r="I58" s="2713">
        <f>SUMIF(修正!A59:A70,H58,修正!E59:E70)</f>
        <v>0</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1803</v>
      </c>
      <c r="B59" s="3749" t="e">
        <f t="shared" si="17"/>
        <v>#DIV/0!</v>
      </c>
      <c r="C59" s="3045">
        <f t="shared" si="16"/>
        <v>0</v>
      </c>
      <c r="D59" s="3048">
        <v>0.25</v>
      </c>
      <c r="E59" s="3051">
        <f>'数据-汇总表'!E12</f>
        <v>0</v>
      </c>
      <c r="F59" s="3049" t="e">
        <f t="shared" si="15"/>
        <v>#DIV/0!</v>
      </c>
      <c r="G59" s="3061" t="s">
        <v>1804</v>
      </c>
      <c r="H59" s="3054">
        <f>IF(G59="商业",项目基本情况!B37,IF(G59="办公",项目基本情况!C37,IF(G59="住宅",项目基本情况!D37,项目基本情况!E37)))</f>
        <v>0</v>
      </c>
      <c r="I59" s="2713">
        <f>SUMIF(修正!A59:A70,H59,修正!F59:F70)</f>
        <v>0</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1805</v>
      </c>
      <c r="B60" s="3749" t="e">
        <f t="shared" si="17"/>
        <v>#DIV/0!</v>
      </c>
      <c r="C60" s="3045">
        <f t="shared" si="16"/>
        <v>0</v>
      </c>
      <c r="D60" s="3048">
        <v>0.25</v>
      </c>
      <c r="E60" s="3051">
        <f>'数据-汇总表'!E13</f>
        <v>0</v>
      </c>
      <c r="F60" s="3049" t="e">
        <f t="shared" si="15"/>
        <v>#DIV/0!</v>
      </c>
      <c r="G60" s="3061" t="s">
        <v>1806</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1807</v>
      </c>
      <c r="B61" s="3749" t="e">
        <f t="shared" si="17"/>
        <v>#DIV/0!</v>
      </c>
      <c r="C61" s="3045">
        <f t="shared" si="16"/>
        <v>0.15</v>
      </c>
      <c r="D61" s="3048">
        <v>0.25</v>
      </c>
      <c r="E61" s="3051">
        <f>'数据-汇总表'!E14</f>
        <v>16275.06</v>
      </c>
      <c r="F61" s="3049" t="e">
        <f t="shared" si="15"/>
        <v>#DIV/0!</v>
      </c>
      <c r="G61" s="3060" t="s">
        <v>1798</v>
      </c>
      <c r="H61" s="3054" t="str">
        <f>项目基本情况!B37</f>
        <v>七级</v>
      </c>
      <c r="I61" s="2713">
        <f>SUMIF(修正!A59:A70,H61,修正!G59:G70)</f>
        <v>0.15</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1808</v>
      </c>
      <c r="B62" s="3749" t="e">
        <f t="shared" si="17"/>
        <v>#DIV/0!</v>
      </c>
      <c r="C62" s="3045">
        <f t="shared" si="16"/>
        <v>0</v>
      </c>
      <c r="D62" s="3048">
        <v>0.25</v>
      </c>
      <c r="E62" s="3051">
        <f>'数据-汇总表'!E15</f>
        <v>0</v>
      </c>
      <c r="F62" s="3049" t="e">
        <f t="shared" si="15"/>
        <v>#DIV/0!</v>
      </c>
      <c r="G62" s="3062" t="s">
        <v>1802</v>
      </c>
      <c r="H62" s="3056">
        <f>项目基本情况!C37</f>
        <v>0</v>
      </c>
      <c r="I62" s="2713">
        <f>SUMIF(修正!A59:A70,H62,修正!G59:G70)</f>
        <v>0</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1809</v>
      </c>
      <c r="B63" s="449" t="s">
        <v>20</v>
      </c>
      <c r="C63" s="449" t="s">
        <v>21</v>
      </c>
      <c r="D63" s="449" t="s">
        <v>386</v>
      </c>
      <c r="E63" s="3052">
        <f>IF(B43="楼面地价",SUM(E53:E62),'数据-汇总表'!D3)</f>
        <v>24498.84</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1810</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1812</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1813</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1830</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1779</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1819</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1821</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1822</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0</v>
      </c>
      <c r="C2" s="171" t="s">
        <v>1531</v>
      </c>
      <c r="D2" s="3307"/>
      <c r="E2" s="2044"/>
      <c r="G2" s="2044"/>
      <c r="H2" s="2044"/>
      <c r="I2" s="2044"/>
      <c r="J2" s="2044"/>
      <c r="K2" s="2044"/>
    </row>
    <row r="3" spans="1:33" ht="18" customHeight="1">
      <c r="A3" s="98" t="s">
        <v>1433</v>
      </c>
      <c r="B3" s="2505">
        <f ca="1">ROUND(B2*10000/IF(C1="",'数据-汇总表'!E3,INDIRECT("'数据-取费表'!K"&amp;$K$1)),0)</f>
        <v>0</v>
      </c>
      <c r="C3" s="171" t="s">
        <v>1532</v>
      </c>
      <c r="E3" s="514"/>
      <c r="I3" s="2044"/>
      <c r="J3" s="2044"/>
      <c r="K3" s="2044"/>
    </row>
    <row r="4" spans="1:33" ht="18" customHeight="1">
      <c r="A4" s="3360" t="s">
        <v>3619</v>
      </c>
      <c r="B4" s="3365">
        <f ca="1">ROUND(B2*10000/IF(C1="",'数据-汇总表'!D3,INDIRECT("'数据-取费表'!R"&amp;$K$1)),0)</f>
        <v>0</v>
      </c>
      <c r="C4" s="3364" t="s">
        <v>1532</v>
      </c>
      <c r="E4" s="514"/>
      <c r="I4" s="2044"/>
      <c r="J4" s="2044"/>
      <c r="K4" s="2044"/>
    </row>
    <row r="5" spans="1:33" ht="18" customHeight="1" thickBot="1">
      <c r="A5" s="94"/>
      <c r="B5" s="3361">
        <f ca="1">ROUND(B2/(IF(C1="",'数据-汇总表'!D3,INDIRECT("'数据-取费表'!R"&amp;$K$1))/666.67),0)</f>
        <v>0</v>
      </c>
      <c r="C5" s="3363" t="s">
        <v>3617</v>
      </c>
      <c r="E5" s="514"/>
      <c r="I5" s="2044"/>
      <c r="J5" s="2044"/>
      <c r="K5" s="2044"/>
    </row>
    <row r="6" spans="1:33" s="515" customFormat="1" ht="16.5" customHeight="1">
      <c r="A6" s="2635" t="s">
        <v>3366</v>
      </c>
      <c r="B6" s="2634"/>
      <c r="C6" s="4699" t="s">
        <v>3368</v>
      </c>
      <c r="D6" s="4699"/>
      <c r="E6" s="4699"/>
      <c r="F6" s="4699"/>
      <c r="G6" s="4699"/>
      <c r="H6" s="4699"/>
      <c r="I6" s="4699"/>
      <c r="J6" s="4699"/>
      <c r="K6" s="4700"/>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3950</v>
      </c>
      <c r="B10" s="4050" t="s">
        <v>3949</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03" t="s">
        <v>3381</v>
      </c>
      <c r="B11" s="4704"/>
      <c r="C11" s="4704"/>
      <c r="D11" s="4704"/>
      <c r="E11" s="4704"/>
      <c r="F11" s="4704"/>
      <c r="G11" s="4704"/>
      <c r="H11" s="4704"/>
      <c r="I11" s="4704"/>
      <c r="J11" s="4704"/>
      <c r="K11" s="4705"/>
    </row>
    <row r="12" spans="1:33" s="4047" customFormat="1" ht="13.5" customHeight="1">
      <c r="A12" s="3193" t="s">
        <v>3501</v>
      </c>
      <c r="B12" s="4044" t="s">
        <v>1537</v>
      </c>
      <c r="C12" s="4048" t="s">
        <v>3946</v>
      </c>
      <c r="D12" s="4044" t="s">
        <v>1539</v>
      </c>
      <c r="E12" s="4044" t="s">
        <v>1540</v>
      </c>
      <c r="F12" s="4044" t="s">
        <v>1541</v>
      </c>
      <c r="G12" s="4045" t="s">
        <v>3392</v>
      </c>
      <c r="H12" s="4044"/>
      <c r="I12" s="4044"/>
      <c r="J12" s="4044"/>
      <c r="K12" s="4046"/>
    </row>
    <row r="13" spans="1:33" s="521" customFormat="1" ht="13.5" customHeight="1">
      <c r="A13" s="2475">
        <v>1</v>
      </c>
      <c r="B13" s="2659" t="s">
        <v>3367</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3657</v>
      </c>
      <c r="H14" s="25"/>
      <c r="I14" s="25"/>
      <c r="J14" s="25"/>
      <c r="K14" s="27"/>
    </row>
    <row r="15" spans="1:33" s="523" customFormat="1" ht="13.5" customHeight="1">
      <c r="A15" s="2475">
        <v>3</v>
      </c>
      <c r="B15" s="2637" t="s">
        <v>3369</v>
      </c>
      <c r="C15" s="2645">
        <f ca="1">SUM(C16:C19)+C25+C26</f>
        <v>0</v>
      </c>
      <c r="D15" s="530"/>
      <c r="E15" s="173"/>
      <c r="F15" s="2645"/>
      <c r="G15" s="2697" t="s">
        <v>3658</v>
      </c>
      <c r="H15" s="55"/>
      <c r="I15" s="55"/>
      <c r="J15" s="55"/>
      <c r="K15" s="2662"/>
    </row>
    <row r="16" spans="1:33" s="523" customFormat="1" ht="13.5" customHeight="1">
      <c r="A16" s="519" t="s">
        <v>355</v>
      </c>
      <c r="B16" s="2676" t="s">
        <v>3382</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3383</v>
      </c>
      <c r="C17" s="2684">
        <f ca="1">ROUND(C16*F17,0)</f>
        <v>0</v>
      </c>
      <c r="D17" s="522"/>
      <c r="E17" s="55"/>
      <c r="F17" s="2653">
        <f>'数据-取费表'!B33</f>
        <v>0.05</v>
      </c>
      <c r="G17" s="3391" t="s">
        <v>3668</v>
      </c>
      <c r="H17" s="2660"/>
      <c r="I17" s="2660"/>
      <c r="J17" s="2660"/>
      <c r="K17" s="2661"/>
    </row>
    <row r="18" spans="1:33" s="523" customFormat="1" ht="13.5" customHeight="1">
      <c r="A18" s="519" t="s">
        <v>1536</v>
      </c>
      <c r="B18" s="2676" t="s">
        <v>3384</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3371</v>
      </c>
      <c r="B19" s="2676" t="s">
        <v>3385</v>
      </c>
      <c r="C19" s="2684">
        <f ca="1">C20+C23+C24</f>
        <v>0</v>
      </c>
      <c r="D19" s="539"/>
      <c r="E19" s="55"/>
      <c r="F19" s="2653"/>
      <c r="G19" s="2660"/>
      <c r="H19" s="2660"/>
      <c r="I19" s="2660"/>
      <c r="J19" s="2660"/>
      <c r="K19" s="2661"/>
    </row>
    <row r="20" spans="1:33" s="523" customFormat="1" ht="13.5" customHeight="1">
      <c r="A20" s="2638" t="s">
        <v>3374</v>
      </c>
      <c r="B20" s="2663" t="s">
        <v>1547</v>
      </c>
      <c r="C20" s="2684">
        <f ca="1">C21+C22-IF(C1="",'数据-取费表'!B29,IF(G20="已全部缴纳",C21+C22,H20))</f>
        <v>0</v>
      </c>
      <c r="D20" s="539"/>
      <c r="E20" s="12"/>
      <c r="F20" s="2654"/>
      <c r="G20" s="2664"/>
      <c r="H20" s="2665"/>
      <c r="I20" s="2666" t="s">
        <v>1548</v>
      </c>
      <c r="J20" s="55"/>
      <c r="K20" s="2662"/>
    </row>
    <row r="21" spans="1:33" s="523" customFormat="1" ht="13.5" customHeight="1">
      <c r="A21" s="2678" t="s">
        <v>3377</v>
      </c>
      <c r="B21" s="2679" t="s">
        <v>3388</v>
      </c>
      <c r="C21" s="2685">
        <f ca="1">ROUND(D21*E21/10000,0)</f>
        <v>0</v>
      </c>
      <c r="D21" s="2687">
        <f ca="1">IF(C1="",'数据-汇总表'!E5,IF(INDIRECT("'数据-取费表'!c"&amp;$K$1)="住宅",INDIRECT("'数据-取费表'!k"&amp;$K$1),0))</f>
        <v>0</v>
      </c>
      <c r="E21" s="2685">
        <f>'数据-取费表'!B27</f>
        <v>160</v>
      </c>
      <c r="F21" s="2680"/>
      <c r="G21" s="186"/>
      <c r="H21" s="186"/>
      <c r="I21" s="186"/>
      <c r="J21" s="186"/>
      <c r="K21" s="1867"/>
    </row>
    <row r="22" spans="1:33" s="523" customFormat="1" ht="13.5" customHeight="1">
      <c r="A22" s="2678" t="s">
        <v>3378</v>
      </c>
      <c r="B22" s="2679" t="s">
        <v>3389</v>
      </c>
      <c r="C22" s="2685">
        <f ca="1">ROUND(D22*E22/10000,0)</f>
        <v>2399</v>
      </c>
      <c r="D22" s="2687">
        <f ca="1">IF(C1="",'数据-汇总表'!E6,IF(INDIRECT("'数据-取费表'!c"&amp;$K$1)="住宅",INDIRECT("'数据-取费表'!s"&amp;$K$1),INDIRECT("'数据-取费表'!k"&amp;$K$1)+INDIRECT("'数据-取费表'!s"&amp;$K$1)))</f>
        <v>119963.53</v>
      </c>
      <c r="E22" s="2685">
        <f>'数据-取费表'!B28</f>
        <v>200</v>
      </c>
      <c r="F22" s="2680"/>
      <c r="G22" s="186"/>
      <c r="H22" s="186"/>
      <c r="I22" s="186"/>
      <c r="J22" s="186"/>
      <c r="K22" s="1867"/>
    </row>
    <row r="23" spans="1:33" s="524" customFormat="1" ht="13.5" customHeight="1">
      <c r="A23" s="2638" t="s">
        <v>3375</v>
      </c>
      <c r="B23" s="2663" t="s">
        <v>1543</v>
      </c>
      <c r="C23" s="2684">
        <f ca="1">ROUND(D23*E23*F16/10000,0)</f>
        <v>0</v>
      </c>
      <c r="D23" s="2688">
        <f ca="1">IF(C1="",'数据-汇总表'!E3,INDIRECT("'数据-取费表'!K"&amp;$K$1)+INDIRECT("'数据-取费表'!S"&amp;$K$1))</f>
        <v>119963.53</v>
      </c>
      <c r="E23" s="2684">
        <f>'数据-取费表'!B35</f>
        <v>280</v>
      </c>
      <c r="F23" s="2654"/>
      <c r="G23" s="2659" t="s">
        <v>3659</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3376</v>
      </c>
      <c r="B24" s="2663" t="s">
        <v>1545</v>
      </c>
      <c r="C24" s="2684">
        <f ca="1">ROUND(D24*E24/10000,0)</f>
        <v>0</v>
      </c>
      <c r="D24" s="2688">
        <f ca="1">D23</f>
        <v>119963.53</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3372</v>
      </c>
      <c r="B25" s="2677" t="s">
        <v>3386</v>
      </c>
      <c r="C25" s="2648">
        <f ca="1">ROUND(C16*F25,0)</f>
        <v>0</v>
      </c>
      <c r="D25" s="2639"/>
      <c r="E25" s="2640"/>
      <c r="F25" s="2653">
        <f>'数据-取费表'!B36</f>
        <v>0.01</v>
      </c>
      <c r="G25" s="2639"/>
      <c r="H25" s="2639"/>
      <c r="I25" s="2639"/>
      <c r="J25" s="2639"/>
      <c r="K25" s="2667"/>
    </row>
    <row r="26" spans="1:33" s="524" customFormat="1" ht="13.5" customHeight="1">
      <c r="A26" s="2636" t="s">
        <v>3373</v>
      </c>
      <c r="B26" s="2676" t="s">
        <v>3387</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0</v>
      </c>
      <c r="D27" s="173"/>
      <c r="E27" s="173"/>
      <c r="F27" s="2652">
        <f>'数据-取费表'!B38</f>
        <v>0.05</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0.03</v>
      </c>
      <c r="G28" s="2660" t="s">
        <v>3660</v>
      </c>
      <c r="H28" s="2660"/>
      <c r="I28" s="2660"/>
      <c r="J28" s="2660"/>
      <c r="K28" s="2661"/>
    </row>
    <row r="29" spans="1:33" s="523" customFormat="1" ht="13.5" customHeight="1">
      <c r="A29" s="2475">
        <v>6</v>
      </c>
      <c r="B29" s="2637" t="s">
        <v>3370</v>
      </c>
      <c r="C29" s="2683" t="str">
        <f ca="1">C31&amp;"+"&amp;C30&amp;"V"</f>
        <v>0+0V</v>
      </c>
      <c r="D29" s="172"/>
      <c r="E29" s="173"/>
      <c r="F29" s="2669">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3390</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701" t="s">
        <v>3380</v>
      </c>
      <c r="H32" s="4701"/>
      <c r="I32" s="4701"/>
      <c r="J32" s="4701"/>
      <c r="K32" s="4702"/>
    </row>
    <row r="33" spans="1:11" s="176" customFormat="1" ht="13.5" customHeight="1">
      <c r="A33" s="2475">
        <v>8</v>
      </c>
      <c r="B33" s="2641" t="s">
        <v>1554</v>
      </c>
      <c r="C33" s="2686" t="str">
        <f ca="1">C35&amp;"+"&amp;C34&amp;"V"</f>
        <v>0+0V</v>
      </c>
      <c r="D33" s="172"/>
      <c r="E33" s="173"/>
      <c r="F33" s="2656">
        <f ca="1">IF(C1="",'数据-取费表'!Q16,INDIRECT("'数据-取费表'!q"&amp;$K$1))</f>
        <v>0.2</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3390</v>
      </c>
      <c r="C35" s="2651">
        <f ca="1">ROUND((C15+C27+C28)*F33,0)</f>
        <v>0</v>
      </c>
      <c r="D35" s="174"/>
      <c r="E35" s="525"/>
      <c r="F35" s="2655"/>
      <c r="G35" s="55"/>
      <c r="H35" s="55"/>
      <c r="I35" s="55"/>
      <c r="J35" s="55"/>
      <c r="K35" s="2662"/>
    </row>
    <row r="36" spans="1:11" s="521" customFormat="1" ht="15">
      <c r="A36" s="2475">
        <v>9</v>
      </c>
      <c r="B36" s="2659" t="s">
        <v>3379</v>
      </c>
      <c r="C36" s="2644">
        <f ca="1">ROUND((C13-C15-C27-C28-C31-C35-C32)/(1+F14+C30+C34),0)</f>
        <v>0</v>
      </c>
      <c r="D36" s="2660"/>
      <c r="E36" s="2660"/>
      <c r="F36" s="172"/>
      <c r="G36" s="2693" t="s">
        <v>3391</v>
      </c>
      <c r="H36" s="2660"/>
      <c r="I36" s="2660"/>
      <c r="J36" s="2660"/>
      <c r="K36" s="2661"/>
    </row>
    <row r="37" spans="1:11" s="2770" customFormat="1" ht="15.75" thickBot="1">
      <c r="A37" s="2673">
        <v>10</v>
      </c>
      <c r="B37" s="2674" t="s">
        <v>3466</v>
      </c>
      <c r="C37" s="2767">
        <f ca="1">ROUND(C36*(1+F37),0)</f>
        <v>0</v>
      </c>
      <c r="D37" s="2768"/>
      <c r="E37" s="2769"/>
      <c r="F37" s="2675">
        <v>0.09</v>
      </c>
      <c r="G37" s="2659" t="s">
        <v>3467</v>
      </c>
      <c r="H37" s="2660"/>
      <c r="I37" s="2660"/>
      <c r="J37" s="2660"/>
      <c r="K37" s="2661"/>
    </row>
    <row r="38" spans="1:11" ht="12.75" customHeight="1"/>
    <row r="44" spans="1:11" s="3191" customFormat="1" ht="19.5" thickBot="1">
      <c r="A44" s="3196" t="s">
        <v>3474</v>
      </c>
      <c r="B44" s="1860"/>
      <c r="C44" s="3197"/>
      <c r="D44" s="1860"/>
      <c r="E44" s="1860"/>
      <c r="F44" s="1860"/>
      <c r="G44" s="1860"/>
    </row>
    <row r="45" spans="1:11" s="3191" customFormat="1" ht="15">
      <c r="A45" s="3193" t="s">
        <v>3501</v>
      </c>
      <c r="B45" s="2657" t="s">
        <v>1537</v>
      </c>
      <c r="C45" s="2658" t="s">
        <v>1538</v>
      </c>
      <c r="D45" s="1164" t="s">
        <v>1539</v>
      </c>
      <c r="E45" s="1164" t="s">
        <v>1540</v>
      </c>
      <c r="F45" s="1164" t="s">
        <v>1541</v>
      </c>
      <c r="G45" s="2694" t="s">
        <v>3392</v>
      </c>
    </row>
    <row r="46" spans="1:11" s="3191" customFormat="1">
      <c r="A46" s="626">
        <v>1</v>
      </c>
      <c r="B46" s="2677" t="s">
        <v>3475</v>
      </c>
      <c r="C46" s="2648">
        <f>C13</f>
        <v>0</v>
      </c>
      <c r="D46" s="626"/>
      <c r="E46" s="626"/>
      <c r="F46" s="626"/>
      <c r="G46" s="626"/>
    </row>
    <row r="47" spans="1:11" s="3191" customFormat="1">
      <c r="A47" s="626">
        <v>2</v>
      </c>
      <c r="B47" s="2677" t="s">
        <v>3477</v>
      </c>
      <c r="C47" s="2648" t="str">
        <f>C14</f>
        <v>0.0305V</v>
      </c>
      <c r="D47" s="626"/>
      <c r="E47" s="626"/>
      <c r="F47" s="626"/>
      <c r="G47" s="626"/>
    </row>
    <row r="48" spans="1:11" s="3191" customFormat="1">
      <c r="A48" s="626">
        <v>3</v>
      </c>
      <c r="B48" s="2677" t="s">
        <v>3476</v>
      </c>
      <c r="C48" s="2648" t="e">
        <f ca="1">C49+C59+C60+C63</f>
        <v>#VALUE!</v>
      </c>
      <c r="D48" s="626"/>
      <c r="E48" s="626"/>
      <c r="F48" s="626"/>
      <c r="G48" s="626"/>
    </row>
    <row r="49" spans="1:7" s="3191" customFormat="1">
      <c r="A49" s="3194" t="s">
        <v>355</v>
      </c>
      <c r="B49" s="2677" t="s">
        <v>3486</v>
      </c>
      <c r="C49" s="2648">
        <f ca="1">C50+C51+C52+C53+C57+C58</f>
        <v>0</v>
      </c>
      <c r="D49" s="626"/>
      <c r="E49" s="626"/>
      <c r="F49" s="626"/>
      <c r="G49" s="626"/>
    </row>
    <row r="50" spans="1:7" s="3191" customFormat="1">
      <c r="A50" s="3195" t="s">
        <v>3487</v>
      </c>
      <c r="B50" s="2677" t="s">
        <v>3491</v>
      </c>
      <c r="C50" s="2648">
        <f ca="1">C16</f>
        <v>0</v>
      </c>
      <c r="D50" s="626"/>
      <c r="E50" s="626"/>
      <c r="F50" s="626"/>
      <c r="G50" s="626"/>
    </row>
    <row r="51" spans="1:7" s="3191" customFormat="1">
      <c r="A51" s="3195" t="s">
        <v>3502</v>
      </c>
      <c r="B51" s="626" t="s">
        <v>3488</v>
      </c>
      <c r="C51" s="2648">
        <f t="shared" ref="C51:C53" ca="1" si="0">C17</f>
        <v>0</v>
      </c>
      <c r="D51" s="626"/>
      <c r="E51" s="626"/>
      <c r="F51" s="626"/>
      <c r="G51" s="626"/>
    </row>
    <row r="52" spans="1:7" s="3191" customFormat="1">
      <c r="A52" s="3195" t="s">
        <v>3503</v>
      </c>
      <c r="B52" s="626" t="s">
        <v>3489</v>
      </c>
      <c r="C52" s="2648">
        <f t="shared" ca="1" si="0"/>
        <v>0</v>
      </c>
      <c r="D52" s="626"/>
      <c r="E52" s="626"/>
      <c r="F52" s="626"/>
      <c r="G52" s="626"/>
    </row>
    <row r="53" spans="1:7" s="3191" customFormat="1">
      <c r="A53" s="3195" t="s">
        <v>3504</v>
      </c>
      <c r="B53" s="626" t="s">
        <v>3490</v>
      </c>
      <c r="C53" s="2648">
        <f t="shared" ca="1" si="0"/>
        <v>0</v>
      </c>
      <c r="D53" s="626"/>
      <c r="E53" s="626"/>
      <c r="F53" s="626"/>
      <c r="G53" s="626"/>
    </row>
    <row r="54" spans="1:7" s="3191" customFormat="1">
      <c r="A54" s="3386" t="s">
        <v>3377</v>
      </c>
      <c r="B54" s="3387" t="s">
        <v>3494</v>
      </c>
      <c r="C54" s="3388">
        <f ca="1">C20</f>
        <v>0</v>
      </c>
      <c r="D54" s="626"/>
      <c r="E54" s="626"/>
      <c r="F54" s="626"/>
      <c r="G54" s="626"/>
    </row>
    <row r="55" spans="1:7" s="3191" customFormat="1">
      <c r="A55" s="3386" t="s">
        <v>3378</v>
      </c>
      <c r="B55" s="3387" t="s">
        <v>3495</v>
      </c>
      <c r="C55" s="3388">
        <f ca="1">C23</f>
        <v>0</v>
      </c>
      <c r="D55" s="626"/>
      <c r="E55" s="626"/>
      <c r="F55" s="626"/>
      <c r="G55" s="626"/>
    </row>
    <row r="56" spans="1:7" s="3191" customFormat="1">
      <c r="A56" s="3386" t="s">
        <v>3654</v>
      </c>
      <c r="B56" s="3387" t="s">
        <v>3496</v>
      </c>
      <c r="C56" s="3388">
        <f ca="1">C24</f>
        <v>0</v>
      </c>
      <c r="D56" s="626"/>
      <c r="E56" s="626"/>
      <c r="F56" s="626"/>
      <c r="G56" s="626"/>
    </row>
    <row r="57" spans="1:7" s="3191" customFormat="1">
      <c r="A57" s="3195" t="s">
        <v>3505</v>
      </c>
      <c r="B57" s="626" t="s">
        <v>3492</v>
      </c>
      <c r="C57" s="2648">
        <f ca="1">C25</f>
        <v>0</v>
      </c>
      <c r="D57" s="626"/>
      <c r="E57" s="626"/>
      <c r="F57" s="626"/>
      <c r="G57" s="626"/>
    </row>
    <row r="58" spans="1:7" s="3191" customFormat="1">
      <c r="A58" s="3195" t="s">
        <v>3506</v>
      </c>
      <c r="B58" s="626" t="s">
        <v>3493</v>
      </c>
      <c r="C58" s="2648">
        <f ca="1">C26</f>
        <v>0</v>
      </c>
      <c r="D58" s="626"/>
      <c r="E58" s="626"/>
      <c r="F58" s="626"/>
      <c r="G58" s="626"/>
    </row>
    <row r="59" spans="1:7" s="3191" customFormat="1">
      <c r="A59" s="3194" t="s">
        <v>3485</v>
      </c>
      <c r="B59" s="2677" t="s">
        <v>3479</v>
      </c>
      <c r="C59" s="2648">
        <f ca="1">C27</f>
        <v>0</v>
      </c>
      <c r="D59" s="626"/>
      <c r="E59" s="626"/>
      <c r="F59" s="626"/>
      <c r="G59" s="626"/>
    </row>
    <row r="60" spans="1:7" s="3191" customFormat="1">
      <c r="A60" s="3194" t="s">
        <v>3497</v>
      </c>
      <c r="B60" s="2677" t="s">
        <v>3498</v>
      </c>
      <c r="C60" s="2648">
        <f ca="1">C61+C62</f>
        <v>0</v>
      </c>
      <c r="D60" s="626"/>
      <c r="E60" s="626"/>
      <c r="F60" s="626"/>
      <c r="G60" s="626"/>
    </row>
    <row r="61" spans="1:7" s="3191" customFormat="1">
      <c r="A61" s="3195" t="s">
        <v>3487</v>
      </c>
      <c r="B61" s="2677" t="s">
        <v>3482</v>
      </c>
      <c r="C61" s="2648">
        <f ca="1">C28</f>
        <v>0</v>
      </c>
      <c r="D61" s="626"/>
      <c r="E61" s="626"/>
      <c r="F61" s="626"/>
      <c r="G61" s="626"/>
    </row>
    <row r="62" spans="1:7" s="3191" customFormat="1">
      <c r="A62" s="3195" t="s">
        <v>3499</v>
      </c>
      <c r="B62" s="2677" t="s">
        <v>3481</v>
      </c>
      <c r="C62" s="2648">
        <f>C32</f>
        <v>0</v>
      </c>
      <c r="D62" s="626"/>
      <c r="E62" s="626"/>
      <c r="F62" s="626"/>
      <c r="G62" s="626"/>
    </row>
    <row r="63" spans="1:7" s="3191" customFormat="1">
      <c r="A63" s="3194" t="s">
        <v>3500</v>
      </c>
      <c r="B63" s="2677" t="s">
        <v>3480</v>
      </c>
      <c r="C63" s="2648" t="str">
        <f ca="1">C29</f>
        <v>0+0V</v>
      </c>
      <c r="D63" s="626"/>
      <c r="E63" s="626"/>
      <c r="F63" s="626"/>
      <c r="G63" s="626"/>
    </row>
    <row r="64" spans="1:7" s="3191" customFormat="1">
      <c r="A64" s="626">
        <v>4</v>
      </c>
      <c r="B64" s="2677" t="s">
        <v>3483</v>
      </c>
      <c r="C64" s="2648" t="str">
        <f ca="1">C33</f>
        <v>0+0V</v>
      </c>
      <c r="D64" s="626"/>
      <c r="E64" s="626"/>
      <c r="F64" s="626"/>
      <c r="G64" s="626"/>
    </row>
    <row r="65" spans="1:7" s="3191" customFormat="1">
      <c r="A65" s="626">
        <v>5</v>
      </c>
      <c r="B65" s="2677" t="s">
        <v>3484</v>
      </c>
      <c r="C65" s="2648">
        <f ca="1">C36</f>
        <v>0</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2"/>
      <c r="C2" s="4332"/>
      <c r="D2" s="4332"/>
      <c r="E2" s="4332"/>
    </row>
    <row r="3" spans="1:5" ht="18">
      <c r="A3" s="4333" t="str">
        <f>IF(项目基本情况!B9="房地产市场价值","估价结果一览表（市场价值不需“结果表-1”）","估价结果一览表")</f>
        <v>估价结果一览表</v>
      </c>
      <c r="B3" s="4333"/>
      <c r="C3" s="4333"/>
      <c r="D3" s="4333"/>
      <c r="E3" s="4333"/>
    </row>
    <row r="4" spans="1:5" ht="19.5" thickBot="1">
      <c r="A4" s="1035"/>
      <c r="B4" s="4331" t="s">
        <v>901</v>
      </c>
      <c r="C4" s="4331"/>
      <c r="D4" s="4331"/>
      <c r="E4" s="1035"/>
    </row>
    <row r="5" spans="1:5" ht="16.5" thickTop="1">
      <c r="B5" s="4329" t="s">
        <v>893</v>
      </c>
      <c r="C5" s="1036" t="s">
        <v>894</v>
      </c>
      <c r="D5" s="540">
        <f ca="1">结果表!H101</f>
        <v>260382</v>
      </c>
    </row>
    <row r="6" spans="1:5" ht="15.75">
      <c r="B6" s="4329"/>
      <c r="C6" s="1036" t="s">
        <v>895</v>
      </c>
      <c r="D6" s="540" t="str">
        <f ca="1">NUMBERSTRING(INT(D5*10000),2)&amp;"元整"</f>
        <v>贰拾陆亿零叁佰捌拾贰万元整</v>
      </c>
    </row>
    <row r="7" spans="1:5" ht="15.75">
      <c r="B7" s="4334"/>
      <c r="C7" s="1037" t="s">
        <v>896</v>
      </c>
      <c r="D7" s="541">
        <f ca="1">结果表!H102</f>
        <v>21705</v>
      </c>
    </row>
    <row r="8" spans="1:5" ht="15.75">
      <c r="B8" s="4335" t="str">
        <f>结果表!E103</f>
        <v>2.估价师知悉的法定优先受偿款</v>
      </c>
      <c r="C8" s="1038" t="s">
        <v>897</v>
      </c>
      <c r="D8" s="541">
        <f>结果表!H103</f>
        <v>0</v>
      </c>
    </row>
    <row r="9" spans="1:5" ht="15.75">
      <c r="B9" s="4337"/>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328" t="str">
        <f>结果表!E107</f>
        <v>3.房地产抵押价值</v>
      </c>
      <c r="C13" s="1041" t="s">
        <v>894</v>
      </c>
      <c r="D13" s="543">
        <f ca="1">结果表!H107</f>
        <v>260382</v>
      </c>
    </row>
    <row r="14" spans="1:5" ht="15.75">
      <c r="B14" s="4329"/>
      <c r="C14" s="1036" t="s">
        <v>895</v>
      </c>
      <c r="D14" s="540" t="str">
        <f ca="1">NUMBERSTRING(INT(D13*10000),2)&amp;"元整"</f>
        <v>贰拾陆亿零叁佰捌拾贰万元整</v>
      </c>
    </row>
    <row r="15" spans="1:5" ht="15">
      <c r="B15" s="4334"/>
      <c r="C15" s="1037" t="s">
        <v>905</v>
      </c>
      <c r="D15" s="548">
        <f ca="1">结果表!H108</f>
        <v>21705</v>
      </c>
    </row>
    <row r="16" spans="1:5" ht="15">
      <c r="B16" s="4335" t="str">
        <f>结果表!E109</f>
        <v>——</v>
      </c>
      <c r="C16" s="1041" t="s">
        <v>906</v>
      </c>
      <c r="D16" s="1042" t="str">
        <f>结果表!H109</f>
        <v>——</v>
      </c>
    </row>
    <row r="17" spans="1:5" ht="15.75">
      <c r="B17" s="4336"/>
      <c r="C17" s="1036" t="s">
        <v>907</v>
      </c>
      <c r="D17" s="540" t="e">
        <f>NUMBERSTRING(INT(D16*10000),2)&amp;"元整"</f>
        <v>#VALUE!</v>
      </c>
    </row>
    <row r="18" spans="1:5" ht="15">
      <c r="B18" s="4337"/>
      <c r="C18" s="1037" t="s">
        <v>896</v>
      </c>
      <c r="D18" s="548" t="str">
        <f>结果表!H110</f>
        <v>——</v>
      </c>
    </row>
    <row r="19" spans="1:5" ht="15.75">
      <c r="B19" s="4328" t="str">
        <f>结果表!E111</f>
        <v>——</v>
      </c>
      <c r="C19" s="1041" t="s">
        <v>894</v>
      </c>
      <c r="D19" s="541" t="str">
        <f>结果表!H111</f>
        <v>——</v>
      </c>
    </row>
    <row r="20" spans="1:5" ht="15.75">
      <c r="B20" s="4329"/>
      <c r="C20" s="1036" t="s">
        <v>907</v>
      </c>
      <c r="D20" s="540" t="e">
        <f>NUMBERSTRING(INT(D19*10000),2)&amp;"元整"</f>
        <v>#VALUE!</v>
      </c>
    </row>
    <row r="21" spans="1:5" ht="15.75" thickBot="1">
      <c r="B21" s="4330"/>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1"/>
      <c r="G1" s="2031"/>
      <c r="H1" s="2031"/>
      <c r="I1" s="2031"/>
      <c r="J1" s="2031"/>
      <c r="K1" s="2031"/>
      <c r="L1" s="2031"/>
      <c r="M1" s="2031"/>
      <c r="N1" s="2031"/>
      <c r="O1" s="2031"/>
      <c r="P1" s="2031"/>
    </row>
    <row r="2" spans="1:16" ht="15.75">
      <c r="A2" s="1574" t="s">
        <v>1978</v>
      </c>
      <c r="B2" s="2904">
        <f ca="1">SUMIF(B6:B13,"&lt;&gt;#ref!",B6:B13)</f>
        <v>62241</v>
      </c>
      <c r="C2" s="1574" t="s">
        <v>1979</v>
      </c>
      <c r="D2" s="1574" t="s">
        <v>1980</v>
      </c>
      <c r="E2" s="2905">
        <f ca="1">SUMIF(E6:E13,"&lt;&gt;#ref!",E6:E13)</f>
        <v>119963.53</v>
      </c>
      <c r="F2" s="2031"/>
      <c r="G2" s="2031"/>
      <c r="H2" s="2031"/>
      <c r="I2" s="2031"/>
      <c r="J2" s="2031"/>
      <c r="K2" s="2031"/>
      <c r="L2" s="2031"/>
      <c r="M2" s="2031"/>
      <c r="N2" s="2031"/>
      <c r="O2" s="2031"/>
      <c r="P2" s="2031"/>
    </row>
    <row r="3" spans="1:16" ht="15.75">
      <c r="A3" s="1574" t="s">
        <v>1981</v>
      </c>
      <c r="B3" s="2904">
        <f ca="1">ROUND(B2*10000/E2,0)</f>
        <v>5188</v>
      </c>
      <c r="C3" s="1574" t="s">
        <v>1987</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1982</v>
      </c>
      <c r="B5" s="1886" t="s">
        <v>1983</v>
      </c>
      <c r="C5" s="1575"/>
      <c r="D5" s="2031"/>
      <c r="E5" s="1887" t="s">
        <v>1984</v>
      </c>
      <c r="F5" s="2031"/>
      <c r="G5" s="2031"/>
      <c r="H5" s="2031"/>
      <c r="I5" s="2031"/>
      <c r="J5" s="2031"/>
      <c r="K5" s="2031"/>
      <c r="L5" s="2031"/>
      <c r="M5" s="2031"/>
      <c r="N5" s="2031"/>
      <c r="O5" s="2031"/>
      <c r="P5" s="2031"/>
    </row>
    <row r="6" spans="1:16" ht="15.75">
      <c r="A6" s="1885" t="s">
        <v>1985</v>
      </c>
      <c r="B6" s="2904">
        <f ca="1">SUMIF(INDIRECT("'"&amp;A6&amp;"'"&amp;"!A:A"),"总价",INDIRECT("'"&amp;A6&amp;"'"&amp;"!B:B"))</f>
        <v>62241</v>
      </c>
      <c r="C6" s="1574" t="s">
        <v>1979</v>
      </c>
      <c r="D6" s="2031"/>
      <c r="E6" s="2905">
        <f ca="1">SUMIF(INDIRECT("'"&amp;A6&amp;"'"&amp;"!C:C"),"建筑面积",INDIRECT("'"&amp;A6&amp;"'"&amp;"!D:D"))</f>
        <v>119963.53</v>
      </c>
      <c r="F6" s="2031"/>
      <c r="G6" s="2031"/>
      <c r="H6" s="2031"/>
      <c r="I6" s="2031"/>
      <c r="J6" s="2031"/>
      <c r="K6" s="2031"/>
      <c r="L6" s="2031"/>
      <c r="M6" s="2031"/>
      <c r="N6" s="2031"/>
      <c r="O6" s="2031"/>
      <c r="P6" s="2031"/>
    </row>
    <row r="7" spans="1:16" ht="15.75">
      <c r="A7" s="1885"/>
      <c r="B7" s="2904" t="e">
        <f ca="1">SUMIF(INDIRECT("'"&amp;A7&amp;"'"&amp;"!A:A"),"总价",INDIRECT("'"&amp;A7&amp;"'"&amp;"!B:B"))</f>
        <v>#REF!</v>
      </c>
      <c r="C7" s="1574" t="s">
        <v>1979</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4" t="s">
        <v>1979</v>
      </c>
      <c r="D8" s="2031"/>
      <c r="E8" s="2905" t="e">
        <f t="shared" ca="1" si="0"/>
        <v>#REF!</v>
      </c>
      <c r="F8" s="2031"/>
      <c r="G8" s="2031"/>
      <c r="H8" s="2031"/>
      <c r="I8" s="2031"/>
      <c r="J8" s="2031"/>
      <c r="K8" s="2031"/>
      <c r="L8" s="2031"/>
      <c r="M8" s="2031"/>
      <c r="N8" s="2031"/>
      <c r="O8" s="2031"/>
      <c r="P8" s="2031"/>
    </row>
    <row r="9" spans="1:16" ht="15.75">
      <c r="A9" s="1885"/>
      <c r="B9" s="2904" t="e">
        <f t="shared" ca="1" si="1"/>
        <v>#REF!</v>
      </c>
      <c r="C9" s="1574" t="s">
        <v>1979</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4" t="s">
        <v>1979</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4" t="s">
        <v>1979</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4" t="s">
        <v>1979</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4" t="s">
        <v>1979</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7" zoomScaleNormal="80" zoomScaleSheetLayoutView="100" workbookViewId="0">
      <selection activeCell="K53" sqref="K5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119963.53</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05">
        <f>C30</f>
        <v>62241</v>
      </c>
      <c r="C2" s="1441" t="s">
        <v>1840</v>
      </c>
      <c r="D2" s="68" t="s">
        <v>1841</v>
      </c>
      <c r="E2" s="2451" t="s">
        <v>660</v>
      </c>
      <c r="F2" s="68" t="s">
        <v>1842</v>
      </c>
      <c r="G2" s="3517" t="str">
        <f>IF(E2="商业",项目基本情况!B37,IF(E2="办公",项目基本情况!C37,IF(E2="住宅",项目基本情况!D37,IF(E2="工业",项目基本情况!E37,项目基本情况!F37))))</f>
        <v>七级</v>
      </c>
      <c r="H2" s="68" t="s">
        <v>1843</v>
      </c>
      <c r="I2" s="3517" t="str">
        <f>IF(E2="商业",项目基本情况!B38,IF(E2="办公",项目基本情况!C38,IF(E2="住宅",项目基本情况!D38,IF(E2="工业",项目基本情况!E38,项目基本情况!F38))))</f>
        <v>Ⅶ-房1</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37">
        <f>ROUND(SUMPRODUCT((B106:B110=R2)*(C105:N105=G2)*(C106:N110)),4)</f>
        <v>1.5019</v>
      </c>
      <c r="T2" s="4137">
        <f t="shared" ref="T2:T16" si="0">ROUND($C$5*$C$22*$C$23*$C$24*S2*$C$28,0)</f>
        <v>11042</v>
      </c>
      <c r="U2" s="4138"/>
      <c r="V2" s="4137">
        <f>ROUND(T2*U2/10000,0)</f>
        <v>0</v>
      </c>
      <c r="W2" s="804"/>
      <c r="X2" s="804"/>
      <c r="Y2" s="804"/>
      <c r="Z2" s="804"/>
      <c r="AA2" s="804"/>
      <c r="AB2" s="804"/>
      <c r="AC2" s="805"/>
      <c r="AD2" s="806"/>
      <c r="AE2" s="806"/>
      <c r="AF2" s="806"/>
      <c r="AG2" s="806"/>
      <c r="AH2" s="806"/>
      <c r="AI2" s="806"/>
      <c r="AJ2" s="807"/>
    </row>
    <row r="3" spans="1:36" ht="15.75">
      <c r="A3" s="98" t="s">
        <v>1845</v>
      </c>
      <c r="B3" s="2505">
        <f>ROUND(B2*10000/D1,0)</f>
        <v>5188</v>
      </c>
      <c r="C3" s="1441" t="s">
        <v>1846</v>
      </c>
      <c r="D3" s="68" t="s">
        <v>1847</v>
      </c>
      <c r="E3" s="2450" t="s">
        <v>2321</v>
      </c>
      <c r="F3" s="1443" t="s">
        <v>4477</v>
      </c>
      <c r="G3" s="4110">
        <f>IF(F3="宗地容积率",'数据-汇总表'!I4,IF(F3="估价对象容积率",'数据-汇总表'!I6,'数据-汇总表'!I7))</f>
        <v>3.49</v>
      </c>
      <c r="H3" s="68" t="s">
        <v>1848</v>
      </c>
      <c r="I3" s="4111"/>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1.1838</v>
      </c>
      <c r="T3" s="4137">
        <f t="shared" si="0"/>
        <v>8703</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3625</v>
      </c>
      <c r="B4" s="3375" t="e">
        <f>ROUND(B2*10000/F1,0)</f>
        <v>#DIV/0!</v>
      </c>
      <c r="C4" s="3374" t="s">
        <v>3626</v>
      </c>
      <c r="D4" s="3375" t="e">
        <f>ROUND(B2/(F1/666.67),0)</f>
        <v>#DIV/0!</v>
      </c>
      <c r="E4" s="3374" t="s">
        <v>3627</v>
      </c>
      <c r="F4" s="3372"/>
      <c r="G4" s="3372"/>
      <c r="H4" s="3372"/>
      <c r="I4" s="3372"/>
      <c r="J4" s="3373"/>
      <c r="K4" s="750"/>
      <c r="L4" s="1442" t="s">
        <v>1851</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1.0004999999999999</v>
      </c>
      <c r="T4" s="4137">
        <f t="shared" si="0"/>
        <v>7356</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02">
        <f>ROUND(IF(E2="商业",C6*C7*C17+C20,(IF(E2="住宅",C6*C13*C17+C20,IF(E2="办公",C6*C12*C17+C20,C6+C20)))),0)</f>
        <v>8440</v>
      </c>
      <c r="D5" s="2906">
        <f>ROUND(C6*C17+C20,0)</f>
        <v>8440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0.88239999999999996</v>
      </c>
      <c r="T5" s="4137">
        <f t="shared" si="0"/>
        <v>6487</v>
      </c>
      <c r="U5" s="4138"/>
      <c r="V5" s="4137">
        <f t="shared" si="1"/>
        <v>0</v>
      </c>
      <c r="W5" s="804"/>
      <c r="X5" s="804"/>
      <c r="Y5" s="804"/>
      <c r="Z5" s="804"/>
      <c r="AA5" s="804"/>
      <c r="AB5" s="804"/>
      <c r="AC5" s="1450"/>
      <c r="AD5" s="1451"/>
      <c r="AE5" s="1451"/>
      <c r="AF5" s="1451"/>
      <c r="AG5" s="1451"/>
      <c r="AH5" s="1451"/>
      <c r="AI5" s="1451"/>
      <c r="AJ5" s="1452"/>
    </row>
    <row r="6" spans="1:36" ht="15.75" thickBot="1">
      <c r="A6" s="1454" t="s">
        <v>1854</v>
      </c>
      <c r="B6" s="1455" t="s">
        <v>1855</v>
      </c>
      <c r="C6" s="4103">
        <f>SUMIF(L1:L12,G2,M1:M12)</f>
        <v>8440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0.84799999999999998</v>
      </c>
      <c r="T6" s="4137">
        <f t="shared" si="0"/>
        <v>6235</v>
      </c>
      <c r="U6" s="4138"/>
      <c r="V6" s="4137">
        <f t="shared" si="1"/>
        <v>0</v>
      </c>
      <c r="W6" s="804"/>
      <c r="X6" s="804"/>
      <c r="Y6" s="804"/>
      <c r="Z6" s="804"/>
      <c r="AA6" s="804"/>
      <c r="AB6" s="804"/>
      <c r="AC6" s="1450"/>
      <c r="AD6" s="1451"/>
      <c r="AE6" s="1451"/>
      <c r="AF6" s="1451"/>
      <c r="AG6" s="1451"/>
      <c r="AH6" s="1451"/>
      <c r="AI6" s="1451"/>
      <c r="AJ6" s="1452"/>
    </row>
    <row r="7" spans="1:36" ht="24.75" thickBot="1">
      <c r="A7" s="2380" t="s">
        <v>3119</v>
      </c>
      <c r="B7" s="1460" t="s">
        <v>1857</v>
      </c>
      <c r="C7" s="4104">
        <f>IF(C8="不临65条商业街",1,ROUND(1+(1.6*E8+1.2*E9+0.8*E10+0.4*E11)*C9,4))</f>
        <v>1</v>
      </c>
      <c r="D7" s="1461" t="s">
        <v>1858</v>
      </c>
      <c r="E7" s="4109"/>
      <c r="F7" s="1462"/>
      <c r="G7" s="1463"/>
      <c r="H7" s="1463"/>
      <c r="I7" s="1463"/>
      <c r="J7" s="1464"/>
      <c r="K7" s="935"/>
      <c r="L7" s="1442" t="s">
        <v>1859</v>
      </c>
      <c r="M7" s="552">
        <f>SUMPRODUCT((区片价!B190:B233=I2)*(区片价!C3:G3=E2)*(区片价!C190:G233))</f>
        <v>8440</v>
      </c>
      <c r="N7" s="554">
        <f>SUMPRODUCT((因素修正幅度!B190:B233=I2)*(因素修正幅度!C3:G3=E2)*(因素修正幅度!C190:G233))</f>
        <v>0.13</v>
      </c>
      <c r="O7" s="750"/>
      <c r="P7" s="750"/>
      <c r="Q7" s="750"/>
      <c r="R7" s="802">
        <v>6</v>
      </c>
      <c r="S7" s="4139"/>
      <c r="T7" s="4137">
        <f t="shared" si="0"/>
        <v>0</v>
      </c>
      <c r="U7" s="4138"/>
      <c r="V7" s="4137">
        <f t="shared" si="1"/>
        <v>0</v>
      </c>
      <c r="W7" s="910" t="s">
        <v>1860</v>
      </c>
      <c r="X7" s="4154" t="str">
        <f>G2</f>
        <v>七级</v>
      </c>
      <c r="Y7" s="803" t="s">
        <v>1861</v>
      </c>
      <c r="Z7" s="4156">
        <f>G3</f>
        <v>3.49</v>
      </c>
      <c r="AA7" s="804"/>
      <c r="AB7" s="804"/>
      <c r="AC7" s="805"/>
      <c r="AD7" s="806"/>
      <c r="AE7" s="806"/>
      <c r="AF7" s="806"/>
      <c r="AG7" s="806"/>
      <c r="AH7" s="806"/>
      <c r="AI7" s="806"/>
      <c r="AJ7" s="807"/>
    </row>
    <row r="8" spans="1:36" ht="25.5">
      <c r="A8" s="2377"/>
      <c r="B8" s="68" t="s">
        <v>1862</v>
      </c>
      <c r="C8" s="4105" t="s">
        <v>4478</v>
      </c>
      <c r="D8" s="3635" t="s">
        <v>110</v>
      </c>
      <c r="E8" s="4106"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710" t="s">
        <v>1865</v>
      </c>
      <c r="X8" s="4711"/>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77"/>
      <c r="B9" s="68" t="s">
        <v>1878</v>
      </c>
      <c r="C9" s="3516">
        <f>SUMIF(修正!C73:C140,C8,修正!E73:E140)</f>
        <v>0</v>
      </c>
      <c r="D9" s="3517" t="s">
        <v>111</v>
      </c>
      <c r="E9" s="3517"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712"/>
      <c r="X9" s="2425" t="s">
        <v>3148</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7"/>
      <c r="B10" s="68" t="s">
        <v>1881</v>
      </c>
      <c r="C10" s="3045">
        <f>SUMIF(修正!C73:C140,C8,修正!F73:F140)</f>
        <v>0</v>
      </c>
      <c r="D10" s="3517" t="s">
        <v>112</v>
      </c>
      <c r="E10" s="3517"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712"/>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79"/>
      <c r="B11" s="1469" t="s">
        <v>1884</v>
      </c>
      <c r="C11" s="4107">
        <f>C10/4</f>
        <v>0</v>
      </c>
      <c r="D11" s="4108" t="s">
        <v>113</v>
      </c>
      <c r="E11" s="4108"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39"/>
      <c r="AE11" s="2039"/>
      <c r="AF11" s="2039"/>
      <c r="AG11" s="2039"/>
      <c r="AH11" s="2039"/>
      <c r="AI11" s="2039"/>
      <c r="AJ11" s="2040"/>
    </row>
    <row r="12" spans="1:36" ht="25.5" thickBot="1">
      <c r="A12" s="2380" t="s">
        <v>3120</v>
      </c>
      <c r="B12" s="2381" t="s">
        <v>3121</v>
      </c>
      <c r="C12" s="4112"/>
      <c r="D12" s="2382" t="s">
        <v>3122</v>
      </c>
      <c r="E12" s="2383" t="s">
        <v>3123</v>
      </c>
      <c r="F12" s="2384"/>
      <c r="G12" s="2385"/>
      <c r="H12" s="2385"/>
      <c r="I12" s="2385"/>
      <c r="J12" s="2386"/>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39"/>
      <c r="AE12" s="2039"/>
      <c r="AF12" s="2039"/>
      <c r="AG12" s="2039"/>
      <c r="AH12" s="2039"/>
      <c r="AI12" s="2039"/>
      <c r="AJ12" s="2040"/>
    </row>
    <row r="13" spans="1:36" ht="15.75" thickBot="1">
      <c r="A13" s="2380" t="s">
        <v>3124</v>
      </c>
      <c r="B13" s="1473" t="s">
        <v>1887</v>
      </c>
      <c r="C13" s="4113">
        <f>ROUND(C16*D16*E16*F16*G16*H16*I16*J16,4)</f>
        <v>0</v>
      </c>
      <c r="D13" s="1474" t="s">
        <v>1888</v>
      </c>
      <c r="E13" s="1475"/>
      <c r="F13" s="1475"/>
      <c r="G13" s="1476"/>
      <c r="H13" s="1476"/>
      <c r="I13" s="1476"/>
      <c r="J13" s="1477"/>
      <c r="K13" s="750"/>
      <c r="L13" s="3"/>
      <c r="M13" s="4"/>
      <c r="N13" s="2378"/>
      <c r="O13" s="750"/>
      <c r="P13" s="750"/>
      <c r="Q13" s="750"/>
      <c r="R13" s="802">
        <v>12</v>
      </c>
      <c r="S13" s="4138"/>
      <c r="T13" s="4137">
        <f t="shared" si="0"/>
        <v>0</v>
      </c>
      <c r="U13" s="4138"/>
      <c r="V13" s="4137">
        <f t="shared" si="1"/>
        <v>0</v>
      </c>
      <c r="W13" s="804"/>
      <c r="X13" s="804"/>
      <c r="Y13" s="804"/>
      <c r="Z13" s="804"/>
      <c r="AA13" s="804"/>
      <c r="AB13" s="804"/>
      <c r="AC13" s="805"/>
      <c r="AD13" s="2039"/>
      <c r="AE13" s="2039"/>
      <c r="AF13" s="2039"/>
      <c r="AG13" s="2039"/>
      <c r="AH13" s="2039"/>
      <c r="AI13" s="2039"/>
      <c r="AJ13" s="2040"/>
    </row>
    <row r="14" spans="1:36" ht="15">
      <c r="A14" s="2376"/>
      <c r="B14" s="1478" t="s">
        <v>1890</v>
      </c>
      <c r="C14" s="1479" t="s">
        <v>1891</v>
      </c>
      <c r="D14" s="904" t="s">
        <v>1892</v>
      </c>
      <c r="E14" s="18" t="s">
        <v>1893</v>
      </c>
      <c r="F14" s="2387" t="s">
        <v>3125</v>
      </c>
      <c r="G14" s="2387" t="s">
        <v>3125</v>
      </c>
      <c r="H14" s="2387" t="s">
        <v>3125</v>
      </c>
      <c r="I14" s="2387" t="s">
        <v>3125</v>
      </c>
      <c r="J14" s="2387" t="s">
        <v>3125</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39"/>
      <c r="AE14" s="2039"/>
      <c r="AF14" s="2039"/>
      <c r="AG14" s="2039"/>
      <c r="AH14" s="2039"/>
      <c r="AI14" s="2039"/>
      <c r="AJ14" s="2040"/>
    </row>
    <row r="15" spans="1:36" ht="15">
      <c r="A15" s="2376"/>
      <c r="B15" s="1480"/>
      <c r="C15" s="1481"/>
      <c r="D15" s="1482"/>
      <c r="E15" s="1483"/>
      <c r="F15" s="1114" t="s">
        <v>3126</v>
      </c>
      <c r="G15" s="1522"/>
      <c r="H15" s="2388"/>
      <c r="I15" s="2389"/>
      <c r="J15" s="2390"/>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39"/>
      <c r="AE15" s="2039"/>
      <c r="AF15" s="2039"/>
      <c r="AG15" s="2039"/>
      <c r="AH15" s="2039"/>
      <c r="AI15" s="2039"/>
      <c r="AJ15" s="2040"/>
    </row>
    <row r="16" spans="1:36" ht="15.75" thickBot="1">
      <c r="A16" s="2376"/>
      <c r="B16" s="2391" t="s">
        <v>1894</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39"/>
      <c r="AE16" s="2039"/>
      <c r="AF16" s="2039"/>
      <c r="AG16" s="2039"/>
      <c r="AH16" s="2039"/>
      <c r="AI16" s="2039"/>
      <c r="AJ16" s="2040"/>
    </row>
    <row r="17" spans="1:37">
      <c r="A17" s="2399" t="s">
        <v>3127</v>
      </c>
      <c r="B17" s="2392" t="s">
        <v>3128</v>
      </c>
      <c r="C17" s="4116">
        <f>ROUND(IF(OR(E2="工业",E2="公共服务"),1,IF(AND(E18=0,E19=0),1,IF(AND(E18=J24,E19=G19),0.8,IF(E19=0,1+E17*(-0.2),1+E17*G17*(-0.2))))),4)</f>
        <v>1</v>
      </c>
      <c r="D17" s="2393" t="s">
        <v>3129</v>
      </c>
      <c r="E17" s="2400">
        <f>ROUND(G18/I18,2)</f>
        <v>0</v>
      </c>
      <c r="F17" s="2393" t="s">
        <v>3132</v>
      </c>
      <c r="G17" s="2400" t="e">
        <f>ROUND(E19/G19,2)</f>
        <v>#DIV/0!</v>
      </c>
      <c r="H17" s="2400"/>
      <c r="I17" s="2400"/>
      <c r="J17" s="240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2"/>
      <c r="B18" s="1847"/>
      <c r="C18" s="4117"/>
      <c r="D18" s="2394" t="s">
        <v>3130</v>
      </c>
      <c r="E18" s="2574"/>
      <c r="F18" s="2395" t="s">
        <v>3133</v>
      </c>
      <c r="G18" s="2398">
        <f>ROUND(1-(1/(POWER(1+G24,E18))),4)</f>
        <v>0</v>
      </c>
      <c r="H18" s="2395" t="s">
        <v>3135</v>
      </c>
      <c r="I18" s="2398">
        <f>ROUND(1-(1/(POWER(1+G24,J24))),4)</f>
        <v>0.88249999999999995</v>
      </c>
      <c r="J18" s="240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5" thickBot="1">
      <c r="A19" s="2404"/>
      <c r="B19" s="2405"/>
      <c r="C19" s="4118"/>
      <c r="D19" s="2406" t="s">
        <v>3131</v>
      </c>
      <c r="E19" s="2907"/>
      <c r="F19" s="2407" t="s">
        <v>3134</v>
      </c>
      <c r="G19" s="2907"/>
      <c r="H19" s="2406"/>
      <c r="I19" s="2406"/>
      <c r="J19" s="240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25">
      <c r="A20" s="4713" t="s">
        <v>3136</v>
      </c>
      <c r="B20" s="66" t="s">
        <v>1899</v>
      </c>
      <c r="C20" s="4119">
        <f>ROUND(IF(F21="与级别开发程度一致",0,(G21-E21)/C21),0)</f>
        <v>0</v>
      </c>
      <c r="D20" s="2409" t="s">
        <v>1903</v>
      </c>
      <c r="E20" s="2410"/>
      <c r="F20" s="4719" t="s">
        <v>1900</v>
      </c>
      <c r="G20" s="4720"/>
      <c r="H20" s="2396"/>
      <c r="I20" s="2396"/>
      <c r="J20" s="2397"/>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26.25" thickBot="1">
      <c r="A21" s="4714"/>
      <c r="B21" s="1589" t="s">
        <v>1902</v>
      </c>
      <c r="C21" s="4120">
        <f>IF(E3="M4科研用地",SUMPRODUCT((修正!A2:A7=E3)*(修正!B1:M1=G2)*(修正!B2:M7)),SUMPRODUCT((修正!A2:A7=E2)*(修正!B1:M1=G2)*(修正!B2:M7)))</f>
        <v>2.5</v>
      </c>
      <c r="D21" s="82" t="str">
        <f>IF(OR(G2="八级",G2="九级",G2="十级",G2="十一级",G2="十二级"),"五通一平","七通一平")</f>
        <v>七通一平</v>
      </c>
      <c r="E21" s="4140">
        <f>SUMPRODUCT((修正!B1:M1=G2)*(修正!B17:M17))</f>
        <v>315</v>
      </c>
      <c r="F21" s="1583" t="s">
        <v>4479</v>
      </c>
      <c r="G21" s="4147">
        <f>SUM(H21:O21)</f>
        <v>0</v>
      </c>
      <c r="H21" s="4148">
        <f>SUMPRODUCT((七通一平=H20)*(修正!B1:M1=G2)*(修正!B8:M16))</f>
        <v>0</v>
      </c>
      <c r="I21" s="4148">
        <f>SUMPRODUCT((七通一平=I20)*(修正!B1:M1=G2)*(修正!B8:M16))</f>
        <v>0</v>
      </c>
      <c r="J21" s="4149">
        <f>SUMPRODUCT((七通一平=J20)*(修正!B1:M1=G2)*(修正!B8:M16))</f>
        <v>0</v>
      </c>
      <c r="K21" s="4148">
        <f>SUMPRODUCT((七通一平=K20)*(修正!B1:M1=G2)*(修正!B8:M16))</f>
        <v>0</v>
      </c>
      <c r="L21" s="4148">
        <f>SUMPRODUCT((七通一平=L20)*(修正!B1:M1=G2)*(修正!B8:M16))</f>
        <v>0</v>
      </c>
      <c r="M21" s="4148">
        <f>SUMPRODUCT((七通一平=M20)*(修正!B1:M1=G2)*(修正!B8:M16))</f>
        <v>0</v>
      </c>
      <c r="N21" s="4148">
        <f>SUMPRODUCT((七通一平=N20)*(修正!B1:M1=G2)*(修正!B8:M16))</f>
        <v>0</v>
      </c>
      <c r="O21" s="4150">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5.75" thickBot="1">
      <c r="A22" s="1584" t="s">
        <v>357</v>
      </c>
      <c r="B22" s="1585" t="s">
        <v>1905</v>
      </c>
      <c r="C22" s="4121">
        <f>SUMIF(修正!C20:C53,E3,修正!E20:E53)</f>
        <v>1</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7" t="s">
        <v>358</v>
      </c>
      <c r="B23" s="1488" t="s">
        <v>1906</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0.96809999999999996</v>
      </c>
      <c r="D23" s="1491" t="s">
        <v>1907</v>
      </c>
      <c r="E23" s="4142">
        <v>44197</v>
      </c>
      <c r="F23" s="1491" t="s">
        <v>1908</v>
      </c>
      <c r="G23" s="4143">
        <f>'数据-取费表'!B2</f>
        <v>46126</v>
      </c>
      <c r="H23" s="2411" t="s">
        <v>4480</v>
      </c>
      <c r="I23" s="2412" t="str">
        <f>IF(H23="季度增幅（自定义）",SUMIF(N25:N28,E2,O25:O28),"")</f>
        <v/>
      </c>
      <c r="J23" s="2465" t="s">
        <v>4481</v>
      </c>
      <c r="K23" s="755"/>
      <c r="L23" s="1492" t="s">
        <v>1909</v>
      </c>
      <c r="M23" s="887">
        <f>ROUND(SUMIF(地价!B2:G2,E2,地价!B16:G16),0)</f>
        <v>350</v>
      </c>
      <c r="N23" s="1493" t="s">
        <v>1910</v>
      </c>
      <c r="O23" s="508">
        <f>ROUNDDOWN(DATEDIF(E23,G23,"M")/3,0)</f>
        <v>21</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23">
        <f>ROUND(POWER(1+G24,J24-I24)*(POWER(1+G24,I24)-1)/(POWER(1+G24,J24)-1),4)</f>
        <v>0.84599999999999997</v>
      </c>
      <c r="D24" s="1497" t="s">
        <v>1912</v>
      </c>
      <c r="E24" s="4141">
        <f>存贷款利率!E28/100</f>
        <v>4.3499999999999997E-2</v>
      </c>
      <c r="F24" s="1497" t="s">
        <v>1904</v>
      </c>
      <c r="G24" s="4144">
        <f>SUMIF(M30:Q30,E2,M33:Q33)</f>
        <v>5.5E-2</v>
      </c>
      <c r="H24" s="1497" t="s">
        <v>1913</v>
      </c>
      <c r="I24" s="4145">
        <f>SUMIF('数据-取费表'!C6:C15,E2,'数据-取费表'!F6:F15)/COUNTIF('数据-取费表'!C6:C15,E2)</f>
        <v>25.64</v>
      </c>
      <c r="J24" s="4146">
        <f>IF(E2="住宅",70,IF(E2="商业",40,50))</f>
        <v>40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2" t="s">
        <v>360</v>
      </c>
      <c r="B25" s="1503" t="s">
        <v>4482</v>
      </c>
      <c r="C25" s="4124">
        <f>IF(B25="容积率修正",IF(G3&lt;10,D26,J26),C27)</f>
        <v>0.95240000000000002</v>
      </c>
      <c r="D25" s="1504"/>
      <c r="E25" s="1504"/>
      <c r="F25" s="1504"/>
      <c r="G25" s="1504"/>
      <c r="H25" s="1504"/>
      <c r="I25" s="1504"/>
      <c r="J25" s="1505"/>
      <c r="K25" s="755"/>
      <c r="L25" s="2038"/>
      <c r="M25" s="2038"/>
      <c r="N25" s="1506" t="s">
        <v>1918</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3137</v>
      </c>
      <c r="D26" s="4135">
        <f>IF(E26=G26,F26,IF(G3&lt;10,ROUND(F26+(H26-F26)*(G3-E26)/(G26-E26),4),"——"))</f>
        <v>0.95240000000000002</v>
      </c>
      <c r="E26" s="4135">
        <f>ROUNDDOWN(G3,1)</f>
        <v>3.4</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4135">
        <f>ROUNDUP(G3,1)</f>
        <v>3.5</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507" t="s">
        <v>3138</v>
      </c>
      <c r="J26" s="4136" t="str">
        <f>IF(G3&gt;=10,D115,"——")</f>
        <v>——</v>
      </c>
      <c r="K26" s="755"/>
      <c r="L26" s="2038"/>
      <c r="M26" s="2038"/>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25">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26">
        <f>SUMIF(A47:A101,E2,B47:B101)</f>
        <v>1.0636000000000001</v>
      </c>
      <c r="D28" s="1489"/>
      <c r="E28" s="1514"/>
      <c r="F28" s="1514"/>
      <c r="G28" s="1514"/>
      <c r="H28" s="1514"/>
      <c r="I28" s="1514"/>
      <c r="J28" s="1515"/>
      <c r="K28" s="755"/>
      <c r="L28" s="2038"/>
      <c r="M28" s="2038"/>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5" t="s">
        <v>1928</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27">
        <f>IF(B25="容积率修正",E33+SUM(I37:I42),SUM(V2:V16)+SUM(I37:I42))</f>
        <v>62241</v>
      </c>
      <c r="D30" s="3826" t="s">
        <v>3783</v>
      </c>
      <c r="E30" s="1437"/>
      <c r="F30" s="1520"/>
      <c r="G30" s="1437"/>
      <c r="H30" s="1437"/>
      <c r="I30" s="1437"/>
      <c r="J30" s="1521"/>
      <c r="K30" s="750"/>
      <c r="L30" s="2417" t="s">
        <v>1841</v>
      </c>
      <c r="M30" s="2418" t="s">
        <v>1895</v>
      </c>
      <c r="N30" s="2418" t="s">
        <v>1896</v>
      </c>
      <c r="O30" s="2418" t="s">
        <v>1897</v>
      </c>
      <c r="P30" s="2418" t="s">
        <v>1898</v>
      </c>
      <c r="Q30" s="2421" t="s">
        <v>3142</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28">
        <f>E34+SUM(I37:I42)</f>
        <v>2338</v>
      </c>
      <c r="D31" s="1523"/>
      <c r="E31" s="1524"/>
      <c r="F31" s="1525"/>
      <c r="G31" s="1524"/>
      <c r="H31" s="1524"/>
      <c r="I31" s="1524"/>
      <c r="J31" s="1526"/>
      <c r="K31" s="750"/>
      <c r="L31" s="2419" t="s">
        <v>1901</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20" t="s">
        <v>1904</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27">
        <f>ROUND(C5*C22*C23*C24*C25*C28,0)</f>
        <v>7002</v>
      </c>
      <c r="D33" s="4129">
        <f>'数据-基础表'!I13</f>
        <v>85551.93</v>
      </c>
      <c r="E33" s="2592">
        <f>ROUND(C33*D33/10000,0)</f>
        <v>59903</v>
      </c>
      <c r="F33" s="2413" t="s">
        <v>3140</v>
      </c>
      <c r="G33" s="1534"/>
      <c r="H33" s="1534"/>
      <c r="I33" s="1534"/>
      <c r="J33" s="1535"/>
      <c r="K33" s="750"/>
      <c r="L33" s="2416" t="s">
        <v>3143</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30">
        <f>ROUND(IF(E2="工业",C33*M42,IF(B25="楼层修正",SUM(V2:V16)*M41*10000/D34,C33*M41)),0)</f>
        <v>1751</v>
      </c>
      <c r="D34" s="4131"/>
      <c r="E34" s="2592">
        <f>ROUND(IF(B25="楼层修正",SUM(V2:V16)*M40,C34*D34/10000),0)</f>
        <v>0</v>
      </c>
      <c r="F34" s="1538" t="s">
        <v>1937</v>
      </c>
      <c r="G34" s="1539"/>
      <c r="H34" s="1539"/>
      <c r="I34" s="1539"/>
      <c r="J34" s="1540"/>
      <c r="K34" s="750"/>
      <c r="L34" s="2416" t="s">
        <v>3144</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14" t="s">
        <v>3141</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3145</v>
      </c>
      <c r="L36" s="2466">
        <f ca="1">'数据-取费表'!B41</f>
        <v>3.2500000000000001E-2</v>
      </c>
      <c r="M36" s="2910">
        <f ca="1">ROUND($L$36*(1+M31),3)</f>
        <v>4.1000000000000002E-2</v>
      </c>
      <c r="N36" s="2910">
        <f ca="1">ROUND($L$36*(1+N31),3)</f>
        <v>3.9E-2</v>
      </c>
      <c r="O36" s="2910">
        <f ca="1">ROUND($L$36*(1+O31),3)</f>
        <v>3.6999999999999998E-2</v>
      </c>
      <c r="P36" s="2910">
        <f ca="1">ROUND($L$36*(1+P31),3)</f>
        <v>3.5999999999999997E-2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717"/>
      <c r="B37" s="4157" t="s">
        <v>1941</v>
      </c>
      <c r="C37" s="4127">
        <f>ROUND(D5*C22*C23*C24*C28*F37,0)</f>
        <v>4411</v>
      </c>
      <c r="D37" s="4129">
        <f>面积指标!G37</f>
        <v>15467.050000000001</v>
      </c>
      <c r="E37" s="3070">
        <f>ROUND(C37*D37/10000,0)</f>
        <v>6823</v>
      </c>
      <c r="F37" s="3045">
        <f>SUMIF(修正!A59:A70,G2,修正!B59:B70)</f>
        <v>0.6</v>
      </c>
      <c r="G37" s="3070">
        <f>ROUND(IF(E2="工业",C37*$M$42,C37*$M$41),0)</f>
        <v>1103</v>
      </c>
      <c r="H37" s="3045">
        <f>D37</f>
        <v>15467.050000000001</v>
      </c>
      <c r="I37" s="3070">
        <f>ROUND(G37*H37/10000,0)</f>
        <v>1706</v>
      </c>
      <c r="J37" s="2174"/>
      <c r="K37" s="2423" t="s">
        <v>3146</v>
      </c>
      <c r="L37" s="2911">
        <f ca="1">L36+K38</f>
        <v>3.7499999999999999E-2</v>
      </c>
      <c r="M37" s="2910">
        <f ca="1">ROUND($L$37*(1+M31),3)</f>
        <v>4.7E-2</v>
      </c>
      <c r="N37" s="2910">
        <f t="shared" ref="N37:Q37" ca="1" si="3">ROUND($L$37*(1+N31),3)</f>
        <v>4.4999999999999998E-2</v>
      </c>
      <c r="O37" s="2910">
        <f t="shared" ca="1" si="3"/>
        <v>4.2999999999999997E-2</v>
      </c>
      <c r="P37" s="2910">
        <f t="shared" ca="1" si="3"/>
        <v>4.1000000000000002E-2</v>
      </c>
      <c r="Q37" s="2910">
        <f t="shared" ca="1" si="3"/>
        <v>4.2999999999999997E-2</v>
      </c>
      <c r="R37" s="750"/>
      <c r="S37" s="750"/>
      <c r="T37" s="750"/>
      <c r="U37" s="750"/>
      <c r="V37" s="750"/>
      <c r="W37" s="750"/>
      <c r="X37" s="750"/>
      <c r="Y37" s="750"/>
      <c r="Z37" s="751"/>
      <c r="AA37" s="751"/>
      <c r="AB37" s="751"/>
      <c r="AC37" s="751"/>
      <c r="AD37" s="751"/>
      <c r="AE37" s="751"/>
      <c r="AF37" s="751"/>
      <c r="AG37" s="1570"/>
      <c r="AH37" s="1570"/>
      <c r="AI37" s="1570"/>
      <c r="AJ37" s="1570"/>
    </row>
    <row r="38" spans="1:37">
      <c r="A38" s="4718"/>
      <c r="B38" s="3515" t="s">
        <v>1942</v>
      </c>
      <c r="C38" s="4127">
        <f>ROUND(D5*C22*C23*C24*C28*F38,0)</f>
        <v>2206</v>
      </c>
      <c r="D38" s="4129">
        <f>面积指标!H37</f>
        <v>2669.4900000000071</v>
      </c>
      <c r="E38" s="3070">
        <f t="shared" ref="E38:E42" si="4">ROUND(C38*D38/10000,0)</f>
        <v>589</v>
      </c>
      <c r="F38" s="3045">
        <f>SUMIF(修正!A59:A70,G2,修正!C59:C70)</f>
        <v>0.3</v>
      </c>
      <c r="G38" s="3070">
        <f>ROUND(IF(E2="工业",C38*$M$42,C38*$M$41),0)</f>
        <v>552</v>
      </c>
      <c r="H38" s="3045">
        <f t="shared" ref="H38:H42" si="5">D38</f>
        <v>2669.4900000000071</v>
      </c>
      <c r="I38" s="3070">
        <f t="shared" ref="I38:I42" si="6">ROUND(G38*H38/10000,0)</f>
        <v>147</v>
      </c>
      <c r="J38" s="217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718"/>
      <c r="B39" s="3515" t="s">
        <v>3139</v>
      </c>
      <c r="C39" s="4127">
        <f>ROUND(D5*C22*C23*C24*C28*F39,0)</f>
        <v>1838</v>
      </c>
      <c r="D39" s="4129"/>
      <c r="E39" s="3070">
        <f t="shared" si="4"/>
        <v>0</v>
      </c>
      <c r="F39" s="3045">
        <f>SUMIF(修正!A59:A70,G2,修正!D59:D70)</f>
        <v>0.25</v>
      </c>
      <c r="G39" s="3070">
        <f>ROUND(IF(E2="工业",C39*$M$42,C39*$M$41),0)</f>
        <v>460</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1943</v>
      </c>
      <c r="C40" s="3070">
        <f>ROUND(D5*C22*C23*C24*C28*F40,0)</f>
        <v>1838</v>
      </c>
      <c r="D40" s="4129"/>
      <c r="E40" s="3070">
        <f t="shared" si="4"/>
        <v>0</v>
      </c>
      <c r="F40" s="4132">
        <f>SUMIF(修正!A59:A70,G2,修正!E59:E70)</f>
        <v>0.25</v>
      </c>
      <c r="G40" s="3070">
        <f>ROUND(IF(E2="工业",C40*$M$42,C40*$M$41),0)</f>
        <v>460</v>
      </c>
      <c r="H40" s="3045">
        <f t="shared" si="5"/>
        <v>0</v>
      </c>
      <c r="I40" s="3070">
        <f t="shared" si="6"/>
        <v>0</v>
      </c>
      <c r="J40" s="665"/>
      <c r="L40" s="1548" t="s">
        <v>1944</v>
      </c>
      <c r="M40" s="1549"/>
      <c r="Z40" s="751"/>
      <c r="AA40" s="751"/>
      <c r="AB40" s="751"/>
      <c r="AC40" s="751"/>
      <c r="AD40" s="751"/>
      <c r="AE40" s="751"/>
      <c r="AF40" s="751"/>
      <c r="AG40" s="751"/>
      <c r="AH40" s="751"/>
      <c r="AI40" s="751"/>
      <c r="AJ40" s="751"/>
    </row>
    <row r="41" spans="1:37" s="750" customFormat="1">
      <c r="A41" s="1547"/>
      <c r="B41" s="3515" t="s">
        <v>1945</v>
      </c>
      <c r="C41" s="3070">
        <f>ROUND(D5*C22*C23*C44*C28*F41,0)</f>
        <v>1987</v>
      </c>
      <c r="D41" s="4129"/>
      <c r="E41" s="3070">
        <f t="shared" si="4"/>
        <v>0</v>
      </c>
      <c r="F41" s="4132">
        <f>SUMIF(修正!A59:A70,G2,修正!F59:F70)</f>
        <v>0.25</v>
      </c>
      <c r="G41" s="3070">
        <f>ROUND(IF(E2="工业",C41*$M$42,C41*$M$41),0)</f>
        <v>497</v>
      </c>
      <c r="H41" s="3045">
        <f t="shared" si="5"/>
        <v>0</v>
      </c>
      <c r="I41" s="3070">
        <f t="shared" si="6"/>
        <v>0</v>
      </c>
      <c r="J41" s="665"/>
      <c r="L41" s="2424" t="s">
        <v>3147</v>
      </c>
      <c r="M41" s="1550">
        <v>0.25</v>
      </c>
      <c r="Z41" s="751"/>
      <c r="AA41" s="751"/>
      <c r="AB41" s="751"/>
      <c r="AC41" s="751"/>
      <c r="AD41" s="751"/>
      <c r="AE41" s="751"/>
      <c r="AF41" s="751"/>
      <c r="AG41" s="751"/>
      <c r="AH41" s="751"/>
      <c r="AI41" s="751"/>
      <c r="AJ41" s="751"/>
    </row>
    <row r="42" spans="1:37" s="750" customFormat="1" ht="13.5" thickBot="1">
      <c r="A42" s="1536"/>
      <c r="B42" s="4158" t="s">
        <v>1946</v>
      </c>
      <c r="C42" s="4130">
        <f>ROUND(D5*C22*C23*C44*C28*F42,0)</f>
        <v>1192</v>
      </c>
      <c r="D42" s="4131">
        <f>'数据-基础表'!M13</f>
        <v>16275.06</v>
      </c>
      <c r="E42" s="4130">
        <f t="shared" si="4"/>
        <v>1940</v>
      </c>
      <c r="F42" s="4133">
        <f>SUMIF(修正!A59:A70,G2,修正!G59:G70)</f>
        <v>0.15</v>
      </c>
      <c r="G42" s="4130">
        <f>ROUND(IF(E2="工业",C42*$M$42,C42*$M$41),0)</f>
        <v>298</v>
      </c>
      <c r="H42" s="4134">
        <f t="shared" si="5"/>
        <v>16275.06</v>
      </c>
      <c r="I42" s="4130">
        <f t="shared" si="6"/>
        <v>485</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2024</v>
      </c>
      <c r="C44" s="224">
        <f>ROUND(POWER(1+E44,H44-G44)*(POWER(1+E44,G44)-1)/(POWER(1+E44,H44)-1),4)</f>
        <v>0.91449999999999998</v>
      </c>
      <c r="D44" s="69" t="s">
        <v>1904</v>
      </c>
      <c r="E44" s="1581">
        <f>G24</f>
        <v>5.5E-2</v>
      </c>
      <c r="F44" s="69" t="s">
        <v>1913</v>
      </c>
      <c r="G44" s="78">
        <f>项目基本情况!F15</f>
        <v>35.64</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59">
        <f>1+E50</f>
        <v>1.0636000000000001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63.75">
      <c r="A50" s="1560" t="s">
        <v>1957</v>
      </c>
      <c r="B50" s="1563" t="str">
        <f>估价对象房地状况!C4</f>
        <v>估价对象周边3公里范围有华冠购物中心、国泰良辰百货等购物中心及社区配套商业用房，人流量较大，集中程度较好，商业繁华度较好。</v>
      </c>
      <c r="C50" s="1482" t="s">
        <v>3604</v>
      </c>
      <c r="D50" s="4160">
        <f t="shared" ref="D50:D58" si="7">SUMIF($J$49:$N$49,C50,J50:N50)</f>
        <v>1.95E-2</v>
      </c>
      <c r="E50" s="4161">
        <f>ROUND(SUM(D50:D58),4)</f>
        <v>6.3600000000000004E-2</v>
      </c>
      <c r="F50" s="4169">
        <f>IF(E2="商业",SUMIF(L1:L12,G2,N1:N12),"——")</f>
        <v>0.13</v>
      </c>
      <c r="G50" s="4164">
        <f>H50</f>
        <v>1.95E-2</v>
      </c>
      <c r="H50" s="4165">
        <f t="shared" ref="H50:H58" si="8">IFERROR(ROUNDDOWN($F$50*I50/2,4),"——")</f>
        <v>1.95E-2</v>
      </c>
      <c r="I50" s="4166">
        <v>0.3</v>
      </c>
      <c r="J50" s="4167">
        <f t="shared" ref="J50:J58" si="9">K50+$G50</f>
        <v>3.9E-2</v>
      </c>
      <c r="K50" s="4167">
        <f t="shared" ref="K50:K58" si="10">$L50+$G50</f>
        <v>1.95E-2</v>
      </c>
      <c r="L50" s="4167">
        <v>0</v>
      </c>
      <c r="M50" s="4167">
        <f t="shared" ref="M50:N58" si="11">L50-$G50</f>
        <v>-1.95E-2</v>
      </c>
      <c r="N50" s="4167">
        <f t="shared" si="11"/>
        <v>-3.9E-2</v>
      </c>
      <c r="AA50" s="751"/>
      <c r="AB50" s="751"/>
      <c r="AC50" s="751"/>
      <c r="AD50" s="751"/>
      <c r="AE50" s="751"/>
      <c r="AF50" s="751"/>
      <c r="AG50" s="751"/>
      <c r="AH50" s="751"/>
      <c r="AI50" s="751"/>
      <c r="AJ50" s="751"/>
      <c r="AK50" s="751"/>
    </row>
    <row r="51" spans="1:37" s="750" customFormat="1" ht="89.25">
      <c r="A51" s="1560" t="s">
        <v>1958</v>
      </c>
      <c r="B51" s="905" t="str">
        <f>估价对象房地状况!C18</f>
        <v>估价对象周边有多条城市主次干道通过，路网密集程度较好，道路通达程度较好。周边有952路、953路、F33路、F37路、F85路等多条公交线路，综合评价交通便捷度较好。</v>
      </c>
      <c r="C51" s="1482" t="s">
        <v>3604</v>
      </c>
      <c r="D51" s="4160">
        <f t="shared" si="7"/>
        <v>1.43E-2</v>
      </c>
      <c r="E51" s="4162"/>
      <c r="F51" s="1301"/>
      <c r="G51" s="4164">
        <f t="shared" ref="G51:G58" si="12">H51</f>
        <v>1.43E-2</v>
      </c>
      <c r="H51" s="4165">
        <f t="shared" si="8"/>
        <v>1.43E-2</v>
      </c>
      <c r="I51" s="4166">
        <v>0.22</v>
      </c>
      <c r="J51" s="4167">
        <f t="shared" si="9"/>
        <v>2.86E-2</v>
      </c>
      <c r="K51" s="4167">
        <f t="shared" si="10"/>
        <v>1.43E-2</v>
      </c>
      <c r="L51" s="4167">
        <v>0</v>
      </c>
      <c r="M51" s="4167">
        <f t="shared" si="11"/>
        <v>-1.43E-2</v>
      </c>
      <c r="N51" s="4167">
        <f t="shared" si="11"/>
        <v>-2.86E-2</v>
      </c>
      <c r="AA51" s="751"/>
      <c r="AB51" s="751"/>
      <c r="AC51" s="751"/>
      <c r="AD51" s="751"/>
      <c r="AE51" s="751"/>
      <c r="AF51" s="751"/>
      <c r="AG51" s="751"/>
      <c r="AH51" s="751"/>
      <c r="AI51" s="751"/>
      <c r="AJ51" s="751"/>
      <c r="AK51" s="751"/>
    </row>
    <row r="52" spans="1:37" s="750" customFormat="1" ht="36">
      <c r="A52" s="2426" t="s">
        <v>3149</v>
      </c>
      <c r="B52" s="905">
        <f>估价对象房地状况!C19</f>
        <v>0</v>
      </c>
      <c r="C52" s="1482" t="s">
        <v>3604</v>
      </c>
      <c r="D52" s="4160">
        <f t="shared" si="7"/>
        <v>7.7999999999999996E-3</v>
      </c>
      <c r="E52" s="4162"/>
      <c r="F52" s="1301"/>
      <c r="G52" s="4164">
        <f t="shared" si="12"/>
        <v>7.7999999999999996E-3</v>
      </c>
      <c r="H52" s="4165">
        <f t="shared" si="8"/>
        <v>7.7999999999999996E-3</v>
      </c>
      <c r="I52" s="4166">
        <v>0.12</v>
      </c>
      <c r="J52" s="4167">
        <f t="shared" si="9"/>
        <v>1.5599999999999999E-2</v>
      </c>
      <c r="K52" s="4167">
        <f t="shared" si="10"/>
        <v>7.7999999999999996E-3</v>
      </c>
      <c r="L52" s="4167">
        <v>0</v>
      </c>
      <c r="M52" s="4167">
        <f t="shared" si="11"/>
        <v>-7.7999999999999996E-3</v>
      </c>
      <c r="N52" s="4167">
        <f t="shared" si="11"/>
        <v>-1.5599999999999999E-2</v>
      </c>
      <c r="AA52" s="751"/>
      <c r="AB52" s="751"/>
      <c r="AC52" s="751"/>
      <c r="AD52" s="751"/>
      <c r="AE52" s="751"/>
      <c r="AF52" s="751"/>
      <c r="AG52" s="751"/>
      <c r="AH52" s="751"/>
      <c r="AI52" s="751"/>
      <c r="AJ52" s="751"/>
      <c r="AK52" s="751"/>
    </row>
    <row r="53" spans="1:37" s="750" customFormat="1" ht="36.75">
      <c r="A53" s="1560" t="s">
        <v>1959</v>
      </c>
      <c r="B53" s="1564" t="s">
        <v>1960</v>
      </c>
      <c r="C53" s="1482" t="s">
        <v>3604</v>
      </c>
      <c r="D53" s="4160">
        <f t="shared" si="7"/>
        <v>3.2000000000000002E-3</v>
      </c>
      <c r="E53" s="4162"/>
      <c r="F53" s="1301"/>
      <c r="G53" s="4164">
        <f t="shared" si="12"/>
        <v>3.2000000000000002E-3</v>
      </c>
      <c r="H53" s="4165">
        <f t="shared" si="8"/>
        <v>3.2000000000000002E-3</v>
      </c>
      <c r="I53" s="4166">
        <v>0.05</v>
      </c>
      <c r="J53" s="4167">
        <f t="shared" si="9"/>
        <v>6.4000000000000003E-3</v>
      </c>
      <c r="K53" s="4167">
        <f t="shared" si="10"/>
        <v>3.2000000000000002E-3</v>
      </c>
      <c r="L53" s="4167">
        <v>0</v>
      </c>
      <c r="M53" s="4167">
        <f t="shared" si="11"/>
        <v>-3.2000000000000002E-3</v>
      </c>
      <c r="N53" s="4167">
        <f t="shared" si="11"/>
        <v>-6.4000000000000003E-3</v>
      </c>
      <c r="AA53" s="751"/>
      <c r="AB53" s="751"/>
      <c r="AC53" s="751"/>
      <c r="AD53" s="751"/>
      <c r="AE53" s="751"/>
      <c r="AF53" s="751"/>
      <c r="AG53" s="751"/>
      <c r="AH53" s="751"/>
      <c r="AI53" s="751"/>
      <c r="AJ53" s="751"/>
      <c r="AK53" s="751"/>
    </row>
    <row r="54" spans="1:37" s="750" customFormat="1" ht="24">
      <c r="A54" s="1560" t="s">
        <v>1961</v>
      </c>
      <c r="B54" s="905">
        <f>估价对象房地状况!C24</f>
        <v>0</v>
      </c>
      <c r="C54" s="1482" t="s">
        <v>3604</v>
      </c>
      <c r="D54" s="4160">
        <f t="shared" si="7"/>
        <v>5.1999999999999998E-3</v>
      </c>
      <c r="E54" s="4162"/>
      <c r="F54" s="1301"/>
      <c r="G54" s="4164">
        <f t="shared" si="12"/>
        <v>5.1999999999999998E-3</v>
      </c>
      <c r="H54" s="4165">
        <f t="shared" si="8"/>
        <v>5.1999999999999998E-3</v>
      </c>
      <c r="I54" s="4166">
        <v>0.08</v>
      </c>
      <c r="J54" s="4167">
        <f t="shared" si="9"/>
        <v>1.04E-2</v>
      </c>
      <c r="K54" s="4167">
        <f t="shared" si="10"/>
        <v>5.1999999999999998E-3</v>
      </c>
      <c r="L54" s="4167">
        <v>0</v>
      </c>
      <c r="M54" s="4167">
        <f t="shared" si="11"/>
        <v>-5.1999999999999998E-3</v>
      </c>
      <c r="N54" s="4167">
        <f t="shared" si="11"/>
        <v>-1.04E-2</v>
      </c>
      <c r="AA54" s="751"/>
      <c r="AB54" s="751"/>
      <c r="AC54" s="751"/>
      <c r="AD54" s="751"/>
      <c r="AE54" s="751"/>
      <c r="AF54" s="751"/>
      <c r="AG54" s="751"/>
      <c r="AH54" s="751"/>
      <c r="AI54" s="751"/>
      <c r="AJ54" s="751"/>
      <c r="AK54" s="751"/>
    </row>
    <row r="55" spans="1:37" s="750" customFormat="1" ht="24">
      <c r="A55" s="1560" t="s">
        <v>1962</v>
      </c>
      <c r="B55" s="1565" t="s">
        <v>1963</v>
      </c>
      <c r="C55" s="1482" t="s">
        <v>3604</v>
      </c>
      <c r="D55" s="4160">
        <f t="shared" si="7"/>
        <v>3.2000000000000002E-3</v>
      </c>
      <c r="E55" s="4162"/>
      <c r="F55" s="1301"/>
      <c r="G55" s="4164">
        <f t="shared" si="12"/>
        <v>3.2000000000000002E-3</v>
      </c>
      <c r="H55" s="4165">
        <f t="shared" si="8"/>
        <v>3.2000000000000002E-3</v>
      </c>
      <c r="I55" s="4166">
        <v>0.05</v>
      </c>
      <c r="J55" s="4167">
        <f t="shared" si="9"/>
        <v>6.4000000000000003E-3</v>
      </c>
      <c r="K55" s="4167">
        <f t="shared" si="10"/>
        <v>3.2000000000000002E-3</v>
      </c>
      <c r="L55" s="4167">
        <v>0</v>
      </c>
      <c r="M55" s="4167">
        <f t="shared" si="11"/>
        <v>-3.2000000000000002E-3</v>
      </c>
      <c r="N55" s="4167">
        <f t="shared" si="11"/>
        <v>-6.4000000000000003E-3</v>
      </c>
      <c r="AA55" s="751"/>
      <c r="AB55" s="751"/>
      <c r="AC55" s="751"/>
      <c r="AD55" s="751"/>
      <c r="AE55" s="751"/>
      <c r="AF55" s="751"/>
      <c r="AG55" s="751"/>
      <c r="AH55" s="751"/>
      <c r="AI55" s="751"/>
      <c r="AJ55" s="751"/>
      <c r="AK55" s="751"/>
    </row>
    <row r="56" spans="1:37" s="750" customFormat="1" ht="127.5">
      <c r="A56" s="1566" t="s">
        <v>1964</v>
      </c>
      <c r="B5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56" s="1482" t="s">
        <v>3603</v>
      </c>
      <c r="D56" s="4160">
        <f t="shared" si="7"/>
        <v>0</v>
      </c>
      <c r="E56" s="4162"/>
      <c r="F56" s="1301"/>
      <c r="G56" s="4164">
        <f t="shared" si="12"/>
        <v>3.2000000000000002E-3</v>
      </c>
      <c r="H56" s="4165">
        <f t="shared" si="8"/>
        <v>3.2000000000000002E-3</v>
      </c>
      <c r="I56" s="4166">
        <v>0.05</v>
      </c>
      <c r="J56" s="4167">
        <f t="shared" si="9"/>
        <v>6.4000000000000003E-3</v>
      </c>
      <c r="K56" s="4167">
        <f t="shared" si="10"/>
        <v>3.2000000000000002E-3</v>
      </c>
      <c r="L56" s="4167">
        <v>0</v>
      </c>
      <c r="M56" s="4167">
        <f t="shared" si="11"/>
        <v>-3.2000000000000002E-3</v>
      </c>
      <c r="N56" s="4167">
        <f t="shared" si="11"/>
        <v>-6.4000000000000003E-3</v>
      </c>
      <c r="AA56" s="751"/>
      <c r="AB56" s="751"/>
      <c r="AC56" s="751"/>
      <c r="AD56" s="751"/>
      <c r="AE56" s="751"/>
      <c r="AF56" s="751"/>
      <c r="AG56" s="751"/>
      <c r="AH56" s="751"/>
      <c r="AI56" s="751"/>
      <c r="AJ56" s="751"/>
      <c r="AK56" s="751"/>
    </row>
    <row r="57" spans="1:37" s="750" customFormat="1" ht="24">
      <c r="A57" s="1566" t="s">
        <v>1965</v>
      </c>
      <c r="B57" s="905" t="str">
        <f>估价对象房地状况!C22</f>
        <v>七通</v>
      </c>
      <c r="C57" s="1482" t="s">
        <v>4483</v>
      </c>
      <c r="D57" s="4160">
        <f t="shared" si="7"/>
        <v>1.04E-2</v>
      </c>
      <c r="E57" s="4162"/>
      <c r="F57" s="1301"/>
      <c r="G57" s="4164">
        <f t="shared" si="12"/>
        <v>5.1999999999999998E-3</v>
      </c>
      <c r="H57" s="4165">
        <f t="shared" si="8"/>
        <v>5.1999999999999998E-3</v>
      </c>
      <c r="I57" s="4166">
        <v>0.08</v>
      </c>
      <c r="J57" s="4167">
        <f t="shared" si="9"/>
        <v>1.04E-2</v>
      </c>
      <c r="K57" s="4167">
        <f t="shared" si="10"/>
        <v>5.1999999999999998E-3</v>
      </c>
      <c r="L57" s="4167">
        <v>0</v>
      </c>
      <c r="M57" s="4167">
        <f t="shared" si="11"/>
        <v>-5.1999999999999998E-3</v>
      </c>
      <c r="N57" s="4167">
        <f t="shared" si="11"/>
        <v>-1.04E-2</v>
      </c>
      <c r="AA57" s="751"/>
      <c r="AB57" s="751"/>
      <c r="AC57" s="751"/>
      <c r="AD57" s="751"/>
      <c r="AE57" s="751"/>
      <c r="AF57" s="751"/>
      <c r="AG57" s="751"/>
      <c r="AH57" s="751"/>
      <c r="AI57" s="751"/>
      <c r="AJ57" s="751"/>
      <c r="AK57" s="751"/>
    </row>
    <row r="58" spans="1:37" s="750" customFormat="1" ht="77.25" thickBot="1">
      <c r="A58" s="1567" t="s">
        <v>1966</v>
      </c>
      <c r="B58" s="1568" t="str">
        <f>估价对象房地状况!C20</f>
        <v>估价对象周边有房山人民公园、北潞园健身公园等绿化景观，自然环境较好；有房山区良乡体育中心等人文场所，人文环境较好；综合评价环境状况较好。</v>
      </c>
      <c r="C58" s="1482" t="s">
        <v>3603</v>
      </c>
      <c r="D58" s="4160">
        <f t="shared" si="7"/>
        <v>0</v>
      </c>
      <c r="E58" s="4163"/>
      <c r="F58" s="1301"/>
      <c r="G58" s="4164">
        <f t="shared" si="12"/>
        <v>3.2000000000000002E-3</v>
      </c>
      <c r="H58" s="4165">
        <f t="shared" si="8"/>
        <v>3.2000000000000002E-3</v>
      </c>
      <c r="I58" s="4168">
        <v>0.05</v>
      </c>
      <c r="J58" s="4167">
        <f t="shared" si="9"/>
        <v>6.4000000000000003E-3</v>
      </c>
      <c r="K58" s="4167">
        <f t="shared" si="10"/>
        <v>3.2000000000000002E-3</v>
      </c>
      <c r="L58" s="4167">
        <v>0</v>
      </c>
      <c r="M58" s="4167">
        <f t="shared" si="11"/>
        <v>-3.2000000000000002E-3</v>
      </c>
      <c r="N58" s="4167">
        <f t="shared" si="11"/>
        <v>-6.4000000000000003E-3</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60">
        <f t="shared" ref="D61:D69" si="13">SUMIF($J$60:$N$60,C61,J61:N61)</f>
        <v>0</v>
      </c>
      <c r="E61" s="4161">
        <f>ROUND(SUM(D61:D69),4)</f>
        <v>0</v>
      </c>
      <c r="F61" s="4169" t="str">
        <f>IF(E2="办公",SUMIF(L1:L12,G2,N1:N12),"——")</f>
        <v>——</v>
      </c>
      <c r="G61" s="4164"/>
      <c r="H61" s="4165" t="str">
        <f t="shared" ref="H61:H69" si="14">IFERROR(ROUNDDOWN($F$61*I61/2,4),"——")</f>
        <v>——</v>
      </c>
      <c r="I61" s="4166">
        <v>0.25</v>
      </c>
      <c r="J61" s="4167">
        <f t="shared" ref="J61:J69" si="15">K61+$G61</f>
        <v>0</v>
      </c>
      <c r="K61" s="4167">
        <f t="shared" ref="K61:K69" si="16">$L61+$G61</f>
        <v>0</v>
      </c>
      <c r="L61" s="4167">
        <v>0</v>
      </c>
      <c r="M61" s="4167">
        <f t="shared" ref="M61:N69" si="17">L61-$G61</f>
        <v>0</v>
      </c>
      <c r="N61" s="4167">
        <f t="shared" si="17"/>
        <v>0</v>
      </c>
      <c r="AA61" s="751"/>
      <c r="AB61" s="751"/>
      <c r="AC61" s="751"/>
      <c r="AD61" s="751"/>
      <c r="AE61" s="751"/>
      <c r="AF61" s="751"/>
      <c r="AG61" s="751"/>
      <c r="AH61" s="751"/>
      <c r="AI61" s="751"/>
      <c r="AJ61" s="751"/>
      <c r="AK61" s="751"/>
    </row>
    <row r="62" spans="1:37" s="750" customFormat="1" ht="89.25">
      <c r="A62" s="1560" t="s">
        <v>1958</v>
      </c>
      <c r="B62" s="905" t="str">
        <f>估价对象房地状况!C18</f>
        <v>估价对象周边有多条城市主次干道通过，路网密集程度较好，道路通达程度较好。周边有952路、953路、F33路、F37路、F85路等多条公交线路，综合评价交通便捷度较好。</v>
      </c>
      <c r="C62" s="1482"/>
      <c r="D62" s="4160">
        <f t="shared" si="13"/>
        <v>0</v>
      </c>
      <c r="E62" s="4162"/>
      <c r="F62" s="4169"/>
      <c r="G62" s="4164"/>
      <c r="H62" s="4165" t="str">
        <f t="shared" si="14"/>
        <v>——</v>
      </c>
      <c r="I62" s="4166">
        <v>0.26</v>
      </c>
      <c r="J62" s="4167">
        <f t="shared" si="15"/>
        <v>0</v>
      </c>
      <c r="K62" s="4167">
        <f t="shared" si="16"/>
        <v>0</v>
      </c>
      <c r="L62" s="4167">
        <v>0</v>
      </c>
      <c r="M62" s="4167">
        <f t="shared" si="17"/>
        <v>0</v>
      </c>
      <c r="N62" s="4167">
        <f t="shared" si="17"/>
        <v>0</v>
      </c>
      <c r="AA62" s="751"/>
      <c r="AB62" s="751"/>
      <c r="AC62" s="751"/>
      <c r="AD62" s="751"/>
      <c r="AE62" s="751"/>
      <c r="AF62" s="751"/>
      <c r="AG62" s="751"/>
      <c r="AH62" s="751"/>
      <c r="AI62" s="751"/>
      <c r="AJ62" s="751"/>
      <c r="AK62" s="751"/>
    </row>
    <row r="63" spans="1:37" s="750" customFormat="1" ht="36">
      <c r="A63" s="2426" t="s">
        <v>3149</v>
      </c>
      <c r="B63" s="905">
        <f>估价对象房地状况!C19</f>
        <v>0</v>
      </c>
      <c r="C63" s="1482"/>
      <c r="D63" s="4160">
        <f t="shared" si="13"/>
        <v>0</v>
      </c>
      <c r="E63" s="4162"/>
      <c r="F63" s="4169"/>
      <c r="G63" s="4164"/>
      <c r="H63" s="4165" t="str">
        <f t="shared" si="14"/>
        <v>——</v>
      </c>
      <c r="I63" s="4166">
        <v>0.11</v>
      </c>
      <c r="J63" s="4167">
        <f t="shared" si="15"/>
        <v>0</v>
      </c>
      <c r="K63" s="4167">
        <f t="shared" si="16"/>
        <v>0</v>
      </c>
      <c r="L63" s="4167">
        <v>0</v>
      </c>
      <c r="M63" s="4167">
        <f t="shared" si="17"/>
        <v>0</v>
      </c>
      <c r="N63" s="4167">
        <f t="shared" si="17"/>
        <v>0</v>
      </c>
      <c r="AA63" s="751"/>
      <c r="AB63" s="751"/>
      <c r="AC63" s="751"/>
      <c r="AD63" s="751"/>
      <c r="AE63" s="751"/>
      <c r="AF63" s="751"/>
      <c r="AG63" s="751"/>
      <c r="AH63" s="751"/>
      <c r="AI63" s="751"/>
      <c r="AJ63" s="751"/>
      <c r="AK63" s="751"/>
    </row>
    <row r="64" spans="1:37" s="750" customFormat="1" ht="36.75">
      <c r="A64" s="1560" t="s">
        <v>1959</v>
      </c>
      <c r="B64" s="1564" t="s">
        <v>1960</v>
      </c>
      <c r="C64" s="1482"/>
      <c r="D64" s="4160">
        <f t="shared" si="13"/>
        <v>0</v>
      </c>
      <c r="E64" s="4162"/>
      <c r="F64" s="4169"/>
      <c r="G64" s="4164"/>
      <c r="H64" s="4165" t="str">
        <f t="shared" si="14"/>
        <v>——</v>
      </c>
      <c r="I64" s="4166">
        <v>0.05</v>
      </c>
      <c r="J64" s="4167">
        <f t="shared" si="15"/>
        <v>0</v>
      </c>
      <c r="K64" s="4167">
        <f t="shared" si="16"/>
        <v>0</v>
      </c>
      <c r="L64" s="4167">
        <v>0</v>
      </c>
      <c r="M64" s="4167">
        <f t="shared" si="17"/>
        <v>0</v>
      </c>
      <c r="N64" s="4167">
        <f t="shared" si="17"/>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60">
        <f t="shared" si="13"/>
        <v>0</v>
      </c>
      <c r="E65" s="4162"/>
      <c r="F65" s="4169"/>
      <c r="G65" s="4164"/>
      <c r="H65" s="4165" t="str">
        <f t="shared" si="14"/>
        <v>——</v>
      </c>
      <c r="I65" s="4166">
        <v>0.05</v>
      </c>
      <c r="J65" s="4167">
        <f t="shared" si="15"/>
        <v>0</v>
      </c>
      <c r="K65" s="4167">
        <f t="shared" si="16"/>
        <v>0</v>
      </c>
      <c r="L65" s="4167">
        <v>0</v>
      </c>
      <c r="M65" s="4167">
        <f t="shared" si="17"/>
        <v>0</v>
      </c>
      <c r="N65" s="4167">
        <f t="shared" si="17"/>
        <v>0</v>
      </c>
      <c r="AA65" s="751"/>
      <c r="AB65" s="751"/>
      <c r="AC65" s="751"/>
      <c r="AD65" s="751"/>
      <c r="AE65" s="751"/>
      <c r="AF65" s="751"/>
      <c r="AG65" s="751"/>
      <c r="AH65" s="751"/>
      <c r="AI65" s="751"/>
      <c r="AJ65" s="751"/>
      <c r="AK65" s="751"/>
    </row>
    <row r="66" spans="1:37" s="750" customFormat="1" ht="24">
      <c r="A66" s="1560" t="s">
        <v>1962</v>
      </c>
      <c r="B66" s="1565" t="s">
        <v>1963</v>
      </c>
      <c r="C66" s="1482"/>
      <c r="D66" s="4160">
        <f t="shared" si="13"/>
        <v>0</v>
      </c>
      <c r="E66" s="4162"/>
      <c r="F66" s="4169"/>
      <c r="G66" s="4164"/>
      <c r="H66" s="4165" t="str">
        <f t="shared" si="14"/>
        <v>——</v>
      </c>
      <c r="I66" s="4166">
        <v>0.06</v>
      </c>
      <c r="J66" s="4167">
        <f t="shared" si="15"/>
        <v>0</v>
      </c>
      <c r="K66" s="4167">
        <f t="shared" si="16"/>
        <v>0</v>
      </c>
      <c r="L66" s="4167">
        <v>0</v>
      </c>
      <c r="M66" s="4167">
        <f t="shared" si="17"/>
        <v>0</v>
      </c>
      <c r="N66" s="4167">
        <f t="shared" si="17"/>
        <v>0</v>
      </c>
      <c r="AA66" s="751"/>
      <c r="AB66" s="751"/>
      <c r="AC66" s="751"/>
      <c r="AD66" s="751"/>
      <c r="AE66" s="751"/>
      <c r="AF66" s="751"/>
      <c r="AG66" s="751"/>
      <c r="AH66" s="751"/>
      <c r="AI66" s="751"/>
      <c r="AJ66" s="751"/>
      <c r="AK66" s="751"/>
    </row>
    <row r="67" spans="1:37" s="750" customFormat="1" ht="127.5">
      <c r="A67" s="1560" t="s">
        <v>1964</v>
      </c>
      <c r="B67"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67" s="1482"/>
      <c r="D67" s="4160">
        <f t="shared" si="13"/>
        <v>0</v>
      </c>
      <c r="E67" s="4162"/>
      <c r="F67" s="4169"/>
      <c r="G67" s="4164"/>
      <c r="H67" s="4165" t="str">
        <f t="shared" si="14"/>
        <v>——</v>
      </c>
      <c r="I67" s="4166">
        <v>0.06</v>
      </c>
      <c r="J67" s="4167">
        <f t="shared" si="15"/>
        <v>0</v>
      </c>
      <c r="K67" s="4167">
        <f t="shared" si="16"/>
        <v>0</v>
      </c>
      <c r="L67" s="4167">
        <v>0</v>
      </c>
      <c r="M67" s="4167">
        <f t="shared" si="17"/>
        <v>0</v>
      </c>
      <c r="N67" s="4167">
        <f t="shared" si="17"/>
        <v>0</v>
      </c>
      <c r="AA67" s="751"/>
      <c r="AB67" s="751"/>
      <c r="AC67" s="751"/>
      <c r="AD67" s="751"/>
      <c r="AE67" s="751"/>
      <c r="AF67" s="751"/>
      <c r="AG67" s="751"/>
      <c r="AH67" s="751"/>
      <c r="AI67" s="751"/>
      <c r="AJ67" s="751"/>
      <c r="AK67" s="751"/>
    </row>
    <row r="68" spans="1:37" s="750" customFormat="1" ht="24">
      <c r="A68" s="1560" t="s">
        <v>1965</v>
      </c>
      <c r="B68" s="886" t="str">
        <f>估价对象房地状况!C22</f>
        <v>七通</v>
      </c>
      <c r="C68" s="1482"/>
      <c r="D68" s="4160">
        <f t="shared" si="13"/>
        <v>0</v>
      </c>
      <c r="E68" s="4162"/>
      <c r="F68" s="4169"/>
      <c r="G68" s="4164"/>
      <c r="H68" s="4165" t="str">
        <f t="shared" si="14"/>
        <v>——</v>
      </c>
      <c r="I68" s="4166">
        <v>0.09</v>
      </c>
      <c r="J68" s="4167">
        <f t="shared" si="15"/>
        <v>0</v>
      </c>
      <c r="K68" s="4167">
        <f t="shared" si="16"/>
        <v>0</v>
      </c>
      <c r="L68" s="4167">
        <v>0</v>
      </c>
      <c r="M68" s="4167">
        <f t="shared" si="17"/>
        <v>0</v>
      </c>
      <c r="N68" s="4167">
        <f t="shared" si="17"/>
        <v>0</v>
      </c>
      <c r="AA68" s="751"/>
      <c r="AB68" s="751"/>
      <c r="AC68" s="751"/>
      <c r="AD68" s="751"/>
      <c r="AE68" s="751"/>
      <c r="AF68" s="751"/>
      <c r="AG68" s="751"/>
      <c r="AH68" s="751"/>
      <c r="AI68" s="751"/>
      <c r="AJ68" s="751"/>
      <c r="AK68" s="751"/>
    </row>
    <row r="69" spans="1:37" s="750" customFormat="1" ht="77.25" thickBot="1">
      <c r="A69" s="1567" t="s">
        <v>1966</v>
      </c>
      <c r="B69" s="1569" t="str">
        <f>估价对象房地状况!C20</f>
        <v>估价对象周边有房山人民公园、北潞园健身公园等绿化景观，自然环境较好；有房山区良乡体育中心等人文场所，人文环境较好；综合评价环境状况较好。</v>
      </c>
      <c r="C69" s="1482"/>
      <c r="D69" s="4160">
        <f t="shared" si="13"/>
        <v>0</v>
      </c>
      <c r="E69" s="4163"/>
      <c r="F69" s="4169"/>
      <c r="G69" s="4164"/>
      <c r="H69" s="4165" t="str">
        <f t="shared" si="14"/>
        <v>——</v>
      </c>
      <c r="I69" s="4168">
        <v>7.0000000000000007E-2</v>
      </c>
      <c r="J69" s="4167">
        <f t="shared" si="15"/>
        <v>0</v>
      </c>
      <c r="K69" s="4167">
        <f t="shared" si="16"/>
        <v>0</v>
      </c>
      <c r="L69" s="4167">
        <v>0</v>
      </c>
      <c r="M69" s="4167">
        <f t="shared" si="17"/>
        <v>0</v>
      </c>
      <c r="N69" s="4167">
        <f t="shared" si="17"/>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89.25">
      <c r="A73" s="1560" t="s">
        <v>1958</v>
      </c>
      <c r="B73" s="905" t="str">
        <f>估价对象房地状况!C18</f>
        <v>估价对象周边有多条城市主次干道通过，路网密集程度较好，道路通达程度较好。周边有952路、953路、F33路、F37路、F85路等多条公交线路，综合评价交通便捷度较好。</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6" t="s">
        <v>3149</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127.5">
      <c r="A76" s="1560" t="s">
        <v>1964</v>
      </c>
      <c r="B76" s="886"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1965</v>
      </c>
      <c r="B77" s="886" t="str">
        <f>估价对象房地状况!C22</f>
        <v>七通</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1962</v>
      </c>
      <c r="B78" s="1565" t="s">
        <v>1963</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76.5">
      <c r="A79" s="1560" t="s">
        <v>1966</v>
      </c>
      <c r="B79" s="1563" t="str">
        <f>估价对象房地状况!C20</f>
        <v>估价对象周边有房山人民公园、北潞园健身公园等绿化景观，自然环境较好；有房山区良乡体育中心等人文场所，人文环境较好；综合评价环境状况较好。</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1973</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1628</v>
      </c>
      <c r="K82" s="389" t="s">
        <v>1629</v>
      </c>
      <c r="L82" s="389" t="s">
        <v>1630</v>
      </c>
      <c r="M82" s="389" t="s">
        <v>1631</v>
      </c>
      <c r="N82" s="389" t="s">
        <v>1632</v>
      </c>
      <c r="Z82" s="1440"/>
      <c r="AA82" s="1490"/>
      <c r="AG82" s="752"/>
      <c r="AK82" s="1490"/>
    </row>
    <row r="83" spans="1:37" ht="38.25">
      <c r="A83" s="1560" t="s">
        <v>1975</v>
      </c>
      <c r="B83" s="905" t="str">
        <f>估价对象房地状况!G15</f>
        <v>估价对象位于XX开发区，园区建设成熟度XX，产业集聚程度XX</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6" t="s">
        <v>3150</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1972</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5.5">
      <c r="A87" s="1560" t="s">
        <v>1964</v>
      </c>
      <c r="B87" s="886" t="str">
        <f>估价对象房地状况!G19</f>
        <v>估价对象所在区域公共配套设施齐备情况</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5.5">
      <c r="A88" s="1560" t="s">
        <v>1965</v>
      </c>
      <c r="B88" s="886" t="str">
        <f>估价对象房地状况!G20</f>
        <v>估价对象所在区域基础设施水平</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1962</v>
      </c>
      <c r="B89" s="1565" t="s">
        <v>1976</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39" thickBot="1">
      <c r="A90" s="1567" t="s">
        <v>1977</v>
      </c>
      <c r="B90" s="1572" t="str">
        <f>估价对象房地状况!G18</f>
        <v>该园区内是否有污染型企业，绿化情况，卫生条件，整体环境状况判断</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4" t="s">
        <v>2494</v>
      </c>
      <c r="B91" s="2435">
        <f>1+E93</f>
        <v>1</v>
      </c>
      <c r="C91" s="2428"/>
      <c r="D91" s="2429"/>
      <c r="E91" s="1301"/>
      <c r="F91" s="1301"/>
      <c r="G91" s="2430"/>
      <c r="H91" s="2431"/>
      <c r="I91" s="2432"/>
      <c r="J91" s="2433"/>
      <c r="K91" s="2433"/>
      <c r="L91" s="2433"/>
      <c r="M91" s="2433"/>
      <c r="N91" s="2433"/>
    </row>
    <row r="92" spans="1:37" ht="24.75">
      <c r="A92" s="2436" t="s">
        <v>3151</v>
      </c>
      <c r="B92" s="1847"/>
      <c r="C92" s="1847" t="s">
        <v>3160</v>
      </c>
      <c r="D92" s="1847" t="s">
        <v>3161</v>
      </c>
      <c r="E92" s="2415" t="s">
        <v>3162</v>
      </c>
      <c r="F92" s="2438" t="s">
        <v>3163</v>
      </c>
      <c r="G92" s="1847" t="s">
        <v>3164</v>
      </c>
      <c r="H92" s="2442" t="s">
        <v>3167</v>
      </c>
      <c r="I92" s="1847" t="s">
        <v>3168</v>
      </c>
      <c r="J92" s="1698" t="s">
        <v>3169</v>
      </c>
      <c r="K92" s="1698" t="s">
        <v>3170</v>
      </c>
      <c r="L92" s="1698" t="s">
        <v>3171</v>
      </c>
      <c r="M92" s="1698" t="s">
        <v>3172</v>
      </c>
      <c r="N92" s="1698" t="s">
        <v>3173</v>
      </c>
    </row>
    <row r="93" spans="1:37" ht="24">
      <c r="A93" s="2426" t="s">
        <v>3152</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89.25">
      <c r="A94" s="2436" t="s">
        <v>3153</v>
      </c>
      <c r="B94" s="2427" t="str">
        <f>估价对象房地状况!C18</f>
        <v>估价对象周边有多条城市主次干道通过，路网密集程度较好，道路通达程度较好。周边有952路、953路、F33路、F37路、F85路等多条公交线路，综合评价交通便捷度较好。</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6" t="s">
        <v>3149</v>
      </c>
      <c r="B95" s="2427">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6" t="s">
        <v>3154</v>
      </c>
      <c r="B96" s="2439" t="s">
        <v>3165</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6" t="s">
        <v>3155</v>
      </c>
      <c r="B97" s="2427">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6" t="s">
        <v>3156</v>
      </c>
      <c r="B98" s="2440" t="s">
        <v>3166</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127.5">
      <c r="A99" s="2436" t="s">
        <v>3157</v>
      </c>
      <c r="B99" s="2427" t="str">
        <f>估价对象房地状况!C21</f>
        <v>周边2公里内的公共服务配套设施齐备度较好，有医院（北京市房山区良乡医院、房山区中医医院月华分院）、银行（中国农业银行北京房山支行营业部、中国银行北京房山支行等）、学校（首都师范大学附属房山学校文化路校区、房山区良乡第二中学等）等公共服务配套设施。</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6" t="s">
        <v>3158</v>
      </c>
      <c r="B100" s="2427" t="str">
        <f>估价对象房地状况!C22</f>
        <v>七通</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77.25" thickBot="1">
      <c r="A101" s="2437" t="s">
        <v>3159</v>
      </c>
      <c r="B101" s="2441" t="str">
        <f>估价对象房地状况!C20</f>
        <v>估价对象周边有房山人民公园、北潞园健身公园等绿化景观，自然环境较好；有房山区良乡体育中心等人文场所，人文环境较好；综合评价环境状况较好。</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715" t="s">
        <v>3174</v>
      </c>
      <c r="B103" s="4715"/>
      <c r="C103" s="4715"/>
      <c r="D103" s="4715"/>
      <c r="E103" s="4715"/>
      <c r="F103" s="4715"/>
      <c r="G103" s="4715"/>
      <c r="H103" s="4715"/>
      <c r="I103" s="4715"/>
      <c r="J103" s="4715"/>
      <c r="K103" s="1293"/>
      <c r="L103" s="1293"/>
      <c r="M103" s="1293"/>
      <c r="N103" s="1293"/>
    </row>
    <row r="104" spans="1:14">
      <c r="A104" s="4716" t="s">
        <v>3175</v>
      </c>
      <c r="B104" s="4716" t="s">
        <v>3176</v>
      </c>
      <c r="C104" s="4190" t="s">
        <v>3177</v>
      </c>
      <c r="D104" s="1534"/>
      <c r="E104" s="1534"/>
      <c r="F104" s="1534"/>
      <c r="G104" s="1534"/>
      <c r="H104" s="1534"/>
      <c r="I104" s="1534"/>
      <c r="J104" s="1534"/>
      <c r="K104" s="1534"/>
      <c r="L104" s="1534"/>
      <c r="M104" s="1534"/>
      <c r="N104" s="4191"/>
    </row>
    <row r="105" spans="1:14">
      <c r="A105" s="4716"/>
      <c r="B105" s="4716"/>
      <c r="C105" s="2443" t="s">
        <v>3178</v>
      </c>
      <c r="D105" s="2443" t="s">
        <v>3179</v>
      </c>
      <c r="E105" s="2443" t="s">
        <v>3180</v>
      </c>
      <c r="F105" s="2443" t="s">
        <v>3181</v>
      </c>
      <c r="G105" s="2443" t="s">
        <v>3182</v>
      </c>
      <c r="H105" s="2443" t="s">
        <v>3183</v>
      </c>
      <c r="I105" s="2443" t="s">
        <v>3184</v>
      </c>
      <c r="J105" s="2443" t="s">
        <v>3185</v>
      </c>
      <c r="K105" s="2443" t="s">
        <v>3186</v>
      </c>
      <c r="L105" s="2443" t="s">
        <v>3187</v>
      </c>
      <c r="M105" s="2443" t="s">
        <v>3188</v>
      </c>
      <c r="N105" s="2443" t="s">
        <v>3189</v>
      </c>
    </row>
    <row r="106" spans="1:14">
      <c r="A106" s="4706" t="s">
        <v>3190</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707"/>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707"/>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707"/>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707"/>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707"/>
      <c r="B111" s="2443" t="s">
        <v>3148</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708"/>
      <c r="B112" s="2443">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709" t="s">
        <v>3191</v>
      </c>
      <c r="B113" s="4709"/>
      <c r="C113" s="4709"/>
      <c r="D113" s="4709"/>
      <c r="E113" s="4709"/>
      <c r="F113" s="4709"/>
      <c r="G113" s="4709"/>
      <c r="H113" s="4709"/>
      <c r="I113" s="4709"/>
      <c r="J113" s="4709"/>
      <c r="K113" s="2444"/>
      <c r="L113" s="2444"/>
      <c r="M113" s="2444"/>
      <c r="N113" s="2444"/>
    </row>
    <row r="114" spans="1:14">
      <c r="A114" s="2445"/>
      <c r="B114" s="2445"/>
      <c r="C114" s="2445"/>
      <c r="D114" s="2445"/>
      <c r="E114" s="2445"/>
      <c r="F114" s="2445"/>
      <c r="G114" s="2445"/>
      <c r="H114" s="2445"/>
      <c r="I114" s="2445"/>
      <c r="J114" s="2445"/>
      <c r="K114" s="1554"/>
      <c r="L114" s="2445"/>
      <c r="M114" s="2445"/>
      <c r="N114" s="2445"/>
    </row>
    <row r="115" spans="1:14" ht="13.5" thickBot="1">
      <c r="A115" s="2445"/>
      <c r="B115" s="2445"/>
      <c r="C115" s="2445"/>
      <c r="D115" s="2445"/>
      <c r="E115" s="2445"/>
      <c r="F115" s="2445"/>
      <c r="G115" s="2445"/>
      <c r="H115" s="2445"/>
      <c r="I115" s="2445"/>
      <c r="J115" s="2445"/>
      <c r="K115" s="1554"/>
      <c r="L115" s="2445"/>
      <c r="M115" s="2445"/>
      <c r="N115" s="2445"/>
    </row>
    <row r="116" spans="1:14" ht="25.5" thickBot="1">
      <c r="A116" s="4184" t="s">
        <v>3192</v>
      </c>
      <c r="B116" s="4188">
        <f>G3</f>
        <v>3.49</v>
      </c>
      <c r="C116" s="4185" t="s">
        <v>3193</v>
      </c>
      <c r="D116" s="4189">
        <f>SUMPRODUCT((A118:A122=F116)*(B117:M117=H116)*B118:M122)</f>
        <v>0.90010000000000001</v>
      </c>
      <c r="E116" s="4185" t="s">
        <v>3194</v>
      </c>
      <c r="F116" s="4186" t="str">
        <f>E2</f>
        <v>商业</v>
      </c>
      <c r="G116" s="4185" t="s">
        <v>3195</v>
      </c>
      <c r="H116" s="4186" t="str">
        <f>G2</f>
        <v>七级</v>
      </c>
      <c r="I116" s="4187"/>
      <c r="J116" s="2446"/>
      <c r="K116" s="2446"/>
      <c r="L116" s="2446"/>
      <c r="M116" s="2446"/>
      <c r="N116" s="2445"/>
    </row>
    <row r="117" spans="1:14">
      <c r="A117" s="2417"/>
      <c r="B117" s="2447" t="s">
        <v>3196</v>
      </c>
      <c r="C117" s="2447" t="s">
        <v>3197</v>
      </c>
      <c r="D117" s="2447" t="s">
        <v>3198</v>
      </c>
      <c r="E117" s="2447" t="s">
        <v>3199</v>
      </c>
      <c r="F117" s="2447" t="s">
        <v>3200</v>
      </c>
      <c r="G117" s="2447" t="s">
        <v>3201</v>
      </c>
      <c r="H117" s="4181" t="s">
        <v>3202</v>
      </c>
      <c r="I117" s="4181" t="s">
        <v>3203</v>
      </c>
      <c r="J117" s="2447" t="s">
        <v>3204</v>
      </c>
      <c r="K117" s="2447" t="s">
        <v>3205</v>
      </c>
      <c r="L117" s="2447" t="s">
        <v>3206</v>
      </c>
      <c r="M117" s="4182" t="s">
        <v>3207</v>
      </c>
      <c r="N117" s="2445"/>
    </row>
    <row r="118" spans="1:14">
      <c r="A118" s="2419" t="s">
        <v>3208</v>
      </c>
      <c r="B118" s="4177">
        <f>ROUND(0.9968-0.011*B116,4)</f>
        <v>0.95840000000000003</v>
      </c>
      <c r="C118" s="4177">
        <f>B118</f>
        <v>0.95840000000000003</v>
      </c>
      <c r="D118" s="4177">
        <f>ROUND(0.949-0.014*B116,4)</f>
        <v>0.90010000000000001</v>
      </c>
      <c r="E118" s="4177">
        <f>D118</f>
        <v>0.90010000000000001</v>
      </c>
      <c r="F118" s="4177">
        <f>E118</f>
        <v>0.90010000000000001</v>
      </c>
      <c r="G118" s="4177">
        <f>F118</f>
        <v>0.90010000000000001</v>
      </c>
      <c r="H118" s="4177">
        <f>G118</f>
        <v>0.90010000000000001</v>
      </c>
      <c r="I118" s="4177">
        <f>ROUND(0.8486-0.018*B116,4)</f>
        <v>0.78580000000000005</v>
      </c>
      <c r="J118" s="4177">
        <f t="shared" ref="J118:M122" si="36">I118</f>
        <v>0.78580000000000005</v>
      </c>
      <c r="K118" s="4177">
        <f t="shared" si="36"/>
        <v>0.78580000000000005</v>
      </c>
      <c r="L118" s="4177">
        <f t="shared" si="36"/>
        <v>0.78580000000000005</v>
      </c>
      <c r="M118" s="4178">
        <f t="shared" si="36"/>
        <v>0.78580000000000005</v>
      </c>
      <c r="N118" s="2445"/>
    </row>
    <row r="119" spans="1:14">
      <c r="A119" s="2419" t="s">
        <v>3209</v>
      </c>
      <c r="B119" s="4177">
        <f>ROUND(0.993-0.0112*B116,4)</f>
        <v>0.95389999999999997</v>
      </c>
      <c r="C119" s="4177">
        <f>B119</f>
        <v>0.95389999999999997</v>
      </c>
      <c r="D119" s="4177">
        <f>ROUND(0.9415-0.0142*B116,4)</f>
        <v>0.89190000000000003</v>
      </c>
      <c r="E119" s="4177">
        <f t="shared" ref="E119:H120" si="37">D119</f>
        <v>0.89190000000000003</v>
      </c>
      <c r="F119" s="4177">
        <f t="shared" si="37"/>
        <v>0.89190000000000003</v>
      </c>
      <c r="G119" s="4177">
        <f t="shared" si="37"/>
        <v>0.89190000000000003</v>
      </c>
      <c r="H119" s="4177">
        <f t="shared" si="37"/>
        <v>0.89190000000000003</v>
      </c>
      <c r="I119" s="4177">
        <f>ROUND(0.838-0.0182*B116,4)</f>
        <v>0.77449999999999997</v>
      </c>
      <c r="J119" s="4177">
        <f t="shared" si="36"/>
        <v>0.77449999999999997</v>
      </c>
      <c r="K119" s="4177">
        <f t="shared" si="36"/>
        <v>0.77449999999999997</v>
      </c>
      <c r="L119" s="4177">
        <f t="shared" si="36"/>
        <v>0.77449999999999997</v>
      </c>
      <c r="M119" s="4178">
        <f t="shared" si="36"/>
        <v>0.77449999999999997</v>
      </c>
      <c r="N119" s="2445"/>
    </row>
    <row r="120" spans="1:14">
      <c r="A120" s="2419" t="s">
        <v>3210</v>
      </c>
      <c r="B120" s="4177">
        <f>ROUND(0.9448-0.0115*B116,4)</f>
        <v>0.90469999999999995</v>
      </c>
      <c r="C120" s="4177">
        <f>B120</f>
        <v>0.90469999999999995</v>
      </c>
      <c r="D120" s="4177">
        <f>ROUND(0.937-0.0145*B116,4)</f>
        <v>0.88639999999999997</v>
      </c>
      <c r="E120" s="4177">
        <f t="shared" si="37"/>
        <v>0.88639999999999997</v>
      </c>
      <c r="F120" s="4177">
        <f t="shared" si="37"/>
        <v>0.88639999999999997</v>
      </c>
      <c r="G120" s="4177">
        <f t="shared" si="37"/>
        <v>0.88639999999999997</v>
      </c>
      <c r="H120" s="4177">
        <f t="shared" si="37"/>
        <v>0.88639999999999997</v>
      </c>
      <c r="I120" s="4177">
        <f>ROUND(0.7965-0.0185*B116,4)</f>
        <v>0.7319</v>
      </c>
      <c r="J120" s="4177">
        <f t="shared" si="36"/>
        <v>0.7319</v>
      </c>
      <c r="K120" s="4177">
        <f t="shared" si="36"/>
        <v>0.7319</v>
      </c>
      <c r="L120" s="4177">
        <f t="shared" si="36"/>
        <v>0.7319</v>
      </c>
      <c r="M120" s="4178">
        <f t="shared" si="36"/>
        <v>0.7319</v>
      </c>
      <c r="N120" s="2445"/>
    </row>
    <row r="121" spans="1:14">
      <c r="A121" s="2419" t="s">
        <v>3211</v>
      </c>
      <c r="B121" s="4177">
        <f>ROUND(0.7836-0.012*B116,4)</f>
        <v>0.74170000000000003</v>
      </c>
      <c r="C121" s="4177">
        <f>B121</f>
        <v>0.74170000000000003</v>
      </c>
      <c r="D121" s="4177">
        <f>ROUND(0.753-0.015*B116,4)</f>
        <v>0.70069999999999999</v>
      </c>
      <c r="E121" s="4177">
        <f>D121</f>
        <v>0.70069999999999999</v>
      </c>
      <c r="F121" s="4177">
        <f>E121</f>
        <v>0.70069999999999999</v>
      </c>
      <c r="G121" s="4177">
        <f>ROUND(0.6612-0.018*B116,4)</f>
        <v>0.59840000000000004</v>
      </c>
      <c r="H121" s="4177">
        <f>G121</f>
        <v>0.59840000000000004</v>
      </c>
      <c r="I121" s="4177">
        <f>ROUND(0.5905-0.019*B116,4)</f>
        <v>0.5242</v>
      </c>
      <c r="J121" s="4177">
        <f t="shared" si="36"/>
        <v>0.5242</v>
      </c>
      <c r="K121" s="4177">
        <f t="shared" si="36"/>
        <v>0.5242</v>
      </c>
      <c r="L121" s="4177">
        <f t="shared" si="36"/>
        <v>0.5242</v>
      </c>
      <c r="M121" s="4178">
        <f t="shared" si="36"/>
        <v>0.5242</v>
      </c>
      <c r="N121" s="2445"/>
    </row>
    <row r="122" spans="1:14" ht="13.5" thickBot="1">
      <c r="A122" s="4183" t="s">
        <v>2494</v>
      </c>
      <c r="B122" s="4179">
        <f>ROUND(0.9404-0.0106*B116,4)</f>
        <v>0.90339999999999998</v>
      </c>
      <c r="C122" s="4179">
        <f>B122</f>
        <v>0.90339999999999998</v>
      </c>
      <c r="D122" s="4179">
        <f>ROUND(0.8955-0.0135*B116,4)</f>
        <v>0.84840000000000004</v>
      </c>
      <c r="E122" s="4179">
        <f t="shared" ref="E122:H122" si="38">D122</f>
        <v>0.84840000000000004</v>
      </c>
      <c r="F122" s="4179">
        <f t="shared" si="38"/>
        <v>0.84840000000000004</v>
      </c>
      <c r="G122" s="4179">
        <f t="shared" si="38"/>
        <v>0.84840000000000004</v>
      </c>
      <c r="H122" s="4179">
        <f t="shared" si="38"/>
        <v>0.84840000000000004</v>
      </c>
      <c r="I122" s="4179">
        <f>ROUND(0.7632-0.0166*B116,4)</f>
        <v>0.70530000000000004</v>
      </c>
      <c r="J122" s="4179">
        <f t="shared" si="36"/>
        <v>0.70530000000000004</v>
      </c>
      <c r="K122" s="4179">
        <f t="shared" si="36"/>
        <v>0.70530000000000004</v>
      </c>
      <c r="L122" s="4179">
        <f t="shared" si="36"/>
        <v>0.70530000000000004</v>
      </c>
      <c r="M122" s="4180">
        <f t="shared" si="36"/>
        <v>0.70530000000000004</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3507</v>
      </c>
      <c r="B1" s="47"/>
      <c r="C1" s="785"/>
      <c r="D1" s="784"/>
      <c r="E1" s="2044"/>
      <c r="F1" s="2044"/>
      <c r="G1" s="1937"/>
      <c r="H1" s="2044"/>
      <c r="I1" s="2044"/>
      <c r="J1" s="2044"/>
      <c r="K1" s="2045">
        <f>MATCH(C1,'数据-取费表'!A6:A16,0)+5</f>
        <v>7</v>
      </c>
    </row>
    <row r="2" spans="1:33" ht="18" customHeight="1">
      <c r="A2" s="96" t="s">
        <v>1431</v>
      </c>
      <c r="B2" s="2505">
        <f ca="1">C34</f>
        <v>-92342</v>
      </c>
      <c r="C2" s="171" t="s">
        <v>1531</v>
      </c>
      <c r="D2" s="171"/>
      <c r="E2" s="2044"/>
      <c r="F2" s="2044"/>
      <c r="G2" s="2044"/>
      <c r="H2" s="2044"/>
      <c r="I2" s="2044"/>
      <c r="J2" s="2044"/>
      <c r="K2" s="2044"/>
    </row>
    <row r="3" spans="1:33" ht="18" customHeight="1">
      <c r="A3" s="98" t="s">
        <v>1433</v>
      </c>
      <c r="B3" s="2505">
        <f ca="1">ROUND(B2*10000/IF(C1="",'数据-汇总表'!E3,INDIRECT("'数据-取费表'!K"&amp;$K$1)),0)</f>
        <v>-7698</v>
      </c>
      <c r="C3" s="171" t="s">
        <v>1532</v>
      </c>
      <c r="D3" s="171"/>
      <c r="E3" s="2044"/>
      <c r="F3" s="2044"/>
      <c r="G3" s="2044"/>
      <c r="H3" s="2044"/>
      <c r="I3" s="2044"/>
      <c r="J3" s="2044"/>
      <c r="K3" s="2044"/>
    </row>
    <row r="4" spans="1:33" ht="18" customHeight="1">
      <c r="A4" s="3368" t="s">
        <v>3622</v>
      </c>
      <c r="B4" s="2504">
        <f ca="1">ROUND(B2*10000/IF(C1="",'数据-汇总表'!D3,INDIRECT("'数据-取费表'!R"&amp;$K$1)),0)</f>
        <v>-37692</v>
      </c>
      <c r="C4" s="1336" t="s">
        <v>3624</v>
      </c>
      <c r="D4" s="171"/>
      <c r="E4" s="2044"/>
      <c r="F4" s="2044"/>
      <c r="G4" s="2044"/>
      <c r="H4" s="2044"/>
      <c r="I4" s="2044"/>
      <c r="J4" s="2044"/>
      <c r="K4" s="2044"/>
    </row>
    <row r="5" spans="1:33" ht="18" customHeight="1" thickBot="1">
      <c r="A5" s="94"/>
      <c r="B5" s="3377">
        <f ca="1">ROUND(B2/(IF(C1="",'数据-汇总表'!D3,INDIRECT("'数据-取费表'!R"&amp;$K$1))/666.67),0)</f>
        <v>-2513</v>
      </c>
      <c r="C5" s="3371" t="s">
        <v>3623</v>
      </c>
      <c r="D5" s="171"/>
      <c r="E5" s="2044"/>
      <c r="F5" s="2044"/>
      <c r="G5" s="2044"/>
      <c r="H5" s="2044"/>
      <c r="I5" s="2044"/>
      <c r="J5" s="2044"/>
      <c r="K5" s="2044"/>
    </row>
    <row r="6" spans="1:33" s="515" customFormat="1" ht="16.5" customHeight="1">
      <c r="A6" s="2635" t="s">
        <v>3511</v>
      </c>
      <c r="B6" s="2634"/>
      <c r="C6" s="4699" t="s">
        <v>3368</v>
      </c>
      <c r="D6" s="4699"/>
      <c r="E6" s="4699"/>
      <c r="F6" s="4699"/>
      <c r="G6" s="4699"/>
      <c r="H6" s="4699"/>
      <c r="I6" s="4699"/>
      <c r="J6" s="4699"/>
      <c r="K6" s="4700"/>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3947</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9" t="s">
        <v>3948</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3951</v>
      </c>
      <c r="B10" s="4050" t="s">
        <v>3946</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721" t="s">
        <v>3512</v>
      </c>
      <c r="B11" s="4722"/>
      <c r="C11" s="4722"/>
      <c r="D11" s="4722"/>
      <c r="E11" s="4722"/>
      <c r="F11" s="4722"/>
      <c r="G11" s="4722"/>
      <c r="H11" s="4722"/>
      <c r="I11" s="4722"/>
      <c r="J11" s="4722"/>
      <c r="K11" s="4723"/>
    </row>
    <row r="12" spans="1:33" s="4047" customFormat="1" ht="13.5" customHeight="1">
      <c r="A12" s="3193" t="s">
        <v>3501</v>
      </c>
      <c r="B12" s="4044" t="s">
        <v>1537</v>
      </c>
      <c r="C12" s="4048" t="s">
        <v>3946</v>
      </c>
      <c r="D12" s="4044" t="s">
        <v>1539</v>
      </c>
      <c r="E12" s="4044" t="s">
        <v>1540</v>
      </c>
      <c r="F12" s="4044" t="s">
        <v>1541</v>
      </c>
      <c r="G12" s="4056" t="s">
        <v>3392</v>
      </c>
      <c r="H12" s="4057"/>
      <c r="I12" s="4057"/>
      <c r="J12" s="4057"/>
      <c r="K12" s="4058"/>
    </row>
    <row r="13" spans="1:33" s="521" customFormat="1" ht="13.5" customHeight="1">
      <c r="A13" s="2475">
        <v>1</v>
      </c>
      <c r="B13" s="2659" t="s">
        <v>3513</v>
      </c>
      <c r="C13" s="2644">
        <f>SUM(C10:K10)</f>
        <v>0</v>
      </c>
      <c r="D13" s="520"/>
      <c r="E13" s="520"/>
      <c r="F13" s="3207"/>
      <c r="G13" s="3332"/>
      <c r="H13" s="3331"/>
      <c r="I13" s="3331"/>
      <c r="J13" s="3331"/>
      <c r="K13" s="3343"/>
    </row>
    <row r="14" spans="1:33" s="521" customFormat="1" ht="13.5" customHeight="1">
      <c r="A14" s="2475">
        <v>2</v>
      </c>
      <c r="B14" s="2660" t="s">
        <v>3616</v>
      </c>
      <c r="C14" s="2644">
        <v>0</v>
      </c>
      <c r="D14" s="2660"/>
      <c r="E14" s="2660"/>
      <c r="F14" s="2578">
        <v>0</v>
      </c>
      <c r="G14" s="3505" t="s">
        <v>3666</v>
      </c>
      <c r="H14" s="3331"/>
      <c r="I14" s="3331"/>
      <c r="J14" s="3331"/>
      <c r="K14" s="3343"/>
    </row>
    <row r="15" spans="1:33" s="523" customFormat="1" ht="13.5" customHeight="1">
      <c r="A15" s="2475">
        <v>3</v>
      </c>
      <c r="B15" s="530" t="s">
        <v>3586</v>
      </c>
      <c r="C15" s="2516">
        <f ca="1">C32-C33</f>
        <v>92342</v>
      </c>
      <c r="D15" s="530"/>
      <c r="E15" s="173"/>
      <c r="F15" s="3208"/>
      <c r="G15" s="3333" t="s">
        <v>3531</v>
      </c>
      <c r="H15" s="526"/>
      <c r="I15" s="526"/>
      <c r="J15" s="526"/>
      <c r="K15" s="527"/>
    </row>
    <row r="16" spans="1:33" s="523" customFormat="1" ht="13.5" customHeight="1">
      <c r="A16" s="3344" t="s">
        <v>3581</v>
      </c>
      <c r="B16" s="3212" t="s">
        <v>3514</v>
      </c>
      <c r="C16" s="3213">
        <f ca="1">SUM(C17:C22)</f>
        <v>79656</v>
      </c>
      <c r="D16" s="3212"/>
      <c r="E16" s="3212"/>
      <c r="F16" s="3214"/>
      <c r="G16" s="2614"/>
      <c r="H16" s="3331"/>
      <c r="I16" s="3331"/>
      <c r="J16" s="3331"/>
      <c r="K16" s="3343"/>
    </row>
    <row r="17" spans="1:33" s="523" customFormat="1" ht="13.5" customHeight="1">
      <c r="A17" s="3345" t="s">
        <v>3532</v>
      </c>
      <c r="B17" s="3199" t="s">
        <v>3519</v>
      </c>
      <c r="C17" s="2483">
        <f ca="1">IF(C1="",'数据-取费表'!M16,INDIRECT("'数据-取费表'!M"&amp;$K$1)+INDIRECT("'数据-取费表'!ap"&amp;$K$1))</f>
        <v>71978</v>
      </c>
      <c r="D17" s="3215"/>
      <c r="E17" s="3216"/>
      <c r="F17" s="3228"/>
      <c r="G17" s="3334"/>
      <c r="H17" s="3331"/>
      <c r="I17" s="3331"/>
      <c r="J17" s="3331"/>
      <c r="K17" s="3343"/>
    </row>
    <row r="18" spans="1:33" s="523" customFormat="1" ht="13.5" customHeight="1">
      <c r="A18" s="3345" t="s">
        <v>3520</v>
      </c>
      <c r="B18" s="3200" t="s">
        <v>3521</v>
      </c>
      <c r="C18" s="2483">
        <f ca="1">ROUND(C17*F18,0)</f>
        <v>3599</v>
      </c>
      <c r="D18" s="3212"/>
      <c r="E18" s="3212"/>
      <c r="F18" s="3229">
        <f>'数据-取费表'!B33</f>
        <v>0.05</v>
      </c>
      <c r="G18" s="2614"/>
      <c r="H18" s="3331"/>
      <c r="I18" s="3331"/>
      <c r="J18" s="3331"/>
      <c r="K18" s="3343"/>
    </row>
    <row r="19" spans="1:33" s="523" customFormat="1" ht="13.5" customHeight="1">
      <c r="A19" s="3345" t="s">
        <v>3533</v>
      </c>
      <c r="B19" s="3201" t="s">
        <v>3489</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3534</v>
      </c>
      <c r="B20" s="3201" t="s">
        <v>3542</v>
      </c>
      <c r="C20" s="2483">
        <f ca="1">ROUND(D20*E20/10000,0)</f>
        <v>3359</v>
      </c>
      <c r="D20" s="3210">
        <f ca="1">IF(C1="",'数据-汇总表'!E3,INDIRECT("'数据-取费表'!K"&amp;$K$1)+INDIRECT("'数据-取费表'!S"&amp;$K$1))</f>
        <v>119963.53</v>
      </c>
      <c r="E20" s="3211">
        <f>'数据-取费表'!B35</f>
        <v>280</v>
      </c>
      <c r="F20" s="3210"/>
      <c r="G20" s="2479"/>
      <c r="H20" s="3331"/>
      <c r="I20" s="3331"/>
      <c r="J20" s="526"/>
      <c r="K20" s="527"/>
    </row>
    <row r="21" spans="1:33" s="523" customFormat="1" ht="13.5" customHeight="1">
      <c r="A21" s="3345" t="s">
        <v>3535</v>
      </c>
      <c r="B21" s="3202" t="s">
        <v>3492</v>
      </c>
      <c r="C21" s="2483">
        <f ca="1">ROUND(C17*F21,0)</f>
        <v>720</v>
      </c>
      <c r="D21" s="3217"/>
      <c r="E21" s="3217"/>
      <c r="F21" s="3229">
        <f>'数据-取费表'!B36</f>
        <v>0.01</v>
      </c>
      <c r="G21" s="2479"/>
      <c r="H21" s="528"/>
      <c r="I21" s="528"/>
      <c r="J21" s="528"/>
      <c r="K21" s="3346"/>
    </row>
    <row r="22" spans="1:33" s="523" customFormat="1" ht="13.5" customHeight="1">
      <c r="A22" s="3345" t="s">
        <v>3536</v>
      </c>
      <c r="B22" s="3202" t="s">
        <v>3543</v>
      </c>
      <c r="C22" s="2483">
        <f ca="1">ROUND(C17*F22,0)</f>
        <v>0</v>
      </c>
      <c r="D22" s="3217"/>
      <c r="E22" s="3217"/>
      <c r="F22" s="3229">
        <f>'数据-取费表'!B37</f>
        <v>0</v>
      </c>
      <c r="G22" s="2479"/>
      <c r="H22" s="528"/>
      <c r="I22" s="528"/>
      <c r="J22" s="528"/>
      <c r="K22" s="3346"/>
    </row>
    <row r="23" spans="1:33" s="524" customFormat="1" ht="13.5" customHeight="1">
      <c r="A23" s="3344" t="s">
        <v>3582</v>
      </c>
      <c r="B23" s="3212" t="s">
        <v>3478</v>
      </c>
      <c r="C23" s="2488">
        <f ca="1">ROUND(C16*F23,0)</f>
        <v>3983</v>
      </c>
      <c r="D23" s="3218"/>
      <c r="E23" s="3218"/>
      <c r="F23" s="3230">
        <f>'数据-取费表'!B38</f>
        <v>0.05</v>
      </c>
      <c r="G23" s="2491" t="s">
        <v>3515</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3583</v>
      </c>
      <c r="B24" s="3212" t="s">
        <v>3522</v>
      </c>
      <c r="C24" s="2488" t="str">
        <f>F24&amp;"V建"</f>
        <v>0.03V建</v>
      </c>
      <c r="D24" s="3218"/>
      <c r="E24" s="3218"/>
      <c r="F24" s="3230">
        <f>'数据-取费表'!B39</f>
        <v>0.03</v>
      </c>
      <c r="G24" s="2491"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3584</v>
      </c>
      <c r="B25" s="3212" t="s">
        <v>3409</v>
      </c>
      <c r="C25" s="3219" t="str">
        <f ca="1">C26&amp;"+"&amp;C27&amp;"V建"</f>
        <v>4110+0.0023V建</v>
      </c>
      <c r="D25" s="3220"/>
      <c r="E25" s="3220"/>
      <c r="F25" s="3229">
        <f ca="1">'数据-取费表'!B41</f>
        <v>3.2500000000000001E-2</v>
      </c>
      <c r="G25" s="3335" t="s">
        <v>3523</v>
      </c>
      <c r="H25" s="3336"/>
      <c r="I25" s="3336"/>
      <c r="J25" s="3336"/>
      <c r="K25" s="3347"/>
    </row>
    <row r="26" spans="1:33" s="524" customFormat="1" ht="13.5" customHeight="1">
      <c r="A26" s="3345" t="s">
        <v>3524</v>
      </c>
      <c r="B26" s="3202" t="s">
        <v>3547</v>
      </c>
      <c r="C26" s="3219">
        <f ca="1">ROUND(IF('数据-取费表'!B20&lt;=1,(C16+C23)*F25*'数据-取费表'!B20/2,(C23+C16)*(POWER((1+F25),'数据-取费表'!B20/2)-1)),0)</f>
        <v>4110</v>
      </c>
      <c r="D26" s="3220"/>
      <c r="E26" s="3220"/>
      <c r="F26" s="3210"/>
      <c r="G26" s="3335"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3526</v>
      </c>
      <c r="B27" s="3202" t="s">
        <v>3548</v>
      </c>
      <c r="C27" s="3221">
        <f>ROUND(IF('数据-取费表'!B20&lt;=1,F24*F25*'数据-取费表'!B20/2,F24*(POWER((1+F23),'数据-取费表'!B20/2)-1)),4)</f>
        <v>2.3E-3</v>
      </c>
      <c r="D27" s="3012"/>
      <c r="E27" s="3012"/>
      <c r="F27" s="3228"/>
      <c r="G27" s="3337"/>
      <c r="H27" s="3331"/>
      <c r="I27" s="3331"/>
      <c r="J27" s="3331"/>
      <c r="K27" s="3343"/>
    </row>
    <row r="28" spans="1:33" s="523" customFormat="1" ht="13.5" customHeight="1">
      <c r="A28" s="3344" t="s">
        <v>3527</v>
      </c>
      <c r="B28" s="3212" t="s">
        <v>3544</v>
      </c>
      <c r="C28" s="2632" t="str">
        <f ca="1">C29&amp;"+"&amp;C30&amp;"V建"</f>
        <v>16728+0.006V建</v>
      </c>
      <c r="D28" s="1011"/>
      <c r="E28" s="1011"/>
      <c r="F28" s="3231">
        <f ca="1">IF(C1="",'数据-取费表'!Q16,INDIRECT("'数据-取费表'!q"&amp;$K$1))</f>
        <v>0.2</v>
      </c>
      <c r="G28" s="4724" t="s">
        <v>3528</v>
      </c>
      <c r="H28" s="3331"/>
      <c r="I28" s="3331"/>
      <c r="J28" s="3331"/>
      <c r="K28" s="3343"/>
    </row>
    <row r="29" spans="1:33" s="523" customFormat="1" ht="13.5" customHeight="1">
      <c r="A29" s="3345" t="s">
        <v>3540</v>
      </c>
      <c r="B29" s="3202" t="s">
        <v>3545</v>
      </c>
      <c r="C29" s="2633">
        <f ca="1">ROUND((C16+C23)*F28,0)</f>
        <v>16728</v>
      </c>
      <c r="D29" s="1011"/>
      <c r="E29" s="1011"/>
      <c r="F29" s="2702"/>
      <c r="G29" s="4724"/>
      <c r="H29" s="3338"/>
      <c r="I29" s="3338"/>
      <c r="J29" s="3338"/>
      <c r="K29" s="3348"/>
    </row>
    <row r="30" spans="1:33" s="531" customFormat="1" ht="13.5" customHeight="1">
      <c r="A30" s="3345" t="s">
        <v>3541</v>
      </c>
      <c r="B30" s="3202" t="s">
        <v>3546</v>
      </c>
      <c r="C30" s="2483">
        <f ca="1">ROUND(F24*F28,4)</f>
        <v>6.0000000000000001E-3</v>
      </c>
      <c r="D30" s="3222"/>
      <c r="E30" s="3220"/>
      <c r="F30" s="3210"/>
      <c r="G30" s="3339"/>
      <c r="H30" s="526"/>
      <c r="I30" s="526"/>
      <c r="J30" s="526"/>
      <c r="K30" s="527"/>
    </row>
    <row r="31" spans="1:33" s="531" customFormat="1" ht="13.5" customHeight="1">
      <c r="A31" s="3344" t="s">
        <v>3537</v>
      </c>
      <c r="B31" s="3212" t="s">
        <v>3549</v>
      </c>
      <c r="C31" s="2483">
        <v>0</v>
      </c>
      <c r="D31" s="3223"/>
      <c r="E31" s="3224"/>
      <c r="F31" s="3210"/>
      <c r="G31" s="3340" t="s">
        <v>3517</v>
      </c>
      <c r="H31" s="526"/>
      <c r="I31" s="526"/>
      <c r="J31" s="526"/>
      <c r="K31" s="527"/>
    </row>
    <row r="32" spans="1:33" s="523" customFormat="1" ht="13.5" customHeight="1">
      <c r="A32" s="3344" t="s">
        <v>3538</v>
      </c>
      <c r="B32" s="3212" t="s">
        <v>3585</v>
      </c>
      <c r="C32" s="3213">
        <f ca="1">ROUND((C16+C23+C26+C29)/(1-F24-C27-C30),0)</f>
        <v>108638</v>
      </c>
      <c r="D32" s="3223"/>
      <c r="E32" s="3224"/>
      <c r="F32" s="3210"/>
      <c r="G32" s="3341" t="s">
        <v>3518</v>
      </c>
      <c r="H32" s="3342"/>
      <c r="I32" s="3342"/>
      <c r="J32" s="3342"/>
      <c r="K32" s="3349"/>
    </row>
    <row r="33" spans="1:11" s="176" customFormat="1" ht="13.5" customHeight="1">
      <c r="A33" s="3344" t="s">
        <v>3539</v>
      </c>
      <c r="B33" s="3225" t="s">
        <v>3529</v>
      </c>
      <c r="C33" s="3226">
        <f ca="1">ROUND(C32*(1-F33),0)</f>
        <v>16296</v>
      </c>
      <c r="D33" s="3227"/>
      <c r="E33" s="3012"/>
      <c r="F33" s="3230">
        <f>IF('数据-取费表'!B24=0,'数据-取费表'!N16,1)</f>
        <v>0.85</v>
      </c>
      <c r="G33" s="3333" t="s">
        <v>3530</v>
      </c>
      <c r="H33" s="3338"/>
      <c r="I33" s="3338"/>
      <c r="J33" s="3338"/>
      <c r="K33" s="3348"/>
    </row>
    <row r="34" spans="1:11" s="521" customFormat="1" ht="15.75" thickBot="1">
      <c r="A34" s="3350">
        <v>4</v>
      </c>
      <c r="B34" s="3351" t="s">
        <v>3587</v>
      </c>
      <c r="C34" s="3352">
        <f ca="1">C13-C15</f>
        <v>-92342</v>
      </c>
      <c r="D34" s="3351"/>
      <c r="E34" s="3351"/>
      <c r="F34" s="3353"/>
      <c r="G34" s="3354" t="s">
        <v>3615</v>
      </c>
      <c r="H34" s="3355"/>
      <c r="I34" s="3355"/>
      <c r="J34" s="3355"/>
      <c r="K34" s="3356"/>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3508</v>
      </c>
      <c r="B1" s="3206"/>
      <c r="C1" s="2810"/>
      <c r="D1" s="93"/>
      <c r="E1" s="93"/>
      <c r="F1" s="93"/>
      <c r="G1" s="756">
        <f>MATCH(C1,'数据-取费表'!A6:A16,0)+5</f>
        <v>7</v>
      </c>
    </row>
    <row r="2" spans="1:7" s="95" customFormat="1" ht="15.75">
      <c r="A2" s="96" t="s">
        <v>1431</v>
      </c>
      <c r="B2" s="2504">
        <f ca="1">C34</f>
        <v>6852</v>
      </c>
      <c r="C2" s="94" t="s">
        <v>1432</v>
      </c>
      <c r="D2" s="94"/>
      <c r="E2" s="2492"/>
      <c r="F2" s="94"/>
      <c r="G2" s="94"/>
    </row>
    <row r="3" spans="1:7" s="95" customFormat="1" ht="15.75">
      <c r="A3" s="98" t="s">
        <v>1433</v>
      </c>
      <c r="B3" s="2505">
        <f ca="1">ROUND(B2*10000/(IF(C1="",'数据-汇总表'!E3,INDIRECT("'数据-取费表'!k"&amp;$G$1))),0)</f>
        <v>571</v>
      </c>
      <c r="C3" s="94" t="s">
        <v>1434</v>
      </c>
      <c r="D3" s="94"/>
      <c r="E3" s="2492"/>
      <c r="F3" s="94"/>
      <c r="G3" s="94"/>
    </row>
    <row r="4" spans="1:7" s="95" customFormat="1" ht="15.75">
      <c r="A4" s="3368" t="s">
        <v>3622</v>
      </c>
      <c r="B4" s="2504">
        <f ca="1">ROUND(B2*10000/'数据-汇总表'!D3,0)</f>
        <v>2797</v>
      </c>
      <c r="C4" s="96" t="s">
        <v>3624</v>
      </c>
      <c r="D4" s="94"/>
      <c r="E4" s="2492"/>
      <c r="F4" s="94"/>
      <c r="G4" s="94"/>
    </row>
    <row r="5" spans="1:7" s="95" customFormat="1" ht="16.5" thickBot="1">
      <c r="A5" s="94"/>
      <c r="B5" s="3377">
        <f ca="1">ROUND(B2/('数据-汇总表'!D3/666.67),0)</f>
        <v>186</v>
      </c>
      <c r="C5" s="3362" t="s">
        <v>3623</v>
      </c>
      <c r="D5" s="94"/>
      <c r="E5" s="2492"/>
      <c r="F5" s="94"/>
      <c r="G5" s="94"/>
    </row>
    <row r="6" spans="1:7" s="95" customFormat="1" ht="15.75">
      <c r="A6" s="3250" t="s">
        <v>3321</v>
      </c>
      <c r="B6" s="3251" t="s">
        <v>3322</v>
      </c>
      <c r="C6" s="3252" t="s">
        <v>3943</v>
      </c>
      <c r="D6" s="3253" t="s">
        <v>3327</v>
      </c>
      <c r="E6" s="3254" t="s">
        <v>3328</v>
      </c>
      <c r="F6" s="3254" t="s">
        <v>3329</v>
      </c>
      <c r="G6" s="3255" t="s">
        <v>3323</v>
      </c>
    </row>
    <row r="7" spans="1:7" s="103" customFormat="1" ht="15.75">
      <c r="A7" s="3256" t="s">
        <v>3320</v>
      </c>
      <c r="B7" s="2485" t="s">
        <v>3567</v>
      </c>
      <c r="C7" s="2507">
        <f>IF(G7="征收国有地",C8,IF(G7="征收集体地",C11,C17))</f>
        <v>0</v>
      </c>
      <c r="D7" s="3238"/>
      <c r="E7" s="3238"/>
      <c r="F7" s="3238"/>
      <c r="G7" s="3313"/>
    </row>
    <row r="8" spans="1:7" s="109" customFormat="1">
      <c r="A8" s="3257" t="s">
        <v>3591</v>
      </c>
      <c r="B8" s="3245" t="s">
        <v>3562</v>
      </c>
      <c r="C8" s="2544">
        <f>C9+C10</f>
        <v>0</v>
      </c>
      <c r="D8" s="3204"/>
      <c r="E8" s="3204"/>
      <c r="F8" s="3204"/>
      <c r="G8" s="3236"/>
    </row>
    <row r="9" spans="1:7" s="109" customFormat="1">
      <c r="A9" s="2563" t="s">
        <v>1451</v>
      </c>
      <c r="B9" s="124" t="s">
        <v>3550</v>
      </c>
      <c r="C9" s="3389">
        <f>ROUND(D9*E9/10000,0)</f>
        <v>0</v>
      </c>
      <c r="D9" s="3234"/>
      <c r="E9" s="3234"/>
      <c r="F9" s="3204"/>
      <c r="G9" s="3258"/>
    </row>
    <row r="10" spans="1:7" s="109" customFormat="1">
      <c r="A10" s="2563" t="s">
        <v>1453</v>
      </c>
      <c r="B10" s="124" t="s">
        <v>3551</v>
      </c>
      <c r="C10" s="3389">
        <f>ROUND(D10*E10/10000,0)</f>
        <v>0</v>
      </c>
      <c r="D10" s="3234"/>
      <c r="E10" s="3234"/>
      <c r="F10" s="3204"/>
      <c r="G10" s="3258"/>
    </row>
    <row r="11" spans="1:7" s="109" customFormat="1" ht="13.5">
      <c r="A11" s="3205" t="s">
        <v>3573</v>
      </c>
      <c r="B11" s="3308" t="s">
        <v>3563</v>
      </c>
      <c r="C11" s="136">
        <f>C12+C15+C16</f>
        <v>0</v>
      </c>
      <c r="D11" s="3204"/>
      <c r="E11" s="3204"/>
      <c r="F11" s="3204"/>
      <c r="G11" s="3258"/>
    </row>
    <row r="12" spans="1:7" s="109" customFormat="1">
      <c r="A12" s="2563" t="s">
        <v>1451</v>
      </c>
      <c r="B12" s="124" t="s">
        <v>3552</v>
      </c>
      <c r="C12" s="124">
        <f>C13+C14</f>
        <v>0</v>
      </c>
      <c r="D12" s="994"/>
      <c r="E12" s="994"/>
      <c r="F12" s="3204"/>
      <c r="G12" s="3259" t="s">
        <v>3553</v>
      </c>
    </row>
    <row r="13" spans="1:7" s="109" customFormat="1">
      <c r="A13" s="3309" t="s">
        <v>3575</v>
      </c>
      <c r="B13" s="3310" t="s">
        <v>3574</v>
      </c>
      <c r="C13" s="3389">
        <f>ROUND(D13*E13/10000,0)</f>
        <v>0</v>
      </c>
      <c r="D13" s="3234"/>
      <c r="E13" s="3234"/>
      <c r="F13" s="3204"/>
      <c r="G13" s="3260" t="s">
        <v>3655</v>
      </c>
    </row>
    <row r="14" spans="1:7" s="109" customFormat="1">
      <c r="A14" s="3309" t="s">
        <v>3577</v>
      </c>
      <c r="B14" s="3310" t="s">
        <v>3576</v>
      </c>
      <c r="C14" s="3234">
        <v>0</v>
      </c>
      <c r="D14" s="994"/>
      <c r="E14" s="994"/>
      <c r="F14" s="3204"/>
      <c r="G14" s="3260"/>
    </row>
    <row r="15" spans="1:7" s="109" customFormat="1">
      <c r="A15" s="2563" t="s">
        <v>1453</v>
      </c>
      <c r="B15" s="124" t="s">
        <v>3554</v>
      </c>
      <c r="C15" s="3389">
        <f t="shared" ref="C15" si="0">ROUND(D15*E15/10000,0)</f>
        <v>0</v>
      </c>
      <c r="D15" s="3234"/>
      <c r="E15" s="3234"/>
      <c r="F15" s="3204"/>
      <c r="G15" s="3260" t="s">
        <v>3555</v>
      </c>
    </row>
    <row r="16" spans="1:7" s="109" customFormat="1">
      <c r="A16" s="2563" t="s">
        <v>3566</v>
      </c>
      <c r="B16" s="3246" t="s">
        <v>3556</v>
      </c>
      <c r="C16" s="3389">
        <f>C13*F16</f>
        <v>0</v>
      </c>
      <c r="D16" s="3234"/>
      <c r="E16" s="3234"/>
      <c r="F16" s="3390">
        <v>0.25</v>
      </c>
      <c r="G16" s="3323" t="s">
        <v>3557</v>
      </c>
    </row>
    <row r="17" spans="1:9" s="109" customFormat="1" ht="13.5">
      <c r="A17" s="3205" t="s">
        <v>337</v>
      </c>
      <c r="B17" s="3245" t="s">
        <v>3564</v>
      </c>
      <c r="C17" s="2503">
        <f>C18+C19</f>
        <v>0</v>
      </c>
      <c r="D17" s="3315"/>
      <c r="E17" s="3316"/>
      <c r="F17" s="2535"/>
      <c r="G17" s="3324"/>
    </row>
    <row r="18" spans="1:9" s="109" customFormat="1">
      <c r="A18" s="3203" t="s">
        <v>347</v>
      </c>
      <c r="B18" s="3246" t="s">
        <v>1442</v>
      </c>
      <c r="C18" s="3002"/>
      <c r="D18" s="3317"/>
      <c r="E18" s="3316"/>
      <c r="F18" s="2534"/>
      <c r="G18" s="3391" t="s">
        <v>3656</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3592</v>
      </c>
      <c r="B20" s="2485" t="s">
        <v>3565</v>
      </c>
      <c r="C20" s="2516">
        <f ca="1">C21+C24+C25</f>
        <v>7270</v>
      </c>
      <c r="D20" s="3318"/>
      <c r="E20" s="3319"/>
      <c r="F20" s="2539"/>
      <c r="G20" s="3325"/>
    </row>
    <row r="21" spans="1:9" s="118" customFormat="1" ht="15">
      <c r="A21" s="3261" t="s">
        <v>3588</v>
      </c>
      <c r="B21" s="3239" t="s">
        <v>3313</v>
      </c>
      <c r="C21" s="2544">
        <f ca="1">IF(G21="已包含在土地购买价格中","0",IF(C1="",'数据-取费表'!B29,IF(G22="全部缴纳",C22+C23,H22)))</f>
        <v>2399</v>
      </c>
      <c r="D21" s="3320"/>
      <c r="E21" s="3321"/>
      <c r="F21" s="3235"/>
      <c r="G21" s="1338"/>
    </row>
    <row r="22" spans="1:9" s="109" customFormat="1">
      <c r="A22" s="2487" t="s">
        <v>3571</v>
      </c>
      <c r="B22" s="3240" t="s">
        <v>1447</v>
      </c>
      <c r="C22" s="2543">
        <f ca="1">ROUND(D22*E22/10000,0)</f>
        <v>0</v>
      </c>
      <c r="D22" s="3232">
        <f ca="1">IF(C1="",'数据-汇总表'!E5,IF(INDIRECT("'数据-取费表'!c"&amp;$G$1)="住宅",INDIRECT("'数据-取费表'!k"&amp;$G$1),0))</f>
        <v>0</v>
      </c>
      <c r="E22" s="3232">
        <f>'数据-取费表'!B27</f>
        <v>160</v>
      </c>
      <c r="F22" s="2535"/>
      <c r="G22" s="1339"/>
      <c r="H22" s="762"/>
      <c r="I22" s="1340" t="s">
        <v>1448</v>
      </c>
    </row>
    <row r="23" spans="1:9" s="109" customFormat="1">
      <c r="A23" s="2487" t="s">
        <v>3572</v>
      </c>
      <c r="B23" s="3240" t="s">
        <v>1449</v>
      </c>
      <c r="C23" s="2543">
        <f ca="1">ROUND(D23*E23/10000,0)</f>
        <v>2399</v>
      </c>
      <c r="D23" s="3232">
        <f ca="1">IF(C1="",'数据-汇总表'!E6,IF(INDIRECT("'数据-取费表'!c"&amp;$G$1)="住宅",INDIRECT("'数据-取费表'!s"&amp;$G$1),INDIRECT("'数据-取费表'!k"&amp;$G$1)+INDIRECT("'数据-取费表'!s"&amp;$G$1)))</f>
        <v>119963.53</v>
      </c>
      <c r="E23" s="3232">
        <f>'数据-取费表'!B28</f>
        <v>200</v>
      </c>
      <c r="F23" s="2535"/>
      <c r="G23" s="3326"/>
    </row>
    <row r="24" spans="1:9" s="109" customFormat="1" ht="13.5">
      <c r="A24" s="3205" t="s">
        <v>3573</v>
      </c>
      <c r="B24" s="3241" t="s">
        <v>3589</v>
      </c>
      <c r="C24" s="2544">
        <f ca="1">IF(G24="已包含在土地取得成本中","0",ROUND(D24*E24/10000,0))</f>
        <v>1512</v>
      </c>
      <c r="D24" s="3233">
        <f ca="1">D22+D23</f>
        <v>119963.53</v>
      </c>
      <c r="E24" s="3233">
        <f>'数据-取费表'!B31</f>
        <v>126</v>
      </c>
      <c r="F24" s="3242"/>
      <c r="G24" s="1338"/>
    </row>
    <row r="25" spans="1:9" s="109" customFormat="1" ht="13.5">
      <c r="A25" s="3205" t="s">
        <v>337</v>
      </c>
      <c r="B25" s="3241" t="s">
        <v>3590</v>
      </c>
      <c r="C25" s="2544">
        <f ca="1">ROUND(E25*D25/10000,0)</f>
        <v>3359</v>
      </c>
      <c r="D25" s="3233">
        <f ca="1">D24</f>
        <v>119963.53</v>
      </c>
      <c r="E25" s="3233">
        <f>'数据-取费表'!B35</f>
        <v>280</v>
      </c>
      <c r="F25" s="3235"/>
      <c r="G25" s="3327"/>
    </row>
    <row r="26" spans="1:9" s="103" customFormat="1" ht="15.75">
      <c r="A26" s="3256" t="s">
        <v>3593</v>
      </c>
      <c r="B26" s="2485" t="s">
        <v>3594</v>
      </c>
      <c r="C26" s="2504">
        <f>C27+C28</f>
        <v>0</v>
      </c>
      <c r="D26" s="3322"/>
      <c r="E26" s="3322"/>
      <c r="F26" s="3235"/>
      <c r="G26" s="3328"/>
    </row>
    <row r="27" spans="1:9" s="109" customFormat="1">
      <c r="A27" s="3257" t="s">
        <v>3591</v>
      </c>
      <c r="B27" s="3243" t="s">
        <v>3558</v>
      </c>
      <c r="C27" s="2544">
        <f>ROUND(E27*D27/10000,0)</f>
        <v>0</v>
      </c>
      <c r="D27" s="3244"/>
      <c r="E27" s="3266">
        <v>25</v>
      </c>
      <c r="F27" s="3235"/>
      <c r="G27" s="3323" t="s">
        <v>3559</v>
      </c>
    </row>
    <row r="28" spans="1:9" s="109" customFormat="1">
      <c r="A28" s="3262" t="s">
        <v>3573</v>
      </c>
      <c r="B28" s="3243" t="s">
        <v>3560</v>
      </c>
      <c r="C28" s="2544">
        <f>ROUND(E28*D28/10000,0)</f>
        <v>0</v>
      </c>
      <c r="D28" s="3244"/>
      <c r="E28" s="3266">
        <v>60.1</v>
      </c>
      <c r="F28" s="3235"/>
      <c r="G28" s="3323" t="s">
        <v>3561</v>
      </c>
    </row>
    <row r="29" spans="1:9" s="2515" customFormat="1" ht="15.75">
      <c r="A29" s="3256" t="s">
        <v>3595</v>
      </c>
      <c r="B29" s="2485" t="s">
        <v>3596</v>
      </c>
      <c r="C29" s="2495">
        <f ca="1">ROUND(IF('数据-取费表'!B19&lt;=1,((C7+C26)*'数据-取费表'!B19+C20*'数据-取费表'!B19/2)*F29,((C7+C26)*(POWER((1+F29),'数据-取费表'!B19)-1)+C20*(POWER((1+F29),'数据-取费表'!B19/2)-1))),0)</f>
        <v>0</v>
      </c>
      <c r="D29" s="2520"/>
      <c r="E29" s="296"/>
      <c r="F29" s="3237">
        <f ca="1">'数据-取费表'!B41</f>
        <v>3.2500000000000001E-2</v>
      </c>
      <c r="G29" s="3329" t="str">
        <f>IF('数据-取费表'!B19&lt;=1,"单利计息","复利计息")</f>
        <v>单利计息</v>
      </c>
    </row>
    <row r="30" spans="1:9" s="2515" customFormat="1" ht="15.75">
      <c r="A30" s="3256" t="s">
        <v>3597</v>
      </c>
      <c r="B30" s="2485" t="s">
        <v>3598</v>
      </c>
      <c r="C30" s="2522">
        <f ca="1">ROUND((C7+C20+C26)*F30,0)</f>
        <v>1454</v>
      </c>
      <c r="D30" s="2520"/>
      <c r="E30" s="296"/>
      <c r="F30" s="3247">
        <f ca="1">IF(C1="",'数据-取费表'!Q16,INDIRECT("'数据-取费表'!q"&amp;$G$1))</f>
        <v>0.2</v>
      </c>
      <c r="G30" s="3329"/>
    </row>
    <row r="31" spans="1:9" s="109" customFormat="1" ht="15.75">
      <c r="A31" s="2486" t="s">
        <v>3578</v>
      </c>
      <c r="B31" s="2485" t="s">
        <v>3570</v>
      </c>
      <c r="C31" s="2507">
        <f ca="1">C7+C20+C29+C30</f>
        <v>8724</v>
      </c>
      <c r="D31" s="2498"/>
      <c r="E31" s="2498"/>
      <c r="F31" s="2497"/>
      <c r="G31" s="2499" t="s">
        <v>3601</v>
      </c>
    </row>
    <row r="32" spans="1:9" s="109" customFormat="1" ht="15.75">
      <c r="A32" s="2486" t="s">
        <v>3569</v>
      </c>
      <c r="B32" s="2485" t="s">
        <v>3568</v>
      </c>
      <c r="C32" s="3312">
        <f ca="1">ROUND(C31*F32,0)</f>
        <v>872</v>
      </c>
      <c r="D32" s="130"/>
      <c r="E32" s="131"/>
      <c r="F32" s="3248">
        <v>0.1</v>
      </c>
      <c r="G32" s="3330"/>
    </row>
    <row r="33" spans="1:14" s="109" customFormat="1" ht="15.75">
      <c r="A33" s="3311">
        <v>8</v>
      </c>
      <c r="B33" s="2485" t="s">
        <v>3580</v>
      </c>
      <c r="C33" s="2507">
        <f ca="1">C31+C32</f>
        <v>9596</v>
      </c>
      <c r="D33" s="2498"/>
      <c r="E33" s="2498"/>
      <c r="F33" s="3249"/>
      <c r="G33" s="2499" t="s">
        <v>3600</v>
      </c>
    </row>
    <row r="34" spans="1:14" s="118" customFormat="1" ht="16.5" thickBot="1">
      <c r="A34" s="3263">
        <v>9</v>
      </c>
      <c r="B34" s="3264" t="s">
        <v>3579</v>
      </c>
      <c r="C34" s="2507">
        <f ca="1">ROUND(C33*F34,0)</f>
        <v>6852</v>
      </c>
      <c r="D34" s="3265"/>
      <c r="E34" s="3265"/>
      <c r="F34" s="3314">
        <f>'数据-取费表'!AS16</f>
        <v>0.71399999999999997</v>
      </c>
      <c r="G34" s="2499" t="s">
        <v>3602</v>
      </c>
    </row>
    <row r="35" spans="1:14" s="109" customFormat="1"/>
    <row r="36" spans="1:14" s="109" customFormat="1"/>
    <row r="41" spans="1:14">
      <c r="J41" s="4206" t="s">
        <v>4053</v>
      </c>
    </row>
    <row r="42" spans="1:14">
      <c r="J42" s="4206" t="s">
        <v>4050</v>
      </c>
    </row>
    <row r="43" spans="1:14">
      <c r="J43" s="4207" t="s">
        <v>3989</v>
      </c>
      <c r="K43" s="4207"/>
      <c r="L43" s="4208"/>
      <c r="M43" s="4208"/>
      <c r="N43" s="4208"/>
    </row>
    <row r="44" spans="1:14" ht="25.5">
      <c r="J44" s="4728" t="s">
        <v>3990</v>
      </c>
      <c r="K44" s="4729"/>
      <c r="L44" s="4730"/>
      <c r="M44" s="4209" t="s">
        <v>3991</v>
      </c>
      <c r="N44" s="4209" t="s">
        <v>3992</v>
      </c>
    </row>
    <row r="45" spans="1:14">
      <c r="J45" s="4728" t="s">
        <v>3993</v>
      </c>
      <c r="K45" s="4729"/>
      <c r="L45" s="4730"/>
      <c r="M45" s="4209" t="s">
        <v>3994</v>
      </c>
      <c r="N45" s="4725" t="s">
        <v>3995</v>
      </c>
    </row>
    <row r="46" spans="1:14">
      <c r="J46" s="4728" t="s">
        <v>3996</v>
      </c>
      <c r="K46" s="4729"/>
      <c r="L46" s="4730"/>
      <c r="M46" s="4731" t="s">
        <v>3997</v>
      </c>
      <c r="N46" s="4726"/>
    </row>
    <row r="47" spans="1:14">
      <c r="J47" s="4728" t="s">
        <v>3998</v>
      </c>
      <c r="K47" s="4729"/>
      <c r="L47" s="4730"/>
      <c r="M47" s="4732"/>
      <c r="N47" s="4726"/>
    </row>
    <row r="48" spans="1:14">
      <c r="J48" s="4725" t="s">
        <v>4009</v>
      </c>
      <c r="K48" s="4731"/>
      <c r="L48" s="4209" t="s">
        <v>3999</v>
      </c>
      <c r="M48" s="4731" t="s">
        <v>4000</v>
      </c>
      <c r="N48" s="4726"/>
    </row>
    <row r="49" spans="10:15">
      <c r="J49" s="4726"/>
      <c r="K49" s="4733"/>
      <c r="L49" s="4209" t="s">
        <v>4001</v>
      </c>
      <c r="M49" s="4733"/>
      <c r="N49" s="4726"/>
    </row>
    <row r="50" spans="10:15">
      <c r="J50" s="4726"/>
      <c r="K50" s="4732"/>
      <c r="L50" s="4209" t="s">
        <v>4002</v>
      </c>
      <c r="M50" s="4733"/>
      <c r="N50" s="4726"/>
    </row>
    <row r="51" spans="10:15">
      <c r="J51" s="4726"/>
      <c r="K51" s="4725" t="s">
        <v>4010</v>
      </c>
      <c r="L51" s="4209" t="s">
        <v>4003</v>
      </c>
      <c r="M51" s="4733"/>
      <c r="N51" s="4726"/>
    </row>
    <row r="52" spans="10:15">
      <c r="J52" s="4727"/>
      <c r="K52" s="4726"/>
      <c r="L52" s="4209" t="s">
        <v>4011</v>
      </c>
      <c r="M52" s="4733"/>
      <c r="N52" s="4726"/>
    </row>
    <row r="53" spans="10:15">
      <c r="J53" s="4731"/>
      <c r="K53" s="4726"/>
      <c r="L53" s="4209" t="s">
        <v>4012</v>
      </c>
      <c r="M53" s="4733"/>
      <c r="N53" s="4726"/>
    </row>
    <row r="54" spans="10:15">
      <c r="J54" s="4733"/>
      <c r="K54" s="4726"/>
      <c r="L54" s="4209" t="s">
        <v>4004</v>
      </c>
      <c r="M54" s="4733"/>
      <c r="N54" s="4726"/>
    </row>
    <row r="55" spans="10:15">
      <c r="J55" s="4733"/>
      <c r="K55" s="4726"/>
      <c r="L55" s="4209" t="s">
        <v>4005</v>
      </c>
      <c r="M55" s="4733"/>
      <c r="N55" s="4726"/>
    </row>
    <row r="56" spans="10:15">
      <c r="J56" s="4733"/>
      <c r="K56" s="4726"/>
      <c r="L56" s="4209" t="s">
        <v>4006</v>
      </c>
      <c r="M56" s="4732"/>
      <c r="N56" s="4726"/>
    </row>
    <row r="57" spans="10:15">
      <c r="J57" s="4732"/>
      <c r="K57" s="4727"/>
      <c r="L57" s="4209" t="s">
        <v>4007</v>
      </c>
      <c r="M57" s="4210" t="s">
        <v>4008</v>
      </c>
      <c r="N57" s="4727"/>
    </row>
    <row r="60" spans="10:15">
      <c r="J60" s="4208" t="s">
        <v>4013</v>
      </c>
      <c r="K60" s="4208"/>
      <c r="L60" s="4208"/>
      <c r="M60" s="4208"/>
      <c r="N60" s="4208"/>
      <c r="O60" s="4208"/>
    </row>
    <row r="61" spans="10:15">
      <c r="J61" s="4207" t="s">
        <v>4014</v>
      </c>
      <c r="K61" s="4207" t="s">
        <v>4015</v>
      </c>
      <c r="L61" s="4207" t="s">
        <v>4016</v>
      </c>
      <c r="M61" s="4207" t="s">
        <v>4017</v>
      </c>
      <c r="N61" s="4207" t="s">
        <v>4018</v>
      </c>
      <c r="O61" s="4207" t="s">
        <v>4010</v>
      </c>
    </row>
    <row r="62" spans="10:15">
      <c r="J62" s="4207" t="s">
        <v>4019</v>
      </c>
      <c r="K62" s="4211" t="s">
        <v>4052</v>
      </c>
      <c r="L62" s="4207" t="s">
        <v>4020</v>
      </c>
      <c r="M62" s="4207" t="s">
        <v>4020</v>
      </c>
      <c r="N62" s="4207" t="s">
        <v>4021</v>
      </c>
      <c r="O62" s="4207" t="s">
        <v>4021</v>
      </c>
    </row>
    <row r="63" spans="10:15">
      <c r="J63" s="4207" t="s">
        <v>4022</v>
      </c>
      <c r="K63" s="4207" t="s">
        <v>4023</v>
      </c>
      <c r="L63" s="4207" t="s">
        <v>4024</v>
      </c>
      <c r="M63" s="4207" t="s">
        <v>4024</v>
      </c>
      <c r="N63" s="4207" t="s">
        <v>4025</v>
      </c>
      <c r="O63" s="4207" t="s">
        <v>4025</v>
      </c>
    </row>
    <row r="67" spans="10:15">
      <c r="J67" s="4208" t="s">
        <v>4026</v>
      </c>
      <c r="K67" s="4208"/>
      <c r="L67" s="4208"/>
      <c r="M67" s="4208"/>
      <c r="N67" s="4208"/>
      <c r="O67" s="4208"/>
    </row>
    <row r="68" spans="10:15">
      <c r="J68" s="4207" t="s">
        <v>4014</v>
      </c>
      <c r="K68" s="4207" t="s">
        <v>4027</v>
      </c>
      <c r="L68" s="4735" t="s">
        <v>4028</v>
      </c>
      <c r="M68" s="4735"/>
      <c r="N68" s="4735"/>
      <c r="O68" s="4207" t="s">
        <v>3992</v>
      </c>
    </row>
    <row r="69" spans="10:15" ht="25.5">
      <c r="J69" s="4207" t="s">
        <v>4029</v>
      </c>
      <c r="K69" s="4212" t="s">
        <v>4030</v>
      </c>
      <c r="L69" s="4734" t="s">
        <v>4031</v>
      </c>
      <c r="M69" s="4734"/>
      <c r="N69" s="4734"/>
      <c r="O69" s="4207"/>
    </row>
    <row r="70" spans="10:15" ht="25.5">
      <c r="J70" s="4207" t="s">
        <v>4032</v>
      </c>
      <c r="K70" s="4212" t="s">
        <v>4033</v>
      </c>
      <c r="L70" s="4734" t="s">
        <v>4034</v>
      </c>
      <c r="M70" s="4734"/>
      <c r="N70" s="4734"/>
      <c r="O70" s="4207"/>
    </row>
    <row r="71" spans="10:15" ht="25.5">
      <c r="J71" s="4207" t="s">
        <v>4035</v>
      </c>
      <c r="K71" s="4212" t="s">
        <v>4036</v>
      </c>
      <c r="L71" s="4734" t="s">
        <v>4037</v>
      </c>
      <c r="M71" s="4734"/>
      <c r="N71" s="4734"/>
      <c r="O71" s="4207"/>
    </row>
    <row r="72" spans="10:15" ht="27" customHeight="1">
      <c r="J72" s="4207" t="s">
        <v>4038</v>
      </c>
      <c r="K72" s="4212" t="s">
        <v>4039</v>
      </c>
      <c r="L72" s="4734" t="s">
        <v>4051</v>
      </c>
      <c r="M72" s="4734"/>
      <c r="N72" s="4734"/>
      <c r="O72" s="4207"/>
    </row>
    <row r="73" spans="10:15" ht="30" customHeight="1">
      <c r="J73" s="4207" t="s">
        <v>4040</v>
      </c>
      <c r="K73" s="4212" t="s">
        <v>4041</v>
      </c>
      <c r="L73" s="4734" t="s">
        <v>4042</v>
      </c>
      <c r="M73" s="4734"/>
      <c r="N73" s="4734"/>
      <c r="O73" s="4207" t="s">
        <v>2199</v>
      </c>
    </row>
    <row r="74" spans="10:15" ht="57.75" customHeight="1">
      <c r="J74" s="4207" t="s">
        <v>4043</v>
      </c>
      <c r="K74" s="4212" t="s">
        <v>4044</v>
      </c>
      <c r="L74" s="4734" t="s">
        <v>4045</v>
      </c>
      <c r="M74" s="4734"/>
      <c r="N74" s="4734"/>
      <c r="O74" s="4207" t="s">
        <v>4046</v>
      </c>
    </row>
    <row r="75" spans="10:15" ht="32.25" customHeight="1">
      <c r="J75" s="4207" t="s">
        <v>4047</v>
      </c>
      <c r="K75" s="4212" t="s">
        <v>4048</v>
      </c>
      <c r="L75" s="4734" t="s">
        <v>4049</v>
      </c>
      <c r="M75" s="4734"/>
      <c r="N75" s="4734"/>
      <c r="O75" s="420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2476</v>
      </c>
      <c r="B1" s="2216" t="s">
        <v>2477</v>
      </c>
      <c r="C1" s="2216" t="s">
        <v>2478</v>
      </c>
      <c r="D1" s="2216" t="s">
        <v>2479</v>
      </c>
      <c r="E1" s="2216" t="s">
        <v>2480</v>
      </c>
      <c r="F1" s="2216" t="s">
        <v>2481</v>
      </c>
      <c r="G1" s="2216" t="s">
        <v>2482</v>
      </c>
      <c r="H1" s="2216" t="s">
        <v>2483</v>
      </c>
      <c r="I1" s="2216" t="s">
        <v>2484</v>
      </c>
      <c r="J1" s="2216" t="s">
        <v>2485</v>
      </c>
      <c r="K1" s="2216" t="s">
        <v>2486</v>
      </c>
      <c r="L1" s="2216" t="s">
        <v>2487</v>
      </c>
      <c r="M1" s="2217" t="s">
        <v>2488</v>
      </c>
    </row>
    <row r="2" spans="1:13" ht="19.5" customHeight="1">
      <c r="A2" s="2219" t="s">
        <v>2489</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2490</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2491</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2492</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2493</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2494</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2495</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2496</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2497</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2498</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2499</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2500</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2501</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2502</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2503</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2504</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2505</v>
      </c>
      <c r="B18" s="2228"/>
      <c r="C18" s="2229"/>
      <c r="D18" s="2229"/>
      <c r="E18" s="2228"/>
      <c r="F18" s="2229"/>
      <c r="G18" s="2229"/>
    </row>
    <row r="19" spans="1:13" ht="19.5" customHeight="1" thickBot="1">
      <c r="A19" s="2227" t="s">
        <v>2506</v>
      </c>
      <c r="B19" s="2231" t="s">
        <v>2507</v>
      </c>
      <c r="C19" s="2231" t="s">
        <v>2508</v>
      </c>
      <c r="D19" s="2232"/>
      <c r="E19" s="2227" t="s">
        <v>2509</v>
      </c>
      <c r="F19" s="2233"/>
      <c r="G19" s="2233"/>
    </row>
    <row r="20" spans="1:13" ht="19.5" customHeight="1">
      <c r="A20" s="4747" t="s">
        <v>2489</v>
      </c>
      <c r="B20" s="4740" t="s">
        <v>2510</v>
      </c>
      <c r="C20" s="2474" t="s">
        <v>2321</v>
      </c>
      <c r="D20" s="2474"/>
      <c r="E20" s="3037">
        <v>1</v>
      </c>
      <c r="F20" s="2236" t="s">
        <v>2322</v>
      </c>
      <c r="G20" s="2236"/>
    </row>
    <row r="21" spans="1:13" ht="19.5" customHeight="1">
      <c r="A21" s="4748"/>
      <c r="B21" s="4736"/>
      <c r="C21" s="2245" t="s">
        <v>2323</v>
      </c>
      <c r="D21" s="2245"/>
      <c r="E21" s="3038">
        <v>1</v>
      </c>
      <c r="F21" s="2236" t="s">
        <v>2324</v>
      </c>
      <c r="G21" s="2236"/>
    </row>
    <row r="22" spans="1:13" ht="19.5" customHeight="1">
      <c r="A22" s="4748"/>
      <c r="B22" s="4736"/>
      <c r="C22" s="2245" t="s">
        <v>2325</v>
      </c>
      <c r="D22" s="2245"/>
      <c r="E22" s="3038">
        <v>0.9</v>
      </c>
      <c r="F22" s="2236" t="s">
        <v>2326</v>
      </c>
      <c r="G22" s="2236"/>
    </row>
    <row r="23" spans="1:13" ht="19.5" customHeight="1">
      <c r="A23" s="4748"/>
      <c r="B23" s="4736"/>
      <c r="C23" s="2245" t="s">
        <v>2327</v>
      </c>
      <c r="D23" s="2245"/>
      <c r="E23" s="3038">
        <v>0.9</v>
      </c>
      <c r="F23" s="2236" t="s">
        <v>2328</v>
      </c>
      <c r="G23" s="2236"/>
    </row>
    <row r="24" spans="1:13" ht="19.5" customHeight="1">
      <c r="A24" s="4748"/>
      <c r="B24" s="4736"/>
      <c r="C24" s="2245" t="s">
        <v>2329</v>
      </c>
      <c r="D24" s="2245"/>
      <c r="E24" s="3038">
        <v>0.8</v>
      </c>
      <c r="F24" s="2236" t="s">
        <v>2330</v>
      </c>
      <c r="G24" s="2236"/>
    </row>
    <row r="25" spans="1:13" ht="19.5" customHeight="1">
      <c r="A25" s="4748"/>
      <c r="B25" s="4736"/>
      <c r="C25" s="2245" t="s">
        <v>2331</v>
      </c>
      <c r="D25" s="2245"/>
      <c r="E25" s="3038">
        <v>0.8</v>
      </c>
      <c r="F25" s="2236"/>
      <c r="G25" s="2236"/>
    </row>
    <row r="26" spans="1:13" ht="19.5" customHeight="1">
      <c r="A26" s="4748"/>
      <c r="B26" s="4736"/>
      <c r="C26" s="2245" t="s">
        <v>3269</v>
      </c>
      <c r="D26" s="2245"/>
      <c r="E26" s="3038">
        <v>0.43</v>
      </c>
      <c r="F26" s="2236"/>
      <c r="G26" s="2236"/>
    </row>
    <row r="27" spans="1:13" ht="19.5" customHeight="1" thickBot="1">
      <c r="A27" s="4749"/>
      <c r="B27" s="4741"/>
      <c r="C27" s="2471" t="s">
        <v>3270</v>
      </c>
      <c r="D27" s="2471"/>
      <c r="E27" s="3039">
        <f>E26*0.9</f>
        <v>0.38700000000000001</v>
      </c>
      <c r="F27" s="2236" t="s">
        <v>2332</v>
      </c>
      <c r="G27" s="2236"/>
    </row>
    <row r="28" spans="1:13" ht="19.5" customHeight="1" thickBot="1">
      <c r="A28" s="2470" t="s">
        <v>2511</v>
      </c>
      <c r="B28" s="2469" t="s">
        <v>2510</v>
      </c>
      <c r="C28" s="2472" t="s">
        <v>2512</v>
      </c>
      <c r="D28" s="2473"/>
      <c r="E28" s="3040">
        <v>1</v>
      </c>
      <c r="F28" s="2236" t="s">
        <v>2333</v>
      </c>
      <c r="G28" s="2236"/>
    </row>
    <row r="29" spans="1:13" ht="19.5" customHeight="1">
      <c r="A29" s="4742" t="s">
        <v>2513</v>
      </c>
      <c r="B29" s="4745" t="s">
        <v>2494</v>
      </c>
      <c r="C29" s="2234" t="s">
        <v>2334</v>
      </c>
      <c r="D29" s="2235"/>
      <c r="E29" s="3037">
        <v>1</v>
      </c>
      <c r="F29" s="2236" t="s">
        <v>2335</v>
      </c>
      <c r="G29" s="2236"/>
    </row>
    <row r="30" spans="1:13" ht="19.5" customHeight="1">
      <c r="A30" s="4743"/>
      <c r="B30" s="4739"/>
      <c r="C30" s="2237" t="s">
        <v>2336</v>
      </c>
      <c r="D30" s="2238"/>
      <c r="E30" s="3038">
        <v>1</v>
      </c>
      <c r="F30" s="2236" t="s">
        <v>2337</v>
      </c>
      <c r="G30" s="2236"/>
    </row>
    <row r="31" spans="1:13" ht="19.5" customHeight="1">
      <c r="A31" s="4743"/>
      <c r="B31" s="4739"/>
      <c r="C31" s="2237" t="s">
        <v>2338</v>
      </c>
      <c r="D31" s="2238"/>
      <c r="E31" s="3038">
        <v>0.8</v>
      </c>
      <c r="F31" s="2236" t="s">
        <v>2339</v>
      </c>
      <c r="G31" s="2236"/>
    </row>
    <row r="32" spans="1:13" ht="19.5" customHeight="1">
      <c r="A32" s="4743"/>
      <c r="B32" s="4739"/>
      <c r="C32" s="2237" t="s">
        <v>2340</v>
      </c>
      <c r="D32" s="2238"/>
      <c r="E32" s="3038">
        <v>0.8</v>
      </c>
      <c r="F32" s="2236" t="s">
        <v>2341</v>
      </c>
      <c r="G32" s="2236"/>
    </row>
    <row r="33" spans="1:7" ht="19.5" customHeight="1">
      <c r="A33" s="4743"/>
      <c r="B33" s="4739"/>
      <c r="C33" s="2237" t="s">
        <v>2342</v>
      </c>
      <c r="D33" s="2238"/>
      <c r="E33" s="3038">
        <v>0.8</v>
      </c>
      <c r="F33" s="2236" t="s">
        <v>2343</v>
      </c>
      <c r="G33" s="2236"/>
    </row>
    <row r="34" spans="1:7" ht="19.5" customHeight="1">
      <c r="A34" s="4743"/>
      <c r="B34" s="4739"/>
      <c r="C34" s="2237" t="s">
        <v>2344</v>
      </c>
      <c r="D34" s="2238"/>
      <c r="E34" s="3038">
        <v>0.7</v>
      </c>
      <c r="F34" s="2236" t="s">
        <v>2345</v>
      </c>
      <c r="G34" s="2236"/>
    </row>
    <row r="35" spans="1:7" ht="19.5" customHeight="1">
      <c r="A35" s="4743"/>
      <c r="B35" s="4739"/>
      <c r="C35" s="2237" t="s">
        <v>2346</v>
      </c>
      <c r="D35" s="2238"/>
      <c r="E35" s="3038">
        <v>0.8</v>
      </c>
      <c r="F35" s="2236" t="s">
        <v>2347</v>
      </c>
      <c r="G35" s="2236"/>
    </row>
    <row r="36" spans="1:7" ht="19.5" customHeight="1">
      <c r="A36" s="4743"/>
      <c r="B36" s="4739"/>
      <c r="C36" s="2237" t="s">
        <v>2348</v>
      </c>
      <c r="D36" s="2238"/>
      <c r="E36" s="3038">
        <v>0.6</v>
      </c>
      <c r="F36" s="2236" t="s">
        <v>2349</v>
      </c>
      <c r="G36" s="2236"/>
    </row>
    <row r="37" spans="1:7" ht="19.5" customHeight="1">
      <c r="A37" s="4743"/>
      <c r="B37" s="4739"/>
      <c r="C37" s="2237" t="s">
        <v>2350</v>
      </c>
      <c r="D37" s="2238"/>
      <c r="E37" s="3038">
        <v>0.2</v>
      </c>
      <c r="F37" s="2236" t="s">
        <v>2351</v>
      </c>
      <c r="G37" s="2236"/>
    </row>
    <row r="38" spans="1:7" ht="19.5" customHeight="1">
      <c r="A38" s="4743"/>
      <c r="B38" s="4739"/>
      <c r="C38" s="2237" t="s">
        <v>2352</v>
      </c>
      <c r="D38" s="2238"/>
      <c r="E38" s="3038">
        <v>0.2</v>
      </c>
      <c r="F38" s="2236" t="s">
        <v>2353</v>
      </c>
      <c r="G38" s="2236"/>
    </row>
    <row r="39" spans="1:7" ht="19.5" customHeight="1">
      <c r="A39" s="4743"/>
      <c r="B39" s="4737" t="s">
        <v>2514</v>
      </c>
      <c r="C39" s="2237" t="s">
        <v>2354</v>
      </c>
      <c r="D39" s="2238"/>
      <c r="E39" s="3038">
        <v>0.6</v>
      </c>
      <c r="F39" s="2236" t="s">
        <v>2355</v>
      </c>
      <c r="G39" s="2236"/>
    </row>
    <row r="40" spans="1:7" ht="19.5" customHeight="1">
      <c r="A40" s="4743"/>
      <c r="B40" s="4739"/>
      <c r="C40" s="2237" t="s">
        <v>2356</v>
      </c>
      <c r="D40" s="2238"/>
      <c r="E40" s="3038">
        <v>0.6</v>
      </c>
      <c r="F40" s="2236" t="s">
        <v>2357</v>
      </c>
      <c r="G40" s="2236"/>
    </row>
    <row r="41" spans="1:7" ht="19.5" customHeight="1" thickBot="1">
      <c r="A41" s="4744"/>
      <c r="B41" s="4746"/>
      <c r="C41" s="2239" t="s">
        <v>2358</v>
      </c>
      <c r="D41" s="2240"/>
      <c r="E41" s="3039">
        <v>0.6</v>
      </c>
      <c r="F41" s="2236" t="s">
        <v>2359</v>
      </c>
      <c r="G41" s="2236"/>
    </row>
    <row r="42" spans="1:7" ht="19.5" customHeight="1" thickBot="1">
      <c r="A42" s="2241" t="s">
        <v>2491</v>
      </c>
      <c r="B42" s="2242" t="s">
        <v>2491</v>
      </c>
      <c r="C42" s="2243" t="s">
        <v>2515</v>
      </c>
      <c r="D42" s="2244"/>
      <c r="E42" s="3041">
        <v>1</v>
      </c>
      <c r="F42" s="2236" t="s">
        <v>2360</v>
      </c>
      <c r="G42" s="2236"/>
    </row>
    <row r="43" spans="1:7" ht="19.5" customHeight="1">
      <c r="A43" s="4747" t="s">
        <v>2492</v>
      </c>
      <c r="B43" s="4745" t="s">
        <v>2516</v>
      </c>
      <c r="C43" s="2234" t="s">
        <v>2361</v>
      </c>
      <c r="D43" s="2235"/>
      <c r="E43" s="3037">
        <v>1</v>
      </c>
      <c r="F43" s="2236" t="s">
        <v>2362</v>
      </c>
      <c r="G43" s="2236"/>
    </row>
    <row r="44" spans="1:7" ht="19.5" customHeight="1">
      <c r="A44" s="4748"/>
      <c r="B44" s="4739"/>
      <c r="C44" s="2237" t="s">
        <v>2363</v>
      </c>
      <c r="D44" s="2238"/>
      <c r="E44" s="3038">
        <v>1</v>
      </c>
      <c r="F44" s="2236" t="s">
        <v>2364</v>
      </c>
      <c r="G44" s="2236"/>
    </row>
    <row r="45" spans="1:7" ht="19.5" customHeight="1">
      <c r="A45" s="4748"/>
      <c r="B45" s="4738"/>
      <c r="C45" s="2237" t="s">
        <v>2365</v>
      </c>
      <c r="D45" s="2238"/>
      <c r="E45" s="3038">
        <v>1.5</v>
      </c>
      <c r="F45" s="2236" t="s">
        <v>2366</v>
      </c>
      <c r="G45" s="2236"/>
    </row>
    <row r="46" spans="1:7" ht="19.5" customHeight="1">
      <c r="A46" s="4748"/>
      <c r="B46" s="2245" t="s">
        <v>2517</v>
      </c>
      <c r="C46" s="2237" t="s">
        <v>2518</v>
      </c>
      <c r="D46" s="2238"/>
      <c r="E46" s="3038">
        <v>2</v>
      </c>
      <c r="F46" s="2236" t="s">
        <v>2367</v>
      </c>
      <c r="G46" s="2236"/>
    </row>
    <row r="47" spans="1:7" ht="19.5" customHeight="1">
      <c r="A47" s="4748"/>
      <c r="B47" s="4737" t="s">
        <v>2519</v>
      </c>
      <c r="C47" s="2237" t="s">
        <v>2368</v>
      </c>
      <c r="D47" s="2238"/>
      <c r="E47" s="3038">
        <v>1</v>
      </c>
      <c r="F47" s="2236" t="s">
        <v>2369</v>
      </c>
      <c r="G47" s="2236"/>
    </row>
    <row r="48" spans="1:7" ht="19.5" customHeight="1">
      <c r="A48" s="4748"/>
      <c r="B48" s="4739"/>
      <c r="C48" s="2237" t="s">
        <v>2370</v>
      </c>
      <c r="D48" s="2238"/>
      <c r="E48" s="3038">
        <v>1</v>
      </c>
      <c r="F48" s="2236" t="s">
        <v>2371</v>
      </c>
      <c r="G48" s="2236"/>
    </row>
    <row r="49" spans="1:7" ht="19.5" customHeight="1">
      <c r="A49" s="4748"/>
      <c r="B49" s="4739"/>
      <c r="C49" s="2237" t="s">
        <v>2372</v>
      </c>
      <c r="D49" s="2238"/>
      <c r="E49" s="3038">
        <v>1</v>
      </c>
      <c r="F49" s="2236" t="s">
        <v>2373</v>
      </c>
      <c r="G49" s="2236"/>
    </row>
    <row r="50" spans="1:7" ht="19.5" customHeight="1">
      <c r="A50" s="4748"/>
      <c r="B50" s="4739"/>
      <c r="C50" s="2237" t="s">
        <v>2374</v>
      </c>
      <c r="D50" s="2238"/>
      <c r="E50" s="3038">
        <v>1</v>
      </c>
      <c r="F50" s="2236" t="s">
        <v>2375</v>
      </c>
      <c r="G50" s="2236"/>
    </row>
    <row r="51" spans="1:7" ht="19.5" customHeight="1">
      <c r="A51" s="4748"/>
      <c r="B51" s="4739"/>
      <c r="C51" s="2237" t="s">
        <v>2376</v>
      </c>
      <c r="D51" s="2238"/>
      <c r="E51" s="3038">
        <v>1</v>
      </c>
      <c r="F51" s="2236" t="s">
        <v>2377</v>
      </c>
      <c r="G51" s="2236"/>
    </row>
    <row r="52" spans="1:7" ht="19.5" customHeight="1">
      <c r="A52" s="4748"/>
      <c r="B52" s="4739"/>
      <c r="C52" s="2237" t="s">
        <v>2378</v>
      </c>
      <c r="D52" s="2238"/>
      <c r="E52" s="3038">
        <v>1</v>
      </c>
      <c r="F52" s="2236" t="s">
        <v>2379</v>
      </c>
      <c r="G52" s="2236"/>
    </row>
    <row r="53" spans="1:7" ht="19.5" customHeight="1" thickBot="1">
      <c r="A53" s="4749"/>
      <c r="B53" s="4746"/>
      <c r="C53" s="2239" t="s">
        <v>2380</v>
      </c>
      <c r="D53" s="2240"/>
      <c r="E53" s="3039">
        <v>1</v>
      </c>
      <c r="F53" s="2236" t="s">
        <v>2381</v>
      </c>
      <c r="G53" s="2236"/>
    </row>
    <row r="54" spans="1:7" ht="19.5" customHeight="1">
      <c r="A54" s="2246"/>
      <c r="B54" s="2246"/>
      <c r="C54" s="2246"/>
      <c r="D54" s="2246"/>
      <c r="E54" s="2246"/>
      <c r="F54" s="2246"/>
      <c r="G54" s="2246"/>
    </row>
    <row r="56" spans="1:7" ht="19.5" customHeight="1">
      <c r="A56" s="2247"/>
      <c r="B56" s="2225" t="s">
        <v>2520</v>
      </c>
      <c r="C56" s="2225" t="s">
        <v>2520</v>
      </c>
      <c r="D56" s="2225" t="s">
        <v>2520</v>
      </c>
      <c r="E56" s="2227" t="s">
        <v>2520</v>
      </c>
      <c r="F56" s="2227" t="s">
        <v>2521</v>
      </c>
      <c r="G56" s="2227" t="s">
        <v>2522</v>
      </c>
    </row>
    <row r="57" spans="1:7" ht="19.5" customHeight="1">
      <c r="A57" s="2248"/>
      <c r="B57" s="2227" t="s">
        <v>2489</v>
      </c>
      <c r="C57" s="2227" t="s">
        <v>2489</v>
      </c>
      <c r="D57" s="2227" t="s">
        <v>2489</v>
      </c>
      <c r="E57" s="2225" t="s">
        <v>2490</v>
      </c>
      <c r="F57" s="2225" t="s">
        <v>2492</v>
      </c>
      <c r="G57" s="2225" t="s">
        <v>2523</v>
      </c>
    </row>
    <row r="58" spans="1:7" ht="19.5" customHeight="1">
      <c r="A58" s="2249"/>
      <c r="B58" s="3032">
        <v>1</v>
      </c>
      <c r="C58" s="3032">
        <v>2</v>
      </c>
      <c r="D58" s="3032">
        <v>3</v>
      </c>
      <c r="E58" s="2250" t="s">
        <v>2524</v>
      </c>
      <c r="F58" s="2250" t="s">
        <v>2524</v>
      </c>
      <c r="G58" s="2250" t="s">
        <v>2524</v>
      </c>
    </row>
    <row r="59" spans="1:7" ht="19.5" customHeight="1">
      <c r="A59" s="2251" t="s">
        <v>2477</v>
      </c>
      <c r="B59" s="3029">
        <v>0.7</v>
      </c>
      <c r="C59" s="3029">
        <v>0.4</v>
      </c>
      <c r="D59" s="3029">
        <v>0.3</v>
      </c>
      <c r="E59" s="3042">
        <v>0.3</v>
      </c>
      <c r="F59" s="3029">
        <v>0.3</v>
      </c>
      <c r="G59" s="3029">
        <v>0.2</v>
      </c>
    </row>
    <row r="60" spans="1:7" ht="19.5" customHeight="1">
      <c r="A60" s="2251" t="s">
        <v>2478</v>
      </c>
      <c r="B60" s="3029">
        <v>0.7</v>
      </c>
      <c r="C60" s="3029">
        <v>0.4</v>
      </c>
      <c r="D60" s="3029">
        <v>0.3</v>
      </c>
      <c r="E60" s="3029">
        <v>0.3</v>
      </c>
      <c r="F60" s="3029">
        <v>0.3</v>
      </c>
      <c r="G60" s="3029">
        <v>0.2</v>
      </c>
    </row>
    <row r="61" spans="1:7" ht="19.5" customHeight="1">
      <c r="A61" s="2251" t="s">
        <v>2479</v>
      </c>
      <c r="B61" s="3029">
        <v>0.6</v>
      </c>
      <c r="C61" s="3029">
        <v>0.3</v>
      </c>
      <c r="D61" s="3029">
        <v>0.25</v>
      </c>
      <c r="E61" s="3029">
        <v>0.25</v>
      </c>
      <c r="F61" s="3029">
        <v>0.25</v>
      </c>
      <c r="G61" s="3029">
        <v>0.15</v>
      </c>
    </row>
    <row r="62" spans="1:7" ht="19.5" customHeight="1">
      <c r="A62" s="2251" t="s">
        <v>2480</v>
      </c>
      <c r="B62" s="3029">
        <v>0.6</v>
      </c>
      <c r="C62" s="3029">
        <v>0.3</v>
      </c>
      <c r="D62" s="3029">
        <v>0.25</v>
      </c>
      <c r="E62" s="3029">
        <v>0.25</v>
      </c>
      <c r="F62" s="3029">
        <v>0.25</v>
      </c>
      <c r="G62" s="3029">
        <v>0.15</v>
      </c>
    </row>
    <row r="63" spans="1:7" ht="19.5" customHeight="1">
      <c r="A63" s="2251" t="s">
        <v>2481</v>
      </c>
      <c r="B63" s="3029">
        <v>0.6</v>
      </c>
      <c r="C63" s="3029">
        <v>0.3</v>
      </c>
      <c r="D63" s="3029">
        <v>0.25</v>
      </c>
      <c r="E63" s="3029">
        <v>0.25</v>
      </c>
      <c r="F63" s="3029">
        <v>0.25</v>
      </c>
      <c r="G63" s="3029">
        <v>0.15</v>
      </c>
    </row>
    <row r="64" spans="1:7" ht="19.5" customHeight="1">
      <c r="A64" s="2251" t="s">
        <v>2482</v>
      </c>
      <c r="B64" s="3029">
        <v>0.6</v>
      </c>
      <c r="C64" s="3029">
        <v>0.3</v>
      </c>
      <c r="D64" s="3029">
        <v>0.25</v>
      </c>
      <c r="E64" s="3029">
        <v>0.25</v>
      </c>
      <c r="F64" s="3029">
        <v>0.25</v>
      </c>
      <c r="G64" s="3029">
        <v>0.15</v>
      </c>
    </row>
    <row r="65" spans="1:7" ht="19.5" customHeight="1">
      <c r="A65" s="2251" t="s">
        <v>2483</v>
      </c>
      <c r="B65" s="3029">
        <v>0.6</v>
      </c>
      <c r="C65" s="3029">
        <v>0.3</v>
      </c>
      <c r="D65" s="3029">
        <v>0.25</v>
      </c>
      <c r="E65" s="3029">
        <v>0.25</v>
      </c>
      <c r="F65" s="3029">
        <v>0.25</v>
      </c>
      <c r="G65" s="3029">
        <v>0.15</v>
      </c>
    </row>
    <row r="66" spans="1:7" ht="19.5" customHeight="1">
      <c r="A66" s="2251" t="s">
        <v>2484</v>
      </c>
      <c r="B66" s="3029">
        <v>0.5</v>
      </c>
      <c r="C66" s="3029">
        <v>0.2</v>
      </c>
      <c r="D66" s="3029">
        <v>0.2</v>
      </c>
      <c r="E66" s="3029">
        <v>0.2</v>
      </c>
      <c r="F66" s="3029">
        <v>0.2</v>
      </c>
      <c r="G66" s="3029">
        <v>0.1</v>
      </c>
    </row>
    <row r="67" spans="1:7" ht="19.5" customHeight="1">
      <c r="A67" s="2251" t="s">
        <v>2485</v>
      </c>
      <c r="B67" s="3029">
        <v>0.5</v>
      </c>
      <c r="C67" s="3029">
        <v>0.2</v>
      </c>
      <c r="D67" s="3029">
        <v>0.2</v>
      </c>
      <c r="E67" s="3029">
        <v>0.2</v>
      </c>
      <c r="F67" s="3029">
        <v>0.2</v>
      </c>
      <c r="G67" s="3029">
        <v>0.1</v>
      </c>
    </row>
    <row r="68" spans="1:7" ht="19.5" customHeight="1">
      <c r="A68" s="2251" t="s">
        <v>2486</v>
      </c>
      <c r="B68" s="3029">
        <v>0.5</v>
      </c>
      <c r="C68" s="3029">
        <v>0.2</v>
      </c>
      <c r="D68" s="3029">
        <v>0.2</v>
      </c>
      <c r="E68" s="3029">
        <v>0.2</v>
      </c>
      <c r="F68" s="3029">
        <v>0.2</v>
      </c>
      <c r="G68" s="3029">
        <v>0.1</v>
      </c>
    </row>
    <row r="69" spans="1:7" ht="19.5" customHeight="1">
      <c r="A69" s="2251" t="s">
        <v>2487</v>
      </c>
      <c r="B69" s="3029">
        <v>0.5</v>
      </c>
      <c r="C69" s="3029">
        <v>0.2</v>
      </c>
      <c r="D69" s="3029">
        <v>0.2</v>
      </c>
      <c r="E69" s="3029">
        <v>0.2</v>
      </c>
      <c r="F69" s="3029">
        <v>0.2</v>
      </c>
      <c r="G69" s="3029">
        <v>0.1</v>
      </c>
    </row>
    <row r="70" spans="1:7" ht="19.5" customHeight="1">
      <c r="A70" s="2251" t="s">
        <v>2488</v>
      </c>
      <c r="B70" s="3029">
        <v>0.5</v>
      </c>
      <c r="C70" s="3029">
        <v>0.2</v>
      </c>
      <c r="D70" s="3029">
        <v>0.2</v>
      </c>
      <c r="E70" s="3029">
        <v>0.2</v>
      </c>
      <c r="F70" s="3029">
        <v>0.2</v>
      </c>
      <c r="G70" s="3029">
        <v>0.1</v>
      </c>
    </row>
    <row r="72" spans="1:7" ht="19.5" customHeight="1">
      <c r="A72" s="2236"/>
      <c r="B72" s="2252"/>
      <c r="C72" s="2252"/>
      <c r="D72" s="2252" t="s">
        <v>2525</v>
      </c>
      <c r="E72" s="2252"/>
      <c r="F72" s="2252"/>
    </row>
    <row r="73" spans="1:7" ht="19.5" customHeight="1">
      <c r="A73" s="2245" t="s">
        <v>2526</v>
      </c>
      <c r="B73" s="2245" t="s">
        <v>2527</v>
      </c>
      <c r="C73" s="2245" t="s">
        <v>2528</v>
      </c>
      <c r="D73" s="2245" t="s">
        <v>2529</v>
      </c>
      <c r="E73" s="2245" t="s">
        <v>2530</v>
      </c>
      <c r="F73" s="2245" t="s">
        <v>2531</v>
      </c>
    </row>
    <row r="74" spans="1:7" ht="13.5">
      <c r="A74" s="2245"/>
      <c r="B74" s="2245"/>
      <c r="C74" s="2245" t="s">
        <v>2532</v>
      </c>
      <c r="D74" s="2245"/>
      <c r="E74" s="2245" t="s">
        <v>2503</v>
      </c>
      <c r="F74" s="2245" t="s">
        <v>2503</v>
      </c>
    </row>
    <row r="75" spans="1:7" ht="13.5">
      <c r="A75" s="2245">
        <v>1</v>
      </c>
      <c r="B75" s="4737" t="s">
        <v>2533</v>
      </c>
      <c r="C75" s="2225" t="s">
        <v>2534</v>
      </c>
      <c r="D75" s="2225" t="s">
        <v>2535</v>
      </c>
      <c r="E75" s="3043">
        <v>0.2</v>
      </c>
      <c r="F75" s="3044">
        <v>25</v>
      </c>
    </row>
    <row r="76" spans="1:7" ht="24">
      <c r="A76" s="2245">
        <v>2</v>
      </c>
      <c r="B76" s="4739"/>
      <c r="C76" s="2225" t="s">
        <v>2536</v>
      </c>
      <c r="D76" s="2225" t="s">
        <v>2537</v>
      </c>
      <c r="E76" s="3043">
        <v>0.2</v>
      </c>
      <c r="F76" s="3044">
        <v>25</v>
      </c>
    </row>
    <row r="77" spans="1:7" ht="24">
      <c r="A77" s="2245">
        <v>3</v>
      </c>
      <c r="B77" s="4739"/>
      <c r="C77" s="2225" t="s">
        <v>2538</v>
      </c>
      <c r="D77" s="2225" t="s">
        <v>2539</v>
      </c>
      <c r="E77" s="3043">
        <v>0.2</v>
      </c>
      <c r="F77" s="3044">
        <v>25</v>
      </c>
    </row>
    <row r="78" spans="1:7" ht="13.5">
      <c r="A78" s="2245">
        <v>4</v>
      </c>
      <c r="B78" s="4739"/>
      <c r="C78" s="2225" t="s">
        <v>2540</v>
      </c>
      <c r="D78" s="2225" t="s">
        <v>2541</v>
      </c>
      <c r="E78" s="3043">
        <v>0.15</v>
      </c>
      <c r="F78" s="3044">
        <v>20</v>
      </c>
    </row>
    <row r="79" spans="1:7" ht="24">
      <c r="A79" s="2245">
        <v>5</v>
      </c>
      <c r="B79" s="4739"/>
      <c r="C79" s="2225" t="s">
        <v>2542</v>
      </c>
      <c r="D79" s="2225" t="s">
        <v>2543</v>
      </c>
      <c r="E79" s="3043">
        <v>0.15</v>
      </c>
      <c r="F79" s="3044">
        <v>20</v>
      </c>
    </row>
    <row r="80" spans="1:7" ht="24">
      <c r="A80" s="2245">
        <v>6</v>
      </c>
      <c r="B80" s="4739"/>
      <c r="C80" s="2225" t="s">
        <v>2544</v>
      </c>
      <c r="D80" s="2225" t="s">
        <v>2545</v>
      </c>
      <c r="E80" s="3043">
        <v>0.15</v>
      </c>
      <c r="F80" s="3044">
        <v>20</v>
      </c>
    </row>
    <row r="81" spans="1:6" ht="24">
      <c r="A81" s="2245">
        <v>7</v>
      </c>
      <c r="B81" s="4739"/>
      <c r="C81" s="2225" t="s">
        <v>2546</v>
      </c>
      <c r="D81" s="2225" t="s">
        <v>2547</v>
      </c>
      <c r="E81" s="3043">
        <v>0.15</v>
      </c>
      <c r="F81" s="3044">
        <v>20</v>
      </c>
    </row>
    <row r="82" spans="1:6" ht="24">
      <c r="A82" s="2245">
        <v>8</v>
      </c>
      <c r="B82" s="4739"/>
      <c r="C82" s="2225" t="s">
        <v>2548</v>
      </c>
      <c r="D82" s="2225" t="s">
        <v>2549</v>
      </c>
      <c r="E82" s="3043">
        <v>0.1</v>
      </c>
      <c r="F82" s="3044">
        <v>15</v>
      </c>
    </row>
    <row r="83" spans="1:6" ht="24">
      <c r="A83" s="2245">
        <v>9</v>
      </c>
      <c r="B83" s="4739"/>
      <c r="C83" s="2225" t="s">
        <v>2550</v>
      </c>
      <c r="D83" s="2225" t="s">
        <v>2551</v>
      </c>
      <c r="E83" s="3043">
        <v>0.1</v>
      </c>
      <c r="F83" s="3044">
        <v>15</v>
      </c>
    </row>
    <row r="84" spans="1:6" ht="24">
      <c r="A84" s="2245">
        <v>10</v>
      </c>
      <c r="B84" s="4739"/>
      <c r="C84" s="2225" t="s">
        <v>2552</v>
      </c>
      <c r="D84" s="2225" t="s">
        <v>2553</v>
      </c>
      <c r="E84" s="3043">
        <v>0.1</v>
      </c>
      <c r="F84" s="3044">
        <v>15</v>
      </c>
    </row>
    <row r="85" spans="1:6" ht="24">
      <c r="A85" s="2245">
        <v>11</v>
      </c>
      <c r="B85" s="4739"/>
      <c r="C85" s="2225" t="s">
        <v>2554</v>
      </c>
      <c r="D85" s="2225" t="s">
        <v>2555</v>
      </c>
      <c r="E85" s="3043">
        <v>0.1</v>
      </c>
      <c r="F85" s="3044">
        <v>15</v>
      </c>
    </row>
    <row r="86" spans="1:6" ht="24">
      <c r="A86" s="2245">
        <v>12</v>
      </c>
      <c r="B86" s="4739"/>
      <c r="C86" s="2225" t="s">
        <v>2556</v>
      </c>
      <c r="D86" s="2225" t="s">
        <v>2557</v>
      </c>
      <c r="E86" s="3043">
        <v>0.1</v>
      </c>
      <c r="F86" s="3044">
        <v>15</v>
      </c>
    </row>
    <row r="87" spans="1:6" ht="13.5">
      <c r="A87" s="2245">
        <v>13</v>
      </c>
      <c r="B87" s="4739"/>
      <c r="C87" s="2225" t="s">
        <v>2558</v>
      </c>
      <c r="D87" s="2225" t="s">
        <v>2559</v>
      </c>
      <c r="E87" s="3043">
        <v>0.1</v>
      </c>
      <c r="F87" s="3044">
        <v>15</v>
      </c>
    </row>
    <row r="88" spans="1:6" ht="13.5">
      <c r="A88" s="2245">
        <v>14</v>
      </c>
      <c r="B88" s="4739"/>
      <c r="C88" s="2225" t="s">
        <v>2560</v>
      </c>
      <c r="D88" s="2225" t="s">
        <v>2561</v>
      </c>
      <c r="E88" s="3043">
        <v>0.1</v>
      </c>
      <c r="F88" s="3044">
        <v>15</v>
      </c>
    </row>
    <row r="89" spans="1:6" ht="13.5">
      <c r="A89" s="2245">
        <v>15</v>
      </c>
      <c r="B89" s="4739"/>
      <c r="C89" s="2225" t="s">
        <v>2562</v>
      </c>
      <c r="D89" s="2225" t="s">
        <v>2563</v>
      </c>
      <c r="E89" s="3043">
        <v>0.1</v>
      </c>
      <c r="F89" s="3044">
        <v>15</v>
      </c>
    </row>
    <row r="90" spans="1:6" ht="24">
      <c r="A90" s="2245">
        <v>16</v>
      </c>
      <c r="B90" s="4739"/>
      <c r="C90" s="2225" t="s">
        <v>2564</v>
      </c>
      <c r="D90" s="2225" t="s">
        <v>2565</v>
      </c>
      <c r="E90" s="3043">
        <v>0.1</v>
      </c>
      <c r="F90" s="3044">
        <v>15</v>
      </c>
    </row>
    <row r="91" spans="1:6" ht="24">
      <c r="A91" s="2245">
        <v>17</v>
      </c>
      <c r="B91" s="4738"/>
      <c r="C91" s="2225" t="s">
        <v>2566</v>
      </c>
      <c r="D91" s="2225" t="s">
        <v>2567</v>
      </c>
      <c r="E91" s="3043">
        <v>0.1</v>
      </c>
      <c r="F91" s="3044">
        <v>15</v>
      </c>
    </row>
    <row r="92" spans="1:6" ht="13.5">
      <c r="A92" s="2245">
        <v>18</v>
      </c>
      <c r="B92" s="4737" t="s">
        <v>2568</v>
      </c>
      <c r="C92" s="2225" t="s">
        <v>2569</v>
      </c>
      <c r="D92" s="2225" t="s">
        <v>2570</v>
      </c>
      <c r="E92" s="3043">
        <v>0.2</v>
      </c>
      <c r="F92" s="3044">
        <v>25</v>
      </c>
    </row>
    <row r="93" spans="1:6" ht="24">
      <c r="A93" s="2245">
        <v>19</v>
      </c>
      <c r="B93" s="4739"/>
      <c r="C93" s="2225" t="s">
        <v>2571</v>
      </c>
      <c r="D93" s="2225" t="s">
        <v>2572</v>
      </c>
      <c r="E93" s="3043">
        <v>0.2</v>
      </c>
      <c r="F93" s="3044">
        <v>25</v>
      </c>
    </row>
    <row r="94" spans="1:6" ht="13.5">
      <c r="A94" s="2245">
        <v>20</v>
      </c>
      <c r="B94" s="4739"/>
      <c r="C94" s="2225" t="s">
        <v>2573</v>
      </c>
      <c r="D94" s="2225" t="s">
        <v>2574</v>
      </c>
      <c r="E94" s="3043">
        <v>0.15</v>
      </c>
      <c r="F94" s="3044">
        <v>20</v>
      </c>
    </row>
    <row r="95" spans="1:6" ht="13.5">
      <c r="A95" s="2245">
        <v>21</v>
      </c>
      <c r="B95" s="4739"/>
      <c r="C95" s="2225" t="s">
        <v>2575</v>
      </c>
      <c r="D95" s="2225" t="s">
        <v>2576</v>
      </c>
      <c r="E95" s="3043">
        <v>0.15</v>
      </c>
      <c r="F95" s="3044">
        <v>20</v>
      </c>
    </row>
    <row r="96" spans="1:6" ht="13.5">
      <c r="A96" s="2245">
        <v>22</v>
      </c>
      <c r="B96" s="4739"/>
      <c r="C96" s="2225" t="s">
        <v>2577</v>
      </c>
      <c r="D96" s="2225" t="s">
        <v>2578</v>
      </c>
      <c r="E96" s="3043">
        <v>0.15</v>
      </c>
      <c r="F96" s="3044">
        <v>20</v>
      </c>
    </row>
    <row r="97" spans="1:6" ht="36">
      <c r="A97" s="2245">
        <v>23</v>
      </c>
      <c r="B97" s="4739"/>
      <c r="C97" s="2225" t="s">
        <v>2579</v>
      </c>
      <c r="D97" s="2225" t="s">
        <v>2580</v>
      </c>
      <c r="E97" s="3043">
        <v>0.15</v>
      </c>
      <c r="F97" s="3044">
        <v>20</v>
      </c>
    </row>
    <row r="98" spans="1:6" ht="13.5">
      <c r="A98" s="2245">
        <v>24</v>
      </c>
      <c r="B98" s="4739"/>
      <c r="C98" s="2225" t="s">
        <v>2581</v>
      </c>
      <c r="D98" s="2225" t="s">
        <v>2582</v>
      </c>
      <c r="E98" s="3043">
        <v>0.1</v>
      </c>
      <c r="F98" s="3044">
        <v>15</v>
      </c>
    </row>
    <row r="99" spans="1:6" ht="13.5">
      <c r="A99" s="2245">
        <v>25</v>
      </c>
      <c r="B99" s="4739"/>
      <c r="C99" s="2225" t="s">
        <v>2583</v>
      </c>
      <c r="D99" s="2225" t="s">
        <v>2584</v>
      </c>
      <c r="E99" s="3043">
        <v>0.1</v>
      </c>
      <c r="F99" s="3044">
        <v>15</v>
      </c>
    </row>
    <row r="100" spans="1:6" ht="24">
      <c r="A100" s="2245">
        <v>26</v>
      </c>
      <c r="B100" s="4739"/>
      <c r="C100" s="2225" t="s">
        <v>2585</v>
      </c>
      <c r="D100" s="2225" t="s">
        <v>2586</v>
      </c>
      <c r="E100" s="3043">
        <v>0.1</v>
      </c>
      <c r="F100" s="3044">
        <v>15</v>
      </c>
    </row>
    <row r="101" spans="1:6" ht="24">
      <c r="A101" s="2245">
        <v>27</v>
      </c>
      <c r="B101" s="4739"/>
      <c r="C101" s="2225" t="s">
        <v>2587</v>
      </c>
      <c r="D101" s="2225" t="s">
        <v>2588</v>
      </c>
      <c r="E101" s="3043">
        <v>0.1</v>
      </c>
      <c r="F101" s="3044">
        <v>15</v>
      </c>
    </row>
    <row r="102" spans="1:6" ht="13.5">
      <c r="A102" s="2245">
        <v>28</v>
      </c>
      <c r="B102" s="4739"/>
      <c r="C102" s="2225" t="s">
        <v>2589</v>
      </c>
      <c r="D102" s="2225" t="s">
        <v>2590</v>
      </c>
      <c r="E102" s="3043">
        <v>0.1</v>
      </c>
      <c r="F102" s="3044">
        <v>15</v>
      </c>
    </row>
    <row r="103" spans="1:6" ht="13.5">
      <c r="A103" s="2245">
        <v>29</v>
      </c>
      <c r="B103" s="4739"/>
      <c r="C103" s="2225" t="s">
        <v>2591</v>
      </c>
      <c r="D103" s="2225" t="s">
        <v>2592</v>
      </c>
      <c r="E103" s="3043">
        <v>0.1</v>
      </c>
      <c r="F103" s="3044">
        <v>15</v>
      </c>
    </row>
    <row r="104" spans="1:6" ht="13.5">
      <c r="A104" s="2245">
        <v>30</v>
      </c>
      <c r="B104" s="4739"/>
      <c r="C104" s="2225" t="s">
        <v>2593</v>
      </c>
      <c r="D104" s="2225" t="s">
        <v>2594</v>
      </c>
      <c r="E104" s="3043">
        <v>0.1</v>
      </c>
      <c r="F104" s="3044">
        <v>15</v>
      </c>
    </row>
    <row r="105" spans="1:6" ht="24">
      <c r="A105" s="2245">
        <v>31</v>
      </c>
      <c r="B105" s="4739"/>
      <c r="C105" s="2225" t="s">
        <v>2595</v>
      </c>
      <c r="D105" s="2225" t="s">
        <v>2596</v>
      </c>
      <c r="E105" s="3043">
        <v>0.1</v>
      </c>
      <c r="F105" s="3044">
        <v>15</v>
      </c>
    </row>
    <row r="106" spans="1:6" ht="24">
      <c r="A106" s="2245">
        <v>32</v>
      </c>
      <c r="B106" s="4739"/>
      <c r="C106" s="2225" t="s">
        <v>2597</v>
      </c>
      <c r="D106" s="2225" t="s">
        <v>2598</v>
      </c>
      <c r="E106" s="3043">
        <v>0.1</v>
      </c>
      <c r="F106" s="3044">
        <v>15</v>
      </c>
    </row>
    <row r="107" spans="1:6" ht="24">
      <c r="A107" s="2245">
        <v>33</v>
      </c>
      <c r="B107" s="4739"/>
      <c r="C107" s="2225" t="s">
        <v>2599</v>
      </c>
      <c r="D107" s="2225" t="s">
        <v>2600</v>
      </c>
      <c r="E107" s="3043">
        <v>0.1</v>
      </c>
      <c r="F107" s="3044">
        <v>15</v>
      </c>
    </row>
    <row r="108" spans="1:6" ht="24">
      <c r="A108" s="2245">
        <v>34</v>
      </c>
      <c r="B108" s="4738"/>
      <c r="C108" s="2225" t="s">
        <v>2601</v>
      </c>
      <c r="D108" s="2225" t="s">
        <v>2602</v>
      </c>
      <c r="E108" s="3043">
        <v>0.1</v>
      </c>
      <c r="F108" s="3044">
        <v>15</v>
      </c>
    </row>
    <row r="109" spans="1:6" ht="24">
      <c r="A109" s="2245">
        <v>35</v>
      </c>
      <c r="B109" s="4737" t="s">
        <v>2603</v>
      </c>
      <c r="C109" s="2245" t="s">
        <v>2604</v>
      </c>
      <c r="D109" s="2225" t="s">
        <v>2605</v>
      </c>
      <c r="E109" s="3043">
        <v>0.15</v>
      </c>
      <c r="F109" s="3044">
        <v>20</v>
      </c>
    </row>
    <row r="110" spans="1:6" ht="13.5">
      <c r="A110" s="2245">
        <v>36</v>
      </c>
      <c r="B110" s="4739"/>
      <c r="C110" s="2245" t="s">
        <v>2606</v>
      </c>
      <c r="D110" s="2225" t="s">
        <v>2607</v>
      </c>
      <c r="E110" s="3043">
        <v>0.15</v>
      </c>
      <c r="F110" s="3044">
        <v>20</v>
      </c>
    </row>
    <row r="111" spans="1:6" ht="13.5">
      <c r="A111" s="2245">
        <v>37</v>
      </c>
      <c r="B111" s="4739"/>
      <c r="C111" s="2245" t="s">
        <v>2608</v>
      </c>
      <c r="D111" s="2225" t="s">
        <v>2609</v>
      </c>
      <c r="E111" s="3043">
        <v>0.15</v>
      </c>
      <c r="F111" s="3044">
        <v>20</v>
      </c>
    </row>
    <row r="112" spans="1:6" ht="13.5">
      <c r="A112" s="2245">
        <v>38</v>
      </c>
      <c r="B112" s="4739"/>
      <c r="C112" s="2245" t="s">
        <v>2610</v>
      </c>
      <c r="D112" s="2225" t="s">
        <v>2611</v>
      </c>
      <c r="E112" s="3043">
        <v>0.1</v>
      </c>
      <c r="F112" s="3044">
        <v>15</v>
      </c>
    </row>
    <row r="113" spans="1:6" ht="24">
      <c r="A113" s="2245">
        <v>39</v>
      </c>
      <c r="B113" s="4739"/>
      <c r="C113" s="2245" t="s">
        <v>2612</v>
      </c>
      <c r="D113" s="2225" t="s">
        <v>2613</v>
      </c>
      <c r="E113" s="3043">
        <v>0.1</v>
      </c>
      <c r="F113" s="3044">
        <v>15</v>
      </c>
    </row>
    <row r="114" spans="1:6" ht="24">
      <c r="A114" s="2245">
        <v>40</v>
      </c>
      <c r="B114" s="4738"/>
      <c r="C114" s="2245" t="s">
        <v>2614</v>
      </c>
      <c r="D114" s="2225" t="s">
        <v>2615</v>
      </c>
      <c r="E114" s="3043">
        <v>0.1</v>
      </c>
      <c r="F114" s="3044">
        <v>15</v>
      </c>
    </row>
    <row r="115" spans="1:6" ht="13.5">
      <c r="A115" s="2245">
        <v>41</v>
      </c>
      <c r="B115" s="4736" t="s">
        <v>2616</v>
      </c>
      <c r="C115" s="2245" t="s">
        <v>2617</v>
      </c>
      <c r="D115" s="2225" t="s">
        <v>2618</v>
      </c>
      <c r="E115" s="3043">
        <v>0.1</v>
      </c>
      <c r="F115" s="3044">
        <v>15</v>
      </c>
    </row>
    <row r="116" spans="1:6" ht="13.5">
      <c r="A116" s="2245">
        <v>42</v>
      </c>
      <c r="B116" s="4736"/>
      <c r="C116" s="2245" t="s">
        <v>2619</v>
      </c>
      <c r="D116" s="2225" t="s">
        <v>2620</v>
      </c>
      <c r="E116" s="3043">
        <v>0.1</v>
      </c>
      <c r="F116" s="3044">
        <v>15</v>
      </c>
    </row>
    <row r="117" spans="1:6" ht="24">
      <c r="A117" s="2245">
        <v>43</v>
      </c>
      <c r="B117" s="4736"/>
      <c r="C117" s="2245" t="s">
        <v>2621</v>
      </c>
      <c r="D117" s="2225" t="s">
        <v>2622</v>
      </c>
      <c r="E117" s="3043">
        <v>0.1</v>
      </c>
      <c r="F117" s="3044">
        <v>15</v>
      </c>
    </row>
    <row r="118" spans="1:6" ht="13.5">
      <c r="A118" s="2245">
        <v>44</v>
      </c>
      <c r="B118" s="4737" t="s">
        <v>2623</v>
      </c>
      <c r="C118" s="2245" t="s">
        <v>2624</v>
      </c>
      <c r="D118" s="2225" t="s">
        <v>2625</v>
      </c>
      <c r="E118" s="3043">
        <v>0.1</v>
      </c>
      <c r="F118" s="3044">
        <v>15</v>
      </c>
    </row>
    <row r="119" spans="1:6" ht="24">
      <c r="A119" s="2245">
        <v>45</v>
      </c>
      <c r="B119" s="4738"/>
      <c r="C119" s="2225" t="s">
        <v>2626</v>
      </c>
      <c r="D119" s="2225" t="s">
        <v>2627</v>
      </c>
      <c r="E119" s="3043">
        <v>0.1</v>
      </c>
      <c r="F119" s="3044">
        <v>15</v>
      </c>
    </row>
    <row r="120" spans="1:6" ht="24">
      <c r="A120" s="2245">
        <v>46</v>
      </c>
      <c r="B120" s="4737" t="s">
        <v>2628</v>
      </c>
      <c r="C120" s="2245" t="s">
        <v>2629</v>
      </c>
      <c r="D120" s="2225" t="s">
        <v>2630</v>
      </c>
      <c r="E120" s="3043">
        <v>0.1</v>
      </c>
      <c r="F120" s="3044">
        <v>15</v>
      </c>
    </row>
    <row r="121" spans="1:6" ht="24">
      <c r="A121" s="2245">
        <v>47</v>
      </c>
      <c r="B121" s="4738"/>
      <c r="C121" s="2245" t="s">
        <v>2631</v>
      </c>
      <c r="D121" s="2225" t="s">
        <v>2632</v>
      </c>
      <c r="E121" s="3043">
        <v>0.1</v>
      </c>
      <c r="F121" s="3044">
        <v>15</v>
      </c>
    </row>
    <row r="122" spans="1:6" ht="13.5">
      <c r="A122" s="2245">
        <v>48</v>
      </c>
      <c r="B122" s="4737" t="s">
        <v>2633</v>
      </c>
      <c r="C122" s="2245" t="s">
        <v>2634</v>
      </c>
      <c r="D122" s="2225" t="s">
        <v>2635</v>
      </c>
      <c r="E122" s="3043">
        <v>0.1</v>
      </c>
      <c r="F122" s="3044">
        <v>15</v>
      </c>
    </row>
    <row r="123" spans="1:6" ht="13.5">
      <c r="A123" s="2245">
        <v>49</v>
      </c>
      <c r="B123" s="4738"/>
      <c r="C123" s="2245" t="s">
        <v>2636</v>
      </c>
      <c r="D123" s="2225" t="s">
        <v>2637</v>
      </c>
      <c r="E123" s="3043">
        <v>0.1</v>
      </c>
      <c r="F123" s="3044">
        <v>15</v>
      </c>
    </row>
    <row r="124" spans="1:6" ht="24">
      <c r="A124" s="2245">
        <v>50</v>
      </c>
      <c r="B124" s="4736" t="s">
        <v>2638</v>
      </c>
      <c r="C124" s="2245" t="s">
        <v>2639</v>
      </c>
      <c r="D124" s="2225" t="s">
        <v>2640</v>
      </c>
      <c r="E124" s="3043">
        <v>0.1</v>
      </c>
      <c r="F124" s="3044">
        <v>15</v>
      </c>
    </row>
    <row r="125" spans="1:6" ht="24">
      <c r="A125" s="2245">
        <v>51</v>
      </c>
      <c r="B125" s="4736"/>
      <c r="C125" s="2245" t="s">
        <v>2641</v>
      </c>
      <c r="D125" s="2225" t="s">
        <v>2642</v>
      </c>
      <c r="E125" s="3043">
        <v>0.1</v>
      </c>
      <c r="F125" s="3044">
        <v>15</v>
      </c>
    </row>
    <row r="126" spans="1:6" ht="24">
      <c r="A126" s="2245">
        <v>52</v>
      </c>
      <c r="B126" s="4736" t="s">
        <v>2643</v>
      </c>
      <c r="C126" s="2245" t="s">
        <v>2644</v>
      </c>
      <c r="D126" s="2225" t="s">
        <v>2645</v>
      </c>
      <c r="E126" s="3043">
        <v>0.1</v>
      </c>
      <c r="F126" s="3044">
        <v>15</v>
      </c>
    </row>
    <row r="127" spans="1:6" ht="24">
      <c r="A127" s="2245">
        <v>53</v>
      </c>
      <c r="B127" s="4736"/>
      <c r="C127" s="2245" t="s">
        <v>2646</v>
      </c>
      <c r="D127" s="2225" t="s">
        <v>2647</v>
      </c>
      <c r="E127" s="3043">
        <v>0.1</v>
      </c>
      <c r="F127" s="3044">
        <v>15</v>
      </c>
    </row>
    <row r="128" spans="1:6" ht="13.5">
      <c r="A128" s="2245">
        <v>54</v>
      </c>
      <c r="B128" s="2245" t="s">
        <v>2648</v>
      </c>
      <c r="C128" s="2245" t="s">
        <v>2649</v>
      </c>
      <c r="D128" s="2225" t="s">
        <v>2650</v>
      </c>
      <c r="E128" s="3043">
        <v>0.1</v>
      </c>
      <c r="F128" s="3044">
        <v>15</v>
      </c>
    </row>
    <row r="129" spans="1:6" ht="13.5">
      <c r="A129" s="2245">
        <v>55</v>
      </c>
      <c r="B129" s="4736" t="s">
        <v>2651</v>
      </c>
      <c r="C129" s="2245" t="s">
        <v>2652</v>
      </c>
      <c r="D129" s="2225" t="s">
        <v>2653</v>
      </c>
      <c r="E129" s="3043">
        <v>0.1</v>
      </c>
      <c r="F129" s="3044">
        <v>15</v>
      </c>
    </row>
    <row r="130" spans="1:6" ht="13.5">
      <c r="A130" s="2245">
        <v>56</v>
      </c>
      <c r="B130" s="4736"/>
      <c r="C130" s="2245" t="s">
        <v>2654</v>
      </c>
      <c r="D130" s="2225" t="s">
        <v>2655</v>
      </c>
      <c r="E130" s="3043">
        <v>0.1</v>
      </c>
      <c r="F130" s="3044">
        <v>15</v>
      </c>
    </row>
    <row r="131" spans="1:6" ht="24">
      <c r="A131" s="2245">
        <v>57</v>
      </c>
      <c r="B131" s="4736"/>
      <c r="C131" s="2245" t="s">
        <v>2656</v>
      </c>
      <c r="D131" s="2225" t="s">
        <v>2657</v>
      </c>
      <c r="E131" s="3043">
        <v>0.1</v>
      </c>
      <c r="F131" s="3044">
        <v>15</v>
      </c>
    </row>
    <row r="132" spans="1:6" ht="24">
      <c r="A132" s="2245">
        <v>58</v>
      </c>
      <c r="B132" s="4736" t="s">
        <v>2658</v>
      </c>
      <c r="C132" s="2245" t="s">
        <v>2659</v>
      </c>
      <c r="D132" s="2225" t="s">
        <v>2660</v>
      </c>
      <c r="E132" s="3043">
        <v>0.1</v>
      </c>
      <c r="F132" s="3044">
        <v>15</v>
      </c>
    </row>
    <row r="133" spans="1:6" ht="13.5">
      <c r="A133" s="2245">
        <v>59</v>
      </c>
      <c r="B133" s="4736"/>
      <c r="C133" s="2245" t="s">
        <v>2661</v>
      </c>
      <c r="D133" s="2225" t="s">
        <v>2662</v>
      </c>
      <c r="E133" s="3043">
        <v>0.1</v>
      </c>
      <c r="F133" s="3044">
        <v>15</v>
      </c>
    </row>
    <row r="134" spans="1:6" ht="13.5">
      <c r="A134" s="2245">
        <v>60</v>
      </c>
      <c r="B134" s="4737" t="s">
        <v>2663</v>
      </c>
      <c r="C134" s="2245" t="s">
        <v>2664</v>
      </c>
      <c r="D134" s="2225" t="s">
        <v>2665</v>
      </c>
      <c r="E134" s="3043">
        <v>0.1</v>
      </c>
      <c r="F134" s="3044">
        <v>15</v>
      </c>
    </row>
    <row r="135" spans="1:6" ht="13.5">
      <c r="A135" s="2245">
        <v>61</v>
      </c>
      <c r="B135" s="4738"/>
      <c r="C135" s="2245" t="s">
        <v>2666</v>
      </c>
      <c r="D135" s="2225" t="s">
        <v>2667</v>
      </c>
      <c r="E135" s="3043">
        <v>0.1</v>
      </c>
      <c r="F135" s="3044">
        <v>15</v>
      </c>
    </row>
    <row r="136" spans="1:6" ht="24">
      <c r="A136" s="2245">
        <v>62</v>
      </c>
      <c r="B136" s="2245" t="s">
        <v>2668</v>
      </c>
      <c r="C136" s="2245" t="s">
        <v>2669</v>
      </c>
      <c r="D136" s="2225" t="s">
        <v>2670</v>
      </c>
      <c r="E136" s="3043">
        <v>0.1</v>
      </c>
      <c r="F136" s="3044">
        <v>15</v>
      </c>
    </row>
    <row r="137" spans="1:6" ht="13.5">
      <c r="A137" s="2245">
        <v>63</v>
      </c>
      <c r="B137" s="4736" t="s">
        <v>2671</v>
      </c>
      <c r="C137" s="2245" t="s">
        <v>2672</v>
      </c>
      <c r="D137" s="2225" t="s">
        <v>2673</v>
      </c>
      <c r="E137" s="3043">
        <v>0.1</v>
      </c>
      <c r="F137" s="3044">
        <v>15</v>
      </c>
    </row>
    <row r="138" spans="1:6" ht="13.5">
      <c r="A138" s="2245">
        <v>64</v>
      </c>
      <c r="B138" s="4736"/>
      <c r="C138" s="2245" t="s">
        <v>2674</v>
      </c>
      <c r="D138" s="2225" t="s">
        <v>2675</v>
      </c>
      <c r="E138" s="3043">
        <v>0.1</v>
      </c>
      <c r="F138" s="3044">
        <v>15</v>
      </c>
    </row>
    <row r="139" spans="1:6" ht="13.5">
      <c r="A139" s="2245">
        <v>65</v>
      </c>
      <c r="B139" s="2245" t="s">
        <v>2676</v>
      </c>
      <c r="C139" s="2245" t="s">
        <v>2677</v>
      </c>
      <c r="D139" s="2225" t="s">
        <v>2678</v>
      </c>
      <c r="E139" s="3043">
        <v>0.1</v>
      </c>
      <c r="F139" s="3044">
        <v>15</v>
      </c>
    </row>
    <row r="140" spans="1:6" ht="13.5">
      <c r="A140" s="2245"/>
      <c r="B140" s="2245"/>
      <c r="C140" s="2245"/>
      <c r="D140" s="2245"/>
      <c r="E140" s="2245" t="s">
        <v>2679</v>
      </c>
      <c r="F140" s="2245" t="s">
        <v>2679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2680</v>
      </c>
      <c r="B1" s="2253"/>
      <c r="C1" s="2253"/>
      <c r="D1" s="2253"/>
      <c r="E1" s="2253"/>
      <c r="F1" s="2253"/>
      <c r="G1" s="2253"/>
      <c r="H1" s="2253"/>
      <c r="I1" s="2253"/>
      <c r="J1" s="2253"/>
      <c r="K1" s="2253"/>
      <c r="L1" s="2253"/>
      <c r="M1" s="2253"/>
      <c r="N1" s="507"/>
    </row>
    <row r="2" spans="1:20">
      <c r="A2" s="2254" t="s">
        <v>2681</v>
      </c>
      <c r="B2" s="2255" t="s">
        <v>2477</v>
      </c>
      <c r="C2" s="2255" t="s">
        <v>2478</v>
      </c>
      <c r="D2" s="2255" t="s">
        <v>2479</v>
      </c>
      <c r="E2" s="2255" t="s">
        <v>2480</v>
      </c>
      <c r="F2" s="2255" t="s">
        <v>2481</v>
      </c>
      <c r="G2" s="2255" t="s">
        <v>2482</v>
      </c>
      <c r="H2" s="2256" t="s">
        <v>2483</v>
      </c>
      <c r="I2" s="2256" t="s">
        <v>2484</v>
      </c>
      <c r="J2" s="2257" t="s">
        <v>2485</v>
      </c>
      <c r="K2" s="2257" t="s">
        <v>2486</v>
      </c>
      <c r="L2" s="2257" t="s">
        <v>2487</v>
      </c>
      <c r="M2" s="2258" t="s">
        <v>2488</v>
      </c>
      <c r="Q2" s="2268" t="s">
        <v>2686</v>
      </c>
      <c r="R2" s="2268" t="s">
        <v>2687</v>
      </c>
      <c r="S2" s="2268" t="s">
        <v>2688</v>
      </c>
      <c r="T2" s="2268" t="s">
        <v>2689</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2682</v>
      </c>
      <c r="B93" s="2253"/>
      <c r="C93" s="2253"/>
      <c r="D93" s="2253"/>
      <c r="E93" s="2253"/>
      <c r="F93" s="2253"/>
      <c r="G93" s="2253"/>
      <c r="H93" s="2253"/>
      <c r="I93" s="2253"/>
      <c r="J93" s="2253"/>
      <c r="K93" s="2253"/>
      <c r="L93" s="2253"/>
      <c r="M93" s="2253"/>
    </row>
    <row r="94" spans="1:20">
      <c r="A94" s="2254" t="s">
        <v>2681</v>
      </c>
      <c r="B94" s="2255" t="s">
        <v>2477</v>
      </c>
      <c r="C94" s="2255" t="s">
        <v>2478</v>
      </c>
      <c r="D94" s="2255" t="s">
        <v>2479</v>
      </c>
      <c r="E94" s="2255" t="s">
        <v>2480</v>
      </c>
      <c r="F94" s="2255" t="s">
        <v>2481</v>
      </c>
      <c r="G94" s="2255" t="s">
        <v>2482</v>
      </c>
      <c r="H94" s="2256" t="s">
        <v>2483</v>
      </c>
      <c r="I94" s="2256" t="s">
        <v>2484</v>
      </c>
      <c r="J94" s="2257" t="s">
        <v>2485</v>
      </c>
      <c r="K94" s="2257" t="s">
        <v>2486</v>
      </c>
      <c r="L94" s="2257" t="s">
        <v>2487</v>
      </c>
      <c r="M94" s="2258" t="s">
        <v>2488</v>
      </c>
      <c r="N94">
        <f>SUMPRODUCT((A95:A184=ROUNDDOWN(基准地价修正!G3,1))*(B94:M94=基准地价修正!G2)*(B95:M184))</f>
        <v>0.9415</v>
      </c>
      <c r="Q94" s="2268" t="s">
        <v>2686</v>
      </c>
      <c r="R94" s="2268" t="s">
        <v>2687</v>
      </c>
      <c r="S94" s="2268" t="s">
        <v>2688</v>
      </c>
      <c r="T94" s="2268" t="s">
        <v>2689</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2683</v>
      </c>
      <c r="B185" s="2253"/>
      <c r="C185" s="2253"/>
      <c r="D185" s="2253"/>
      <c r="E185" s="2253"/>
      <c r="F185" s="2253"/>
      <c r="G185" s="2253"/>
      <c r="H185" s="2253"/>
      <c r="I185" s="2253"/>
      <c r="J185" s="2253"/>
      <c r="K185" s="2253"/>
      <c r="L185" s="2253"/>
      <c r="M185" s="2253"/>
    </row>
    <row r="186" spans="1:20">
      <c r="A186" s="2254" t="s">
        <v>2681</v>
      </c>
      <c r="B186" s="2255" t="s">
        <v>2477</v>
      </c>
      <c r="C186" s="2255" t="s">
        <v>2478</v>
      </c>
      <c r="D186" s="2255" t="s">
        <v>2479</v>
      </c>
      <c r="E186" s="2255" t="s">
        <v>2480</v>
      </c>
      <c r="F186" s="2255" t="s">
        <v>2481</v>
      </c>
      <c r="G186" s="2255" t="s">
        <v>2482</v>
      </c>
      <c r="H186" s="2256" t="s">
        <v>2483</v>
      </c>
      <c r="I186" s="2256" t="s">
        <v>2484</v>
      </c>
      <c r="J186" s="2257" t="s">
        <v>2485</v>
      </c>
      <c r="K186" s="2257" t="s">
        <v>2486</v>
      </c>
      <c r="L186" s="2257" t="s">
        <v>2487</v>
      </c>
      <c r="M186" s="2258" t="s">
        <v>2488</v>
      </c>
      <c r="Q186" s="2268" t="s">
        <v>2686</v>
      </c>
      <c r="R186" s="2268" t="s">
        <v>2687</v>
      </c>
      <c r="S186" s="2268" t="s">
        <v>2688</v>
      </c>
      <c r="T186" s="2268" t="s">
        <v>2689</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2684</v>
      </c>
      <c r="B277" s="2253"/>
      <c r="C277" s="2253"/>
      <c r="D277" s="2253"/>
      <c r="E277" s="2253"/>
      <c r="F277" s="2253"/>
      <c r="G277" s="2253"/>
      <c r="H277" s="2253"/>
      <c r="I277" s="2253"/>
      <c r="J277" s="2253"/>
      <c r="K277" s="2253"/>
      <c r="L277" s="2253"/>
      <c r="M277" s="2253"/>
    </row>
    <row r="278" spans="1:21">
      <c r="A278" s="2254" t="s">
        <v>2681</v>
      </c>
      <c r="B278" s="2255" t="s">
        <v>2477</v>
      </c>
      <c r="C278" s="2255" t="s">
        <v>2478</v>
      </c>
      <c r="D278" s="2255" t="s">
        <v>2479</v>
      </c>
      <c r="E278" s="2255" t="s">
        <v>2480</v>
      </c>
      <c r="F278" s="2255" t="s">
        <v>2481</v>
      </c>
      <c r="G278" s="2255" t="s">
        <v>2482</v>
      </c>
      <c r="H278" s="2256" t="s">
        <v>2483</v>
      </c>
      <c r="I278" s="2256" t="s">
        <v>2484</v>
      </c>
      <c r="J278" s="2257" t="s">
        <v>2485</v>
      </c>
      <c r="K278" s="2257" t="s">
        <v>2486</v>
      </c>
      <c r="L278" s="2257" t="s">
        <v>2487</v>
      </c>
      <c r="M278" s="2258" t="s">
        <v>2488</v>
      </c>
      <c r="Q278" s="2268" t="s">
        <v>2686</v>
      </c>
      <c r="R278" s="2268" t="s">
        <v>2687</v>
      </c>
      <c r="S278" s="2268" t="s">
        <v>2690</v>
      </c>
      <c r="T278" s="2268" t="s">
        <v>2691</v>
      </c>
      <c r="U278" s="2268" t="s">
        <v>2689</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2685</v>
      </c>
      <c r="B369" s="2266"/>
      <c r="C369" s="2266"/>
      <c r="D369" s="2266"/>
      <c r="E369" s="2266"/>
      <c r="F369" s="2266"/>
      <c r="G369" s="2266"/>
      <c r="H369" s="2266"/>
      <c r="I369" s="2266"/>
      <c r="J369" s="2266"/>
      <c r="K369" s="2266"/>
      <c r="L369" s="2266"/>
      <c r="M369" s="2266"/>
    </row>
    <row r="370" spans="1:20">
      <c r="A370" s="2254" t="s">
        <v>2681</v>
      </c>
      <c r="B370" s="2255" t="s">
        <v>2477</v>
      </c>
      <c r="C370" s="2255" t="s">
        <v>2478</v>
      </c>
      <c r="D370" s="2255" t="s">
        <v>2479</v>
      </c>
      <c r="E370" s="2255" t="s">
        <v>2480</v>
      </c>
      <c r="F370" s="2255" t="s">
        <v>2481</v>
      </c>
      <c r="G370" s="2255" t="s">
        <v>2482</v>
      </c>
      <c r="H370" s="2256" t="s">
        <v>2483</v>
      </c>
      <c r="I370" s="2256" t="s">
        <v>2484</v>
      </c>
      <c r="J370" s="2257" t="s">
        <v>2485</v>
      </c>
      <c r="K370" s="2257" t="s">
        <v>2486</v>
      </c>
      <c r="L370" s="2257" t="s">
        <v>2487</v>
      </c>
      <c r="M370" s="2258" t="s">
        <v>2488</v>
      </c>
      <c r="N370">
        <f>SUMPRODUCT((A371:A460=ROUNDDOWN(基准地价修正!G3,1))*(B370:M370=基准地价修正!G2)*(B371:M460))</f>
        <v>0.89559999999999995</v>
      </c>
      <c r="Q370" s="2268" t="s">
        <v>2686</v>
      </c>
      <c r="R370" s="2268" t="s">
        <v>2687</v>
      </c>
      <c r="S370" s="2268" t="s">
        <v>2688</v>
      </c>
      <c r="T370" s="2268" t="s">
        <v>2689</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123597</v>
      </c>
      <c r="C2" s="2" t="s">
        <v>104</v>
      </c>
      <c r="D2" s="94"/>
      <c r="E2" s="94"/>
      <c r="F2" s="94"/>
      <c r="G2" s="94"/>
    </row>
    <row r="3" spans="1:7" s="95" customFormat="1" ht="18" customHeight="1" thickBot="1">
      <c r="A3" s="98" t="s">
        <v>56</v>
      </c>
      <c r="B3" s="99">
        <f ca="1">ROUND(B2*10000/'数据-汇总表'!E3,0)</f>
        <v>10303</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2399</v>
      </c>
      <c r="D10" s="538">
        <f>'数据-汇总表'!E6</f>
        <v>119963.53</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1512</v>
      </c>
      <c r="D19" s="107">
        <f>'数据-汇总表'!E3</f>
        <v>119963.53</v>
      </c>
      <c r="E19" s="106">
        <f>'数据-取费表'!B31</f>
        <v>126</v>
      </c>
      <c r="F19" s="126"/>
      <c r="G19" s="1" t="s">
        <v>430</v>
      </c>
    </row>
    <row r="20" spans="1:7" s="109" customFormat="1" ht="13.5" customHeight="1">
      <c r="A20" s="510" t="s">
        <v>413</v>
      </c>
      <c r="B20" s="105" t="s">
        <v>75</v>
      </c>
      <c r="C20" s="127">
        <f>ROUND((C5+C19)*F20,0)</f>
        <v>1106</v>
      </c>
      <c r="D20" s="127"/>
      <c r="E20" s="127"/>
      <c r="F20" s="128">
        <f>'数据-取费表'!B38</f>
        <v>0.05</v>
      </c>
      <c r="G20" s="705" t="s">
        <v>424</v>
      </c>
    </row>
    <row r="21" spans="1:7" s="109" customFormat="1" ht="13.5" customHeight="1">
      <c r="A21" s="510" t="s">
        <v>415</v>
      </c>
      <c r="B21" s="105" t="s">
        <v>76</v>
      </c>
      <c r="C21" s="130">
        <f>F21</f>
        <v>0.03</v>
      </c>
      <c r="D21" s="131" t="s">
        <v>97</v>
      </c>
      <c r="E21" s="127"/>
      <c r="F21" s="128">
        <f>'数据-取费表'!B39</f>
        <v>0.03</v>
      </c>
      <c r="G21" s="129" t="s">
        <v>77</v>
      </c>
    </row>
    <row r="22" spans="1:7" s="109" customFormat="1" ht="13.5" customHeight="1">
      <c r="A22" s="510" t="s">
        <v>339</v>
      </c>
      <c r="B22" s="105" t="s">
        <v>78</v>
      </c>
      <c r="C22" s="741">
        <f ca="1">ROUND(SUM(C23:C25),0)</f>
        <v>2281</v>
      </c>
      <c r="D22" s="130">
        <f ca="1">C26</f>
        <v>1.5E-3</v>
      </c>
      <c r="E22" s="131" t="s">
        <v>97</v>
      </c>
      <c r="F22" s="132">
        <f ca="1">'数据-取费表'!B41</f>
        <v>3.2500000000000001E-2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2075</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152</v>
      </c>
      <c r="D24" s="133"/>
      <c r="E24" s="133"/>
      <c r="F24" s="134"/>
      <c r="G24" s="135" t="s">
        <v>80</v>
      </c>
    </row>
    <row r="25" spans="1:7" s="109" customFormat="1" ht="24">
      <c r="A25" s="513" t="s">
        <v>346</v>
      </c>
      <c r="B25" s="110" t="s">
        <v>414</v>
      </c>
      <c r="C25" s="742">
        <f ca="1">ROUND(IF('数据-取费表'!B22&lt;=1,C20*F22*'数据-取费表'!B23/2,C20*(POWER((1+F22),'数据-取费表'!B23/2)-1)),0)</f>
        <v>54</v>
      </c>
      <c r="D25" s="133"/>
      <c r="E25" s="136"/>
      <c r="F25" s="134"/>
      <c r="G25" s="137" t="s">
        <v>81</v>
      </c>
    </row>
    <row r="26" spans="1:7" s="109" customFormat="1">
      <c r="A26" s="513" t="s">
        <v>348</v>
      </c>
      <c r="B26" s="110" t="s">
        <v>416</v>
      </c>
      <c r="C26" s="133">
        <f ca="1">ROUND(IF('数据-取费表'!B22&lt;=1,F21*F22*'数据-取费表'!B23/2,F21*(POWER((1+F22),'数据-取费表'!B23/2)-1)),4)</f>
        <v>1.5E-3</v>
      </c>
      <c r="D26" s="133"/>
      <c r="E26" s="136"/>
      <c r="F26" s="134"/>
      <c r="G26" s="138"/>
    </row>
    <row r="27" spans="1:7" s="109" customFormat="1" ht="24.75">
      <c r="A27" s="510" t="s">
        <v>340</v>
      </c>
      <c r="B27" s="139" t="s">
        <v>83</v>
      </c>
      <c r="C27" s="140">
        <f>C28</f>
        <v>4646</v>
      </c>
      <c r="D27" s="130">
        <f>C29</f>
        <v>6.0000000000000001E-3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4646</v>
      </c>
      <c r="D28" s="130"/>
      <c r="E28" s="131"/>
      <c r="F28" s="141"/>
      <c r="G28" s="142"/>
    </row>
    <row r="29" spans="1:7" s="109" customFormat="1" ht="13.5" customHeight="1">
      <c r="A29" s="513" t="s">
        <v>345</v>
      </c>
      <c r="B29" s="143" t="s">
        <v>419</v>
      </c>
      <c r="C29" s="133">
        <f>ROUND(C21*F27*'数据-取费表'!B21/'数据-取费表'!B20,4)</f>
        <v>6.0000000000000001E-3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31330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79656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71978</v>
      </c>
      <c r="D34" s="112"/>
      <c r="E34" s="115"/>
      <c r="F34" s="152">
        <f>IF('数据-取费表'!B24=0,1,'数据-取费表'!N16)</f>
        <v>1</v>
      </c>
      <c r="G34" s="114" t="s">
        <v>87</v>
      </c>
    </row>
    <row r="35" spans="1:7" ht="13.5" customHeight="1">
      <c r="A35" s="513" t="s">
        <v>349</v>
      </c>
      <c r="B35" s="110" t="s">
        <v>31</v>
      </c>
      <c r="C35" s="115">
        <f>ROUND(C34*F35,0)</f>
        <v>3599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3359</v>
      </c>
      <c r="D37" s="112">
        <f>'数据-汇总表'!E3</f>
        <v>119963.53</v>
      </c>
      <c r="E37" s="144">
        <f>'数据-取费表'!B35</f>
        <v>280</v>
      </c>
      <c r="F37" s="154"/>
      <c r="G37" s="156" t="s">
        <v>90</v>
      </c>
    </row>
    <row r="38" spans="1:7" ht="13.5" customHeight="1">
      <c r="A38" s="513" t="s">
        <v>352</v>
      </c>
      <c r="B38" s="110" t="s">
        <v>34</v>
      </c>
      <c r="C38" s="115">
        <f>ROUND(C34*F38,0)</f>
        <v>720</v>
      </c>
      <c r="D38" s="115"/>
      <c r="E38" s="115"/>
      <c r="F38" s="154">
        <f>'数据-取费表'!B36</f>
        <v>0.01</v>
      </c>
      <c r="G38" s="114" t="s">
        <v>88</v>
      </c>
    </row>
    <row r="39" spans="1:7" s="109" customFormat="1" ht="13.5" customHeight="1">
      <c r="A39" s="510" t="s">
        <v>336</v>
      </c>
      <c r="B39" s="105" t="s">
        <v>75</v>
      </c>
      <c r="C39" s="127">
        <f>ROUND(C33*F20,0)</f>
        <v>3983</v>
      </c>
      <c r="D39" s="127"/>
      <c r="E39" s="127"/>
      <c r="F39" s="128"/>
      <c r="G39" s="705" t="s">
        <v>427</v>
      </c>
    </row>
    <row r="40" spans="1:7" s="109" customFormat="1" ht="13.5" customHeight="1">
      <c r="A40" s="510" t="s">
        <v>337</v>
      </c>
      <c r="B40" s="105" t="s">
        <v>76</v>
      </c>
      <c r="C40" s="157">
        <f>F21</f>
        <v>0.03</v>
      </c>
      <c r="D40" s="131" t="s">
        <v>100</v>
      </c>
      <c r="E40" s="127"/>
      <c r="F40" s="128"/>
      <c r="G40" s="129" t="s">
        <v>91</v>
      </c>
    </row>
    <row r="41" spans="1:7" s="109" customFormat="1" ht="13.5" customHeight="1">
      <c r="A41" s="510" t="s">
        <v>338</v>
      </c>
      <c r="B41" s="105" t="s">
        <v>78</v>
      </c>
      <c r="C41" s="127">
        <f ca="1">ROUND(SUM(C42:C43),0)</f>
        <v>4111</v>
      </c>
      <c r="D41" s="130">
        <f ca="1">C44</f>
        <v>1.5E-3</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3915</v>
      </c>
      <c r="D42" s="133"/>
      <c r="E42" s="133"/>
      <c r="F42" s="134"/>
      <c r="G42" s="4543" t="s">
        <v>92</v>
      </c>
    </row>
    <row r="43" spans="1:7" ht="13.5" customHeight="1">
      <c r="A43" s="513" t="s">
        <v>345</v>
      </c>
      <c r="B43" s="110" t="s">
        <v>420</v>
      </c>
      <c r="C43" s="133">
        <f ca="1">ROUND(IF('数据-取费表'!B22&lt;=1,C39*F22*'数据-取费表'!B21/2,C39*(POWER((1+F22),'数据-取费表'!B21/2)-1)),0)</f>
        <v>196</v>
      </c>
      <c r="D43" s="133"/>
      <c r="E43" s="133"/>
      <c r="F43" s="134"/>
      <c r="G43" s="4545"/>
    </row>
    <row r="44" spans="1:7" ht="13.5" customHeight="1">
      <c r="A44" s="513" t="s">
        <v>346</v>
      </c>
      <c r="B44" s="110" t="s">
        <v>422</v>
      </c>
      <c r="C44" s="133">
        <f ca="1">ROUND(IF('数据-取费表'!B22&lt;=1,C40*F22*'数据-取费表'!B21/2,C40*(POWER((1+F22),'数据-取费表'!B21/2)-1)),4)</f>
        <v>1.5E-3</v>
      </c>
      <c r="D44" s="133"/>
      <c r="E44" s="133"/>
      <c r="F44" s="134"/>
      <c r="G44" s="4544"/>
    </row>
    <row r="45" spans="1:7" s="109" customFormat="1" ht="13.5" customHeight="1">
      <c r="A45" s="510" t="s">
        <v>339</v>
      </c>
      <c r="B45" s="139" t="s">
        <v>83</v>
      </c>
      <c r="C45" s="140">
        <f>C46</f>
        <v>16728</v>
      </c>
      <c r="D45" s="130">
        <f>C47</f>
        <v>6.0000000000000001E-3</v>
      </c>
      <c r="E45" s="131" t="s">
        <v>100</v>
      </c>
      <c r="F45" s="141"/>
      <c r="G45" s="142" t="s">
        <v>428</v>
      </c>
    </row>
    <row r="46" spans="1:7" s="109" customFormat="1" ht="13.5" customHeight="1">
      <c r="A46" s="513" t="s">
        <v>347</v>
      </c>
      <c r="B46" s="143" t="s">
        <v>421</v>
      </c>
      <c r="C46" s="144">
        <f>ROUND((C33+C39)*F27,0)</f>
        <v>16728</v>
      </c>
      <c r="D46" s="158"/>
      <c r="E46" s="131"/>
      <c r="F46" s="141"/>
      <c r="G46" s="142"/>
    </row>
    <row r="47" spans="1:7" s="109" customFormat="1" ht="13.5" customHeight="1">
      <c r="A47" s="513" t="s">
        <v>345</v>
      </c>
      <c r="B47" s="143" t="s">
        <v>423</v>
      </c>
      <c r="C47" s="133">
        <f>ROUND(C40*F27,4)</f>
        <v>6.0000000000000001E-3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108549</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92267</v>
      </c>
      <c r="D51" s="127"/>
      <c r="E51" s="127"/>
      <c r="F51" s="159"/>
      <c r="G51" s="129" t="s">
        <v>35</v>
      </c>
    </row>
    <row r="52" spans="1:7" s="103" customFormat="1" ht="16.5" thickBot="1">
      <c r="A52" s="160" t="s">
        <v>36</v>
      </c>
      <c r="B52" s="161"/>
      <c r="C52" s="162">
        <f ca="1">C31+C51</f>
        <v>123597</v>
      </c>
      <c r="D52" s="161"/>
      <c r="E52" s="161"/>
      <c r="F52" s="161"/>
      <c r="G52" s="163"/>
    </row>
    <row r="55" spans="1:7" ht="15">
      <c r="B55" s="165" t="s">
        <v>37</v>
      </c>
      <c r="C55" s="166"/>
    </row>
    <row r="56" spans="1:7">
      <c r="B56" s="168" t="s">
        <v>38</v>
      </c>
      <c r="C56" s="169">
        <f ca="1">ROUND(C51/C52,3)</f>
        <v>0.747</v>
      </c>
    </row>
    <row r="57" spans="1:7">
      <c r="B57" s="168" t="s">
        <v>39</v>
      </c>
      <c r="C57" s="170">
        <f ca="1">1-C56</f>
        <v>0.253</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750" t="s">
        <v>3063</v>
      </c>
      <c r="B1" s="4750"/>
    </row>
    <row r="2" spans="1:7" ht="14.25" thickBot="1">
      <c r="A2" s="2336"/>
      <c r="B2" s="2336"/>
    </row>
    <row r="3" spans="1:7" ht="14.25" thickBot="1">
      <c r="A3" s="2336"/>
      <c r="B3" s="2336"/>
      <c r="C3" s="2337" t="s">
        <v>2693</v>
      </c>
      <c r="D3" s="2337" t="s">
        <v>2749</v>
      </c>
      <c r="E3" s="2337" t="s">
        <v>2695</v>
      </c>
      <c r="F3" s="2337" t="s">
        <v>2750</v>
      </c>
      <c r="G3" s="2337" t="s">
        <v>2513</v>
      </c>
    </row>
    <row r="4" spans="1:7" ht="14.25" thickBot="1">
      <c r="A4" s="2338" t="s">
        <v>2748</v>
      </c>
      <c r="B4" s="2339" t="s">
        <v>2754</v>
      </c>
      <c r="C4" s="2337"/>
      <c r="D4" s="2337"/>
      <c r="E4" s="2337"/>
      <c r="F4" s="2337"/>
      <c r="G4" s="2337"/>
    </row>
    <row r="5" spans="1:7">
      <c r="A5" s="2340" t="s">
        <v>2722</v>
      </c>
      <c r="B5" s="2341" t="s">
        <v>2736</v>
      </c>
      <c r="C5" s="2342">
        <v>9.8000000000000004E-2</v>
      </c>
      <c r="D5" s="2342">
        <v>8.6999999999999994E-2</v>
      </c>
      <c r="E5" s="2342">
        <v>8.6999999999999994E-2</v>
      </c>
      <c r="F5" s="2342">
        <v>9.8000000000000004E-2</v>
      </c>
      <c r="G5" s="2343">
        <v>9.5000000000000001E-2</v>
      </c>
    </row>
    <row r="6" spans="1:7">
      <c r="A6" s="2344" t="s">
        <v>142</v>
      </c>
      <c r="B6" s="2345" t="s">
        <v>2751</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2737</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2787</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2805</v>
      </c>
      <c r="C29" s="2354"/>
      <c r="D29" s="2350">
        <v>5.1999999999999998E-2</v>
      </c>
      <c r="E29" s="2350">
        <v>7.0000000000000007E-2</v>
      </c>
      <c r="F29" s="2354"/>
      <c r="G29" s="2352">
        <v>7.0999999999999994E-2</v>
      </c>
    </row>
    <row r="30" spans="1:7">
      <c r="A30" s="2355" t="s">
        <v>294</v>
      </c>
      <c r="B30" s="2341" t="s">
        <v>2738</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2724</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2808</v>
      </c>
      <c r="C50" s="2346">
        <v>9.8000000000000004E-2</v>
      </c>
      <c r="D50" s="2346">
        <v>7.2999999999999995E-2</v>
      </c>
      <c r="E50" s="2346">
        <v>7.0999999999999994E-2</v>
      </c>
      <c r="F50" s="2357"/>
      <c r="G50" s="2347">
        <v>7.2999999999999995E-2</v>
      </c>
    </row>
    <row r="51" spans="1:7">
      <c r="A51" s="2356" t="s">
        <v>294</v>
      </c>
      <c r="B51" s="2345" t="s">
        <v>2810</v>
      </c>
      <c r="C51" s="2346">
        <v>9.9000000000000005E-2</v>
      </c>
      <c r="D51" s="2346">
        <v>8.5000000000000006E-2</v>
      </c>
      <c r="E51" s="2346">
        <v>6.3E-2</v>
      </c>
      <c r="F51" s="2357"/>
      <c r="G51" s="2347">
        <v>9.6000000000000002E-2</v>
      </c>
    </row>
    <row r="52" spans="1:7">
      <c r="A52" s="2356" t="s">
        <v>294</v>
      </c>
      <c r="B52" s="2345" t="s">
        <v>2814</v>
      </c>
      <c r="C52" s="2346">
        <v>7.3999999999999996E-2</v>
      </c>
      <c r="D52" s="2346">
        <v>9.6000000000000002E-2</v>
      </c>
      <c r="E52" s="2346">
        <v>0.05</v>
      </c>
      <c r="F52" s="2357"/>
      <c r="G52" s="2347">
        <v>9.8000000000000004E-2</v>
      </c>
    </row>
    <row r="53" spans="1:7">
      <c r="A53" s="2356" t="s">
        <v>294</v>
      </c>
      <c r="B53" s="2345" t="s">
        <v>2819</v>
      </c>
      <c r="C53" s="2346">
        <v>8.5999999999999993E-2</v>
      </c>
      <c r="D53" s="2357"/>
      <c r="E53" s="2346">
        <v>9.1999999999999998E-2</v>
      </c>
      <c r="F53" s="2357"/>
      <c r="G53" s="2358"/>
    </row>
    <row r="54" spans="1:7" ht="14.25" thickBot="1">
      <c r="A54" s="2359" t="s">
        <v>294</v>
      </c>
      <c r="B54" s="2349" t="s">
        <v>2822</v>
      </c>
      <c r="C54" s="2350">
        <v>9.6000000000000002E-2</v>
      </c>
      <c r="D54" s="2351"/>
      <c r="E54" s="2360"/>
      <c r="F54" s="2351"/>
      <c r="G54" s="2361"/>
    </row>
    <row r="55" spans="1:7">
      <c r="A55" s="2355" t="s">
        <v>108</v>
      </c>
      <c r="B55" s="2341" t="s">
        <v>2739</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2820</v>
      </c>
      <c r="C78" s="2346">
        <v>0.1</v>
      </c>
      <c r="D78" s="2346">
        <v>8.5000000000000006E-2</v>
      </c>
      <c r="E78" s="2346">
        <v>9.6000000000000002E-2</v>
      </c>
      <c r="F78" s="2357"/>
      <c r="G78" s="2347">
        <v>9.6000000000000002E-2</v>
      </c>
    </row>
    <row r="79" spans="1:7">
      <c r="A79" s="2356" t="s">
        <v>108</v>
      </c>
      <c r="B79" s="2345" t="s">
        <v>2823</v>
      </c>
      <c r="C79" s="2346">
        <v>0.05</v>
      </c>
      <c r="D79" s="2346">
        <v>9.6000000000000002E-2</v>
      </c>
      <c r="E79" s="2346">
        <v>9.5000000000000001E-2</v>
      </c>
      <c r="F79" s="2357"/>
      <c r="G79" s="2347">
        <v>9.8000000000000004E-2</v>
      </c>
    </row>
    <row r="80" spans="1:7">
      <c r="A80" s="2356" t="s">
        <v>108</v>
      </c>
      <c r="B80" s="2345" t="s">
        <v>2827</v>
      </c>
      <c r="C80" s="2346">
        <v>8.5999999999999993E-2</v>
      </c>
      <c r="D80" s="2362"/>
      <c r="E80" s="2346">
        <v>0.1</v>
      </c>
      <c r="F80" s="2357"/>
      <c r="G80" s="2358"/>
    </row>
    <row r="81" spans="1:7">
      <c r="A81" s="2356" t="s">
        <v>108</v>
      </c>
      <c r="B81" s="2345" t="s">
        <v>2832</v>
      </c>
      <c r="C81" s="2346">
        <v>9.6000000000000002E-2</v>
      </c>
      <c r="D81" s="2357"/>
      <c r="E81" s="2346">
        <v>9.8000000000000004E-2</v>
      </c>
      <c r="F81" s="2357"/>
      <c r="G81" s="2358"/>
    </row>
    <row r="82" spans="1:7">
      <c r="A82" s="2356" t="s">
        <v>108</v>
      </c>
      <c r="B82" s="2345" t="s">
        <v>2839</v>
      </c>
      <c r="C82" s="2362"/>
      <c r="D82" s="2357"/>
      <c r="E82" s="2346">
        <v>7.6999999999999999E-2</v>
      </c>
      <c r="F82" s="2357"/>
      <c r="G82" s="2358"/>
    </row>
    <row r="83" spans="1:7">
      <c r="A83" s="2356" t="s">
        <v>108</v>
      </c>
      <c r="B83" s="2345" t="s">
        <v>2845</v>
      </c>
      <c r="C83" s="2357"/>
      <c r="D83" s="2357"/>
      <c r="E83" s="2357"/>
      <c r="F83" s="2346">
        <v>0.1</v>
      </c>
      <c r="G83" s="2363"/>
    </row>
    <row r="84" spans="1:7">
      <c r="A84" s="2356" t="s">
        <v>108</v>
      </c>
      <c r="B84" s="2345" t="s">
        <v>2852</v>
      </c>
      <c r="C84" s="2357"/>
      <c r="D84" s="2357"/>
      <c r="E84" s="2357"/>
      <c r="F84" s="2346">
        <v>0.1</v>
      </c>
      <c r="G84" s="2363"/>
    </row>
    <row r="85" spans="1:7">
      <c r="A85" s="2356" t="s">
        <v>108</v>
      </c>
      <c r="B85" s="2345" t="s">
        <v>2859</v>
      </c>
      <c r="C85" s="2357"/>
      <c r="D85" s="2357"/>
      <c r="E85" s="2357"/>
      <c r="F85" s="2346">
        <v>0.1</v>
      </c>
      <c r="G85" s="2363"/>
    </row>
    <row r="86" spans="1:7" ht="14.25" thickBot="1">
      <c r="A86" s="2359" t="s">
        <v>108</v>
      </c>
      <c r="B86" s="2349" t="s">
        <v>2864</v>
      </c>
      <c r="C86" s="2350">
        <v>9.8000000000000004E-2</v>
      </c>
      <c r="D86" s="2350">
        <v>9.8000000000000004E-2</v>
      </c>
      <c r="E86" s="2350">
        <v>9.6000000000000002E-2</v>
      </c>
      <c r="F86" s="2360"/>
      <c r="G86" s="2352">
        <v>0.1</v>
      </c>
    </row>
    <row r="87" spans="1:7">
      <c r="A87" s="2355" t="s">
        <v>301</v>
      </c>
      <c r="B87" s="2341" t="s">
        <v>2740</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2833</v>
      </c>
      <c r="C113" s="2346">
        <v>0.1</v>
      </c>
      <c r="D113" s="2346">
        <v>0.1</v>
      </c>
      <c r="E113" s="2357"/>
      <c r="F113" s="2357"/>
      <c r="G113" s="2347">
        <v>0.1</v>
      </c>
    </row>
    <row r="114" spans="1:7">
      <c r="A114" s="2356" t="s">
        <v>301</v>
      </c>
      <c r="B114" s="2345" t="s">
        <v>2840</v>
      </c>
      <c r="C114" s="2346">
        <v>9.7000000000000003E-2</v>
      </c>
      <c r="D114" s="2346">
        <v>9.7000000000000003E-2</v>
      </c>
      <c r="E114" s="2357"/>
      <c r="F114" s="2357"/>
      <c r="G114" s="2347">
        <v>9.9000000000000005E-2</v>
      </c>
    </row>
    <row r="115" spans="1:7">
      <c r="A115" s="2356" t="s">
        <v>301</v>
      </c>
      <c r="B115" s="2345" t="s">
        <v>2846</v>
      </c>
      <c r="C115" s="2346">
        <v>0.1</v>
      </c>
      <c r="D115" s="2346">
        <v>0.1</v>
      </c>
      <c r="E115" s="2357"/>
      <c r="F115" s="2357"/>
      <c r="G115" s="2347">
        <v>0.1</v>
      </c>
    </row>
    <row r="116" spans="1:7">
      <c r="A116" s="2356" t="s">
        <v>301</v>
      </c>
      <c r="B116" s="2345" t="s">
        <v>2853</v>
      </c>
      <c r="C116" s="2346">
        <v>0.1</v>
      </c>
      <c r="D116" s="2346">
        <v>0.1</v>
      </c>
      <c r="E116" s="2357"/>
      <c r="F116" s="2357"/>
      <c r="G116" s="2347">
        <v>0.1</v>
      </c>
    </row>
    <row r="117" spans="1:7">
      <c r="A117" s="2356" t="s">
        <v>301</v>
      </c>
      <c r="B117" s="2345" t="s">
        <v>2860</v>
      </c>
      <c r="C117" s="2346">
        <v>9.7000000000000003E-2</v>
      </c>
      <c r="D117" s="2346">
        <v>9.7000000000000003E-2</v>
      </c>
      <c r="E117" s="2357"/>
      <c r="F117" s="2357"/>
      <c r="G117" s="2347">
        <v>9.7000000000000003E-2</v>
      </c>
    </row>
    <row r="118" spans="1:7">
      <c r="A118" s="2356" t="s">
        <v>301</v>
      </c>
      <c r="B118" s="2345" t="s">
        <v>2865</v>
      </c>
      <c r="C118" s="2346">
        <v>0.1</v>
      </c>
      <c r="D118" s="2346">
        <v>0.1</v>
      </c>
      <c r="E118" s="2357"/>
      <c r="F118" s="2357"/>
      <c r="G118" s="2347">
        <v>0.1</v>
      </c>
    </row>
    <row r="119" spans="1:7">
      <c r="A119" s="2356" t="s">
        <v>301</v>
      </c>
      <c r="B119" s="2345" t="s">
        <v>2869</v>
      </c>
      <c r="C119" s="2346">
        <v>5.0999999999999997E-2</v>
      </c>
      <c r="D119" s="2346">
        <v>5.1999999999999998E-2</v>
      </c>
      <c r="E119" s="2357"/>
      <c r="F119" s="2362"/>
      <c r="G119" s="2347">
        <v>0.06</v>
      </c>
    </row>
    <row r="120" spans="1:7">
      <c r="A120" s="2356" t="s">
        <v>301</v>
      </c>
      <c r="B120" s="2345" t="s">
        <v>2873</v>
      </c>
      <c r="C120" s="2357"/>
      <c r="D120" s="2357"/>
      <c r="E120" s="2357"/>
      <c r="F120" s="2346">
        <v>0.1</v>
      </c>
      <c r="G120" s="2363"/>
    </row>
    <row r="121" spans="1:7">
      <c r="A121" s="2356" t="s">
        <v>301</v>
      </c>
      <c r="B121" s="2345" t="s">
        <v>2878</v>
      </c>
      <c r="C121" s="2357"/>
      <c r="D121" s="2357"/>
      <c r="E121" s="2357"/>
      <c r="F121" s="2346">
        <v>0.1</v>
      </c>
      <c r="G121" s="2363"/>
    </row>
    <row r="122" spans="1:7">
      <c r="A122" s="2356" t="s">
        <v>301</v>
      </c>
      <c r="B122" s="2345" t="s">
        <v>2883</v>
      </c>
      <c r="C122" s="2346">
        <v>0.1</v>
      </c>
      <c r="D122" s="2346">
        <v>0.1</v>
      </c>
      <c r="E122" s="2346">
        <v>9.8000000000000004E-2</v>
      </c>
      <c r="F122" s="2346">
        <v>0.1</v>
      </c>
      <c r="G122" s="2347">
        <v>0.1</v>
      </c>
    </row>
    <row r="123" spans="1:7">
      <c r="A123" s="2356" t="s">
        <v>301</v>
      </c>
      <c r="B123" s="2345" t="s">
        <v>2888</v>
      </c>
      <c r="C123" s="2346">
        <v>0.1</v>
      </c>
      <c r="D123" s="2346">
        <v>0.1</v>
      </c>
      <c r="E123" s="2346">
        <v>9.8000000000000004E-2</v>
      </c>
      <c r="F123" s="2346">
        <v>0.1</v>
      </c>
      <c r="G123" s="2347">
        <v>0.1</v>
      </c>
    </row>
    <row r="124" spans="1:7">
      <c r="A124" s="2356" t="s">
        <v>301</v>
      </c>
      <c r="B124" s="2345" t="s">
        <v>2893</v>
      </c>
      <c r="C124" s="2346">
        <v>0.1</v>
      </c>
      <c r="D124" s="2346">
        <v>0.1</v>
      </c>
      <c r="E124" s="2346">
        <v>9.8000000000000004E-2</v>
      </c>
      <c r="F124" s="2362"/>
      <c r="G124" s="2347">
        <v>0.1</v>
      </c>
    </row>
    <row r="125" spans="1:7">
      <c r="A125" s="2356" t="s">
        <v>301</v>
      </c>
      <c r="B125" s="2345" t="s">
        <v>2898</v>
      </c>
      <c r="C125" s="2346">
        <v>9.8000000000000004E-2</v>
      </c>
      <c r="D125" s="2346">
        <v>9.8000000000000004E-2</v>
      </c>
      <c r="E125" s="2346">
        <v>9.6000000000000002E-2</v>
      </c>
      <c r="F125" s="2362"/>
      <c r="G125" s="2347">
        <v>0.1</v>
      </c>
    </row>
    <row r="126" spans="1:7" ht="14.25" thickBot="1">
      <c r="A126" s="2359" t="s">
        <v>301</v>
      </c>
      <c r="B126" s="2349" t="s">
        <v>3064</v>
      </c>
      <c r="C126" s="2350">
        <v>0.1</v>
      </c>
      <c r="D126" s="2350">
        <v>0.1</v>
      </c>
      <c r="E126" s="2350">
        <v>9.8000000000000004E-2</v>
      </c>
      <c r="F126" s="2350">
        <v>0.1</v>
      </c>
      <c r="G126" s="2352">
        <v>0.1</v>
      </c>
    </row>
    <row r="127" spans="1:7">
      <c r="A127" s="2355" t="s">
        <v>27</v>
      </c>
      <c r="B127" s="2341" t="s">
        <v>2741</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2811</v>
      </c>
      <c r="C148" s="2346">
        <v>0.13</v>
      </c>
      <c r="D148" s="2346">
        <v>0.13</v>
      </c>
      <c r="E148" s="2346">
        <v>0.13</v>
      </c>
      <c r="F148" s="2357"/>
      <c r="G148" s="2347">
        <v>0.13</v>
      </c>
    </row>
    <row r="149" spans="1:7">
      <c r="A149" s="2356" t="s">
        <v>27</v>
      </c>
      <c r="B149" s="2345" t="s">
        <v>2815</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2834</v>
      </c>
      <c r="C153" s="2346">
        <v>0.13</v>
      </c>
      <c r="D153" s="2346">
        <v>0.13</v>
      </c>
      <c r="E153" s="2346">
        <v>0.13</v>
      </c>
      <c r="F153" s="2346">
        <v>0.13</v>
      </c>
      <c r="G153" s="2347">
        <v>0.13</v>
      </c>
    </row>
    <row r="154" spans="1:7">
      <c r="A154" s="2356" t="s">
        <v>27</v>
      </c>
      <c r="B154" s="2345" t="s">
        <v>2841</v>
      </c>
      <c r="C154" s="2346">
        <v>0.121</v>
      </c>
      <c r="D154" s="2346">
        <v>0.121</v>
      </c>
      <c r="E154" s="2346">
        <v>0.105</v>
      </c>
      <c r="F154" s="2346">
        <v>0.121</v>
      </c>
      <c r="G154" s="2347">
        <v>0.123</v>
      </c>
    </row>
    <row r="155" spans="1:7">
      <c r="A155" s="2356" t="s">
        <v>27</v>
      </c>
      <c r="B155" s="2345" t="s">
        <v>2847</v>
      </c>
      <c r="C155" s="2346">
        <v>0.1</v>
      </c>
      <c r="D155" s="2346">
        <v>0.1</v>
      </c>
      <c r="E155" s="2346">
        <v>0.1</v>
      </c>
      <c r="F155" s="2346">
        <v>0.1</v>
      </c>
      <c r="G155" s="2347">
        <v>0.1</v>
      </c>
    </row>
    <row r="156" spans="1:7">
      <c r="A156" s="2356" t="s">
        <v>27</v>
      </c>
      <c r="B156" s="2345" t="s">
        <v>2854</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2874</v>
      </c>
      <c r="C160" s="2346">
        <v>0.13</v>
      </c>
      <c r="D160" s="2346">
        <v>0.13</v>
      </c>
      <c r="E160" s="2346">
        <v>0.124</v>
      </c>
      <c r="F160" s="2346">
        <v>0.126</v>
      </c>
      <c r="G160" s="2347">
        <v>0.13</v>
      </c>
    </row>
    <row r="161" spans="1:7">
      <c r="A161" s="2356" t="s">
        <v>27</v>
      </c>
      <c r="B161" s="2345" t="s">
        <v>2879</v>
      </c>
      <c r="C161" s="2346">
        <v>0.13</v>
      </c>
      <c r="D161" s="2346">
        <v>0.13</v>
      </c>
      <c r="E161" s="2346">
        <v>0.124</v>
      </c>
      <c r="F161" s="2346">
        <v>0.127</v>
      </c>
      <c r="G161" s="2347">
        <v>0.13</v>
      </c>
    </row>
    <row r="162" spans="1:7">
      <c r="A162" s="2356" t="s">
        <v>27</v>
      </c>
      <c r="B162" s="2345" t="s">
        <v>2884</v>
      </c>
      <c r="C162" s="2346">
        <v>0.1</v>
      </c>
      <c r="D162" s="2346">
        <v>0.1</v>
      </c>
      <c r="E162" s="2346">
        <v>0.1</v>
      </c>
      <c r="F162" s="2346">
        <v>0.121</v>
      </c>
      <c r="G162" s="2347">
        <v>0.105</v>
      </c>
    </row>
    <row r="163" spans="1:7">
      <c r="A163" s="2356" t="s">
        <v>27</v>
      </c>
      <c r="B163" s="2345" t="s">
        <v>2889</v>
      </c>
      <c r="C163" s="2346">
        <v>0.1</v>
      </c>
      <c r="D163" s="2346">
        <v>0.1</v>
      </c>
      <c r="E163" s="2346">
        <v>0.1</v>
      </c>
      <c r="F163" s="2346">
        <v>0.1</v>
      </c>
      <c r="G163" s="2347">
        <v>0.1</v>
      </c>
    </row>
    <row r="164" spans="1:7">
      <c r="A164" s="2356" t="s">
        <v>27</v>
      </c>
      <c r="B164" s="2345" t="s">
        <v>2894</v>
      </c>
      <c r="C164" s="2362"/>
      <c r="D164" s="2362"/>
      <c r="E164" s="2362"/>
      <c r="F164" s="2346">
        <v>0.1</v>
      </c>
      <c r="G164" s="2358"/>
    </row>
    <row r="165" spans="1:7">
      <c r="A165" s="2356" t="s">
        <v>27</v>
      </c>
      <c r="B165" s="2345" t="s">
        <v>3065</v>
      </c>
      <c r="C165" s="2346">
        <v>0.126</v>
      </c>
      <c r="D165" s="2346">
        <v>0.126</v>
      </c>
      <c r="E165" s="2346">
        <v>0.11899999999999999</v>
      </c>
      <c r="F165" s="2346">
        <v>0.13</v>
      </c>
      <c r="G165" s="2347">
        <v>0.128</v>
      </c>
    </row>
    <row r="166" spans="1:7">
      <c r="A166" s="2356" t="s">
        <v>27</v>
      </c>
      <c r="B166" s="2345" t="s">
        <v>2904</v>
      </c>
      <c r="C166" s="2346">
        <v>0.129</v>
      </c>
      <c r="D166" s="2346">
        <v>0.129</v>
      </c>
      <c r="E166" s="2346">
        <v>0.123</v>
      </c>
      <c r="F166" s="2346">
        <v>0.128</v>
      </c>
      <c r="G166" s="2347">
        <v>0.13</v>
      </c>
    </row>
    <row r="167" spans="1:7">
      <c r="A167" s="2356" t="s">
        <v>27</v>
      </c>
      <c r="B167" s="2345" t="s">
        <v>2908</v>
      </c>
      <c r="C167" s="2346">
        <v>0.125</v>
      </c>
      <c r="D167" s="2346">
        <v>0.125</v>
      </c>
      <c r="E167" s="2346">
        <v>0.11700000000000001</v>
      </c>
      <c r="F167" s="2346">
        <v>0.13</v>
      </c>
      <c r="G167" s="2347">
        <v>0.126</v>
      </c>
    </row>
    <row r="168" spans="1:7">
      <c r="A168" s="2356" t="s">
        <v>27</v>
      </c>
      <c r="B168" s="2345" t="s">
        <v>2913</v>
      </c>
      <c r="C168" s="2346">
        <v>0.128</v>
      </c>
      <c r="D168" s="2346">
        <v>0.128</v>
      </c>
      <c r="E168" s="2346">
        <v>0.123</v>
      </c>
      <c r="F168" s="2357"/>
      <c r="G168" s="2347">
        <v>0.13</v>
      </c>
    </row>
    <row r="169" spans="1:7">
      <c r="A169" s="2356" t="s">
        <v>27</v>
      </c>
      <c r="B169" s="2345" t="s">
        <v>3066</v>
      </c>
      <c r="C169" s="2362"/>
      <c r="D169" s="2362"/>
      <c r="E169" s="2362"/>
      <c r="F169" s="2346">
        <v>0.05</v>
      </c>
      <c r="G169" s="2358"/>
    </row>
    <row r="170" spans="1:7">
      <c r="A170" s="2356" t="s">
        <v>27</v>
      </c>
      <c r="B170" s="2345" t="s">
        <v>3067</v>
      </c>
      <c r="C170" s="2362"/>
      <c r="D170" s="2362"/>
      <c r="E170" s="2362"/>
      <c r="F170" s="2346">
        <v>0.05</v>
      </c>
      <c r="G170" s="2358"/>
    </row>
    <row r="171" spans="1:7">
      <c r="A171" s="2356" t="s">
        <v>27</v>
      </c>
      <c r="B171" s="2345" t="s">
        <v>3068</v>
      </c>
      <c r="C171" s="2362"/>
      <c r="D171" s="2362"/>
      <c r="E171" s="2362"/>
      <c r="F171" s="2346">
        <v>0.05</v>
      </c>
      <c r="G171" s="2363"/>
    </row>
    <row r="172" spans="1:7">
      <c r="A172" s="2356" t="s">
        <v>27</v>
      </c>
      <c r="B172" s="2345" t="s">
        <v>3069</v>
      </c>
      <c r="C172" s="2362"/>
      <c r="D172" s="2362"/>
      <c r="E172" s="2362"/>
      <c r="F172" s="2346">
        <v>0.05</v>
      </c>
      <c r="G172" s="2363"/>
    </row>
    <row r="173" spans="1:7">
      <c r="A173" s="2356" t="s">
        <v>27</v>
      </c>
      <c r="B173" s="2345" t="s">
        <v>3070</v>
      </c>
      <c r="C173" s="2362"/>
      <c r="D173" s="2362"/>
      <c r="E173" s="2362"/>
      <c r="F173" s="2346">
        <v>0.05</v>
      </c>
      <c r="G173" s="2358"/>
    </row>
    <row r="174" spans="1:7">
      <c r="A174" s="2356" t="s">
        <v>27</v>
      </c>
      <c r="B174" s="2345" t="s">
        <v>3071</v>
      </c>
      <c r="C174" s="2362"/>
      <c r="D174" s="2362"/>
      <c r="E174" s="2362"/>
      <c r="F174" s="2346">
        <v>0.05</v>
      </c>
      <c r="G174" s="2358"/>
    </row>
    <row r="175" spans="1:7">
      <c r="A175" s="2356" t="s">
        <v>27</v>
      </c>
      <c r="B175" s="2345" t="s">
        <v>3072</v>
      </c>
      <c r="C175" s="2362"/>
      <c r="D175" s="2362"/>
      <c r="E175" s="2362"/>
      <c r="F175" s="2346">
        <v>0.05</v>
      </c>
      <c r="G175" s="2358"/>
    </row>
    <row r="176" spans="1:7">
      <c r="A176" s="2356" t="s">
        <v>27</v>
      </c>
      <c r="B176" s="2345" t="s">
        <v>3073</v>
      </c>
      <c r="C176" s="2362"/>
      <c r="D176" s="2362"/>
      <c r="E176" s="2362"/>
      <c r="F176" s="2346">
        <v>0.05</v>
      </c>
      <c r="G176" s="2358"/>
    </row>
    <row r="177" spans="1:7">
      <c r="A177" s="2356" t="s">
        <v>27</v>
      </c>
      <c r="B177" s="2345" t="s">
        <v>3074</v>
      </c>
      <c r="C177" s="2357"/>
      <c r="D177" s="2357"/>
      <c r="E177" s="2357"/>
      <c r="F177" s="2346">
        <v>0.05</v>
      </c>
      <c r="G177" s="2363"/>
    </row>
    <row r="178" spans="1:7">
      <c r="A178" s="2356" t="s">
        <v>27</v>
      </c>
      <c r="B178" s="2345" t="s">
        <v>3075</v>
      </c>
      <c r="C178" s="2357"/>
      <c r="D178" s="2357"/>
      <c r="E178" s="2357"/>
      <c r="F178" s="2346">
        <v>0.05</v>
      </c>
      <c r="G178" s="2363"/>
    </row>
    <row r="179" spans="1:7">
      <c r="A179" s="2356" t="s">
        <v>27</v>
      </c>
      <c r="B179" s="2345" t="s">
        <v>3076</v>
      </c>
      <c r="C179" s="2357"/>
      <c r="D179" s="2357"/>
      <c r="E179" s="2357"/>
      <c r="F179" s="2346">
        <v>0.05</v>
      </c>
      <c r="G179" s="2363"/>
    </row>
    <row r="180" spans="1:7">
      <c r="A180" s="2356" t="s">
        <v>27</v>
      </c>
      <c r="B180" s="2345" t="s">
        <v>3077</v>
      </c>
      <c r="C180" s="2357"/>
      <c r="D180" s="2357"/>
      <c r="E180" s="2357"/>
      <c r="F180" s="2346">
        <v>0.05</v>
      </c>
      <c r="G180" s="2363"/>
    </row>
    <row r="181" spans="1:7">
      <c r="A181" s="2356" t="s">
        <v>27</v>
      </c>
      <c r="B181" s="2345" t="s">
        <v>3078</v>
      </c>
      <c r="C181" s="2357"/>
      <c r="D181" s="2357"/>
      <c r="E181" s="2357"/>
      <c r="F181" s="2346">
        <v>0.05</v>
      </c>
      <c r="G181" s="2363"/>
    </row>
    <row r="182" spans="1:7">
      <c r="A182" s="2356" t="s">
        <v>27</v>
      </c>
      <c r="B182" s="2345" t="s">
        <v>3079</v>
      </c>
      <c r="C182" s="2357"/>
      <c r="D182" s="2357"/>
      <c r="E182" s="2357"/>
      <c r="F182" s="2346">
        <v>0.05</v>
      </c>
      <c r="G182" s="2363"/>
    </row>
    <row r="183" spans="1:7">
      <c r="A183" s="2356" t="s">
        <v>27</v>
      </c>
      <c r="B183" s="2345" t="s">
        <v>3080</v>
      </c>
      <c r="C183" s="2357"/>
      <c r="D183" s="2357"/>
      <c r="E183" s="2357"/>
      <c r="F183" s="2346">
        <v>0.05</v>
      </c>
      <c r="G183" s="2363"/>
    </row>
    <row r="184" spans="1:7">
      <c r="A184" s="2356" t="s">
        <v>27</v>
      </c>
      <c r="B184" s="2345" t="s">
        <v>3081</v>
      </c>
      <c r="C184" s="2357"/>
      <c r="D184" s="2357"/>
      <c r="E184" s="2357"/>
      <c r="F184" s="2346">
        <v>0.05</v>
      </c>
      <c r="G184" s="2363"/>
    </row>
    <row r="185" spans="1:7">
      <c r="A185" s="2356" t="s">
        <v>27</v>
      </c>
      <c r="B185" s="2345" t="s">
        <v>3082</v>
      </c>
      <c r="C185" s="2357"/>
      <c r="D185" s="2357"/>
      <c r="E185" s="2357"/>
      <c r="F185" s="2346">
        <v>0.05</v>
      </c>
      <c r="G185" s="2363"/>
    </row>
    <row r="186" spans="1:7">
      <c r="A186" s="2356" t="s">
        <v>27</v>
      </c>
      <c r="B186" s="2345" t="s">
        <v>3083</v>
      </c>
      <c r="C186" s="2357"/>
      <c r="D186" s="2357"/>
      <c r="E186" s="2357"/>
      <c r="F186" s="2346">
        <v>0.05</v>
      </c>
      <c r="G186" s="2363"/>
    </row>
    <row r="187" spans="1:7">
      <c r="A187" s="2356" t="s">
        <v>27</v>
      </c>
      <c r="B187" s="2345" t="s">
        <v>3084</v>
      </c>
      <c r="C187" s="2357"/>
      <c r="D187" s="2357"/>
      <c r="E187" s="2357"/>
      <c r="F187" s="2346">
        <v>0.05</v>
      </c>
      <c r="G187" s="2363"/>
    </row>
    <row r="188" spans="1:7">
      <c r="A188" s="2356" t="s">
        <v>27</v>
      </c>
      <c r="B188" s="2345" t="s">
        <v>3085</v>
      </c>
      <c r="C188" s="2357"/>
      <c r="D188" s="2357"/>
      <c r="E188" s="2357"/>
      <c r="F188" s="2346">
        <v>0.05</v>
      </c>
      <c r="G188" s="2363"/>
    </row>
    <row r="189" spans="1:7" ht="14.25" thickBot="1">
      <c r="A189" s="2359" t="s">
        <v>27</v>
      </c>
      <c r="B189" s="2349" t="s">
        <v>3086</v>
      </c>
      <c r="C189" s="2351"/>
      <c r="D189" s="2351"/>
      <c r="E189" s="2351"/>
      <c r="F189" s="2350">
        <v>0.05</v>
      </c>
      <c r="G189" s="2364"/>
    </row>
    <row r="190" spans="1:7">
      <c r="A190" s="2355" t="s">
        <v>302</v>
      </c>
      <c r="B190" s="2341" t="s">
        <v>2742</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2778</v>
      </c>
      <c r="C199" s="2346">
        <v>0.13</v>
      </c>
      <c r="D199" s="2346">
        <v>0.13</v>
      </c>
      <c r="E199" s="2346">
        <v>0.13</v>
      </c>
      <c r="F199" s="2346">
        <v>0.13</v>
      </c>
      <c r="G199" s="2347">
        <v>0.13</v>
      </c>
    </row>
    <row r="200" spans="1:7">
      <c r="A200" s="2356" t="s">
        <v>302</v>
      </c>
      <c r="B200" s="2345" t="s">
        <v>2781</v>
      </c>
      <c r="C200" s="2362"/>
      <c r="D200" s="2362"/>
      <c r="E200" s="2362"/>
      <c r="F200" s="2346">
        <v>0.13</v>
      </c>
      <c r="G200" s="2358"/>
    </row>
    <row r="201" spans="1:7">
      <c r="A201" s="2356" t="s">
        <v>302</v>
      </c>
      <c r="B201" s="2345" t="s">
        <v>2786</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2789</v>
      </c>
      <c r="C203" s="2346">
        <v>0.129</v>
      </c>
      <c r="D203" s="2346">
        <v>0.129</v>
      </c>
      <c r="E203" s="2346">
        <v>0.13</v>
      </c>
      <c r="F203" s="2346">
        <v>0.13</v>
      </c>
      <c r="G203" s="2347">
        <v>0.13</v>
      </c>
    </row>
    <row r="204" spans="1:7">
      <c r="A204" s="2356" t="s">
        <v>302</v>
      </c>
      <c r="B204" s="2345" t="s">
        <v>2792</v>
      </c>
      <c r="C204" s="2346">
        <v>0.129</v>
      </c>
      <c r="D204" s="2346">
        <v>0.129</v>
      </c>
      <c r="E204" s="2346">
        <v>0.123</v>
      </c>
      <c r="F204" s="2346">
        <v>0.13</v>
      </c>
      <c r="G204" s="2347">
        <v>0.13</v>
      </c>
    </row>
    <row r="205" spans="1:7">
      <c r="A205" s="2356" t="s">
        <v>302</v>
      </c>
      <c r="B205" s="2345" t="s">
        <v>2794</v>
      </c>
      <c r="C205" s="2346">
        <v>0.13</v>
      </c>
      <c r="D205" s="2346">
        <v>0.13</v>
      </c>
      <c r="E205" s="2346">
        <v>0.13</v>
      </c>
      <c r="F205" s="2346">
        <v>0.13</v>
      </c>
      <c r="G205" s="2347">
        <v>0.13</v>
      </c>
    </row>
    <row r="206" spans="1:7">
      <c r="A206" s="2356" t="s">
        <v>302</v>
      </c>
      <c r="B206" s="2345" t="s">
        <v>2797</v>
      </c>
      <c r="C206" s="2346">
        <v>0.13</v>
      </c>
      <c r="D206" s="2346">
        <v>0.13</v>
      </c>
      <c r="E206" s="2346">
        <v>0.13</v>
      </c>
      <c r="F206" s="2346">
        <v>0.128</v>
      </c>
      <c r="G206" s="2347">
        <v>0.13</v>
      </c>
    </row>
    <row r="207" spans="1:7">
      <c r="A207" s="2356" t="s">
        <v>302</v>
      </c>
      <c r="B207" s="2345" t="s">
        <v>2799</v>
      </c>
      <c r="C207" s="2346">
        <v>0.13</v>
      </c>
      <c r="D207" s="2346">
        <v>0.13</v>
      </c>
      <c r="E207" s="2346">
        <v>0.13</v>
      </c>
      <c r="F207" s="2346">
        <v>0.13</v>
      </c>
      <c r="G207" s="2347">
        <v>0.13</v>
      </c>
    </row>
    <row r="208" spans="1:7">
      <c r="A208" s="2356" t="s">
        <v>302</v>
      </c>
      <c r="B208" s="2345" t="s">
        <v>2802</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2809</v>
      </c>
      <c r="C210" s="2346">
        <v>0.121</v>
      </c>
      <c r="D210" s="2346">
        <v>0.121</v>
      </c>
      <c r="E210" s="2346">
        <v>0.125</v>
      </c>
      <c r="F210" s="2346">
        <v>0.13</v>
      </c>
      <c r="G210" s="2347">
        <v>0.123</v>
      </c>
    </row>
    <row r="211" spans="1:7">
      <c r="A211" s="2356" t="s">
        <v>302</v>
      </c>
      <c r="B211" s="2345" t="s">
        <v>2812</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2824</v>
      </c>
      <c r="C214" s="2346">
        <v>0.128</v>
      </c>
      <c r="D214" s="2346">
        <v>0.128</v>
      </c>
      <c r="E214" s="2346">
        <v>0.13</v>
      </c>
      <c r="F214" s="2346">
        <v>0.13</v>
      </c>
      <c r="G214" s="2347">
        <v>0.13</v>
      </c>
    </row>
    <row r="215" spans="1:7">
      <c r="A215" s="2356" t="s">
        <v>302</v>
      </c>
      <c r="B215" s="2345" t="s">
        <v>2828</v>
      </c>
      <c r="C215" s="2346">
        <v>0.13</v>
      </c>
      <c r="D215" s="2346">
        <v>0.13</v>
      </c>
      <c r="E215" s="2346">
        <v>0.13</v>
      </c>
      <c r="F215" s="2346">
        <v>0.129</v>
      </c>
      <c r="G215" s="2347">
        <v>0.13</v>
      </c>
    </row>
    <row r="216" spans="1:7">
      <c r="A216" s="2356" t="s">
        <v>302</v>
      </c>
      <c r="B216" s="2345" t="s">
        <v>2835</v>
      </c>
      <c r="C216" s="2346">
        <v>0.13</v>
      </c>
      <c r="D216" s="2346">
        <v>0.13</v>
      </c>
      <c r="E216" s="2346">
        <v>0.13</v>
      </c>
      <c r="F216" s="2346">
        <v>0.13</v>
      </c>
      <c r="G216" s="2347">
        <v>0.13</v>
      </c>
    </row>
    <row r="217" spans="1:7">
      <c r="A217" s="2356" t="s">
        <v>302</v>
      </c>
      <c r="B217" s="2345" t="s">
        <v>2842</v>
      </c>
      <c r="C217" s="2346">
        <v>0.129</v>
      </c>
      <c r="D217" s="2346">
        <v>0.129</v>
      </c>
      <c r="E217" s="2346">
        <v>0.13</v>
      </c>
      <c r="F217" s="2346">
        <v>0.13</v>
      </c>
      <c r="G217" s="2347">
        <v>0.13</v>
      </c>
    </row>
    <row r="218" spans="1:7">
      <c r="A218" s="2356" t="s">
        <v>302</v>
      </c>
      <c r="B218" s="2345" t="s">
        <v>2848</v>
      </c>
      <c r="C218" s="2357"/>
      <c r="D218" s="2357"/>
      <c r="E218" s="2357"/>
      <c r="F218" s="2346">
        <v>0.05</v>
      </c>
      <c r="G218" s="2363"/>
    </row>
    <row r="219" spans="1:7">
      <c r="A219" s="2356" t="s">
        <v>302</v>
      </c>
      <c r="B219" s="2345" t="s">
        <v>2855</v>
      </c>
      <c r="C219" s="2357"/>
      <c r="D219" s="2357"/>
      <c r="E219" s="2357"/>
      <c r="F219" s="2346">
        <v>0.05</v>
      </c>
      <c r="G219" s="2363"/>
    </row>
    <row r="220" spans="1:7">
      <c r="A220" s="2356" t="s">
        <v>302</v>
      </c>
      <c r="B220" s="2345" t="s">
        <v>2861</v>
      </c>
      <c r="C220" s="2357"/>
      <c r="D220" s="2357"/>
      <c r="E220" s="2357"/>
      <c r="F220" s="2346">
        <v>0.05</v>
      </c>
      <c r="G220" s="2363"/>
    </row>
    <row r="221" spans="1:7">
      <c r="A221" s="2356" t="s">
        <v>302</v>
      </c>
      <c r="B221" s="2345" t="s">
        <v>2866</v>
      </c>
      <c r="C221" s="2357"/>
      <c r="D221" s="2357"/>
      <c r="E221" s="2357"/>
      <c r="F221" s="2346">
        <v>0.05</v>
      </c>
      <c r="G221" s="2363"/>
    </row>
    <row r="222" spans="1:7">
      <c r="A222" s="2356" t="s">
        <v>302</v>
      </c>
      <c r="B222" s="2345" t="s">
        <v>2870</v>
      </c>
      <c r="C222" s="2357"/>
      <c r="D222" s="2357"/>
      <c r="E222" s="2357"/>
      <c r="F222" s="2346">
        <v>0.05</v>
      </c>
      <c r="G222" s="2363"/>
    </row>
    <row r="223" spans="1:7">
      <c r="A223" s="2356" t="s">
        <v>302</v>
      </c>
      <c r="B223" s="2345" t="s">
        <v>2875</v>
      </c>
      <c r="C223" s="2357"/>
      <c r="D223" s="2357"/>
      <c r="E223" s="2357"/>
      <c r="F223" s="2346">
        <v>0.05</v>
      </c>
      <c r="G223" s="2363"/>
    </row>
    <row r="224" spans="1:7">
      <c r="A224" s="2356" t="s">
        <v>302</v>
      </c>
      <c r="B224" s="2345" t="s">
        <v>2880</v>
      </c>
      <c r="C224" s="2357"/>
      <c r="D224" s="2357"/>
      <c r="E224" s="2357"/>
      <c r="F224" s="2346">
        <v>0.05</v>
      </c>
      <c r="G224" s="2363"/>
    </row>
    <row r="225" spans="1:7">
      <c r="A225" s="2356" t="s">
        <v>302</v>
      </c>
      <c r="B225" s="2345" t="s">
        <v>2885</v>
      </c>
      <c r="C225" s="2357"/>
      <c r="D225" s="2357"/>
      <c r="E225" s="2357"/>
      <c r="F225" s="2346">
        <v>0.05</v>
      </c>
      <c r="G225" s="2363"/>
    </row>
    <row r="226" spans="1:7">
      <c r="A226" s="2356" t="s">
        <v>302</v>
      </c>
      <c r="B226" s="2345" t="s">
        <v>3087</v>
      </c>
      <c r="C226" s="2357"/>
      <c r="D226" s="2357"/>
      <c r="E226" s="2357"/>
      <c r="F226" s="2346">
        <v>0.05</v>
      </c>
      <c r="G226" s="2363"/>
    </row>
    <row r="227" spans="1:7">
      <c r="A227" s="2356" t="s">
        <v>302</v>
      </c>
      <c r="B227" s="2345" t="s">
        <v>3088</v>
      </c>
      <c r="C227" s="2357"/>
      <c r="D227" s="2357"/>
      <c r="E227" s="2357"/>
      <c r="F227" s="2346">
        <v>0.05</v>
      </c>
      <c r="G227" s="2363"/>
    </row>
    <row r="228" spans="1:7">
      <c r="A228" s="2356" t="s">
        <v>302</v>
      </c>
      <c r="B228" s="2345" t="s">
        <v>3089</v>
      </c>
      <c r="C228" s="2357"/>
      <c r="D228" s="2357"/>
      <c r="E228" s="2357"/>
      <c r="F228" s="2346">
        <v>0.05</v>
      </c>
      <c r="G228" s="2363"/>
    </row>
    <row r="229" spans="1:7">
      <c r="A229" s="2356" t="s">
        <v>302</v>
      </c>
      <c r="B229" s="2345" t="s">
        <v>3090</v>
      </c>
      <c r="C229" s="2357"/>
      <c r="D229" s="2357"/>
      <c r="E229" s="2357"/>
      <c r="F229" s="2346">
        <v>0.05</v>
      </c>
      <c r="G229" s="2363"/>
    </row>
    <row r="230" spans="1:7">
      <c r="A230" s="2356" t="s">
        <v>302</v>
      </c>
      <c r="B230" s="2345" t="s">
        <v>3091</v>
      </c>
      <c r="C230" s="2357"/>
      <c r="D230" s="2357"/>
      <c r="E230" s="2357"/>
      <c r="F230" s="2346">
        <v>0.05</v>
      </c>
      <c r="G230" s="2363"/>
    </row>
    <row r="231" spans="1:7">
      <c r="A231" s="2356" t="s">
        <v>302</v>
      </c>
      <c r="B231" s="2345" t="s">
        <v>3092</v>
      </c>
      <c r="C231" s="2357"/>
      <c r="D231" s="2357"/>
      <c r="E231" s="2357"/>
      <c r="F231" s="2346">
        <v>0.05</v>
      </c>
      <c r="G231" s="2363"/>
    </row>
    <row r="232" spans="1:7">
      <c r="A232" s="2356" t="s">
        <v>302</v>
      </c>
      <c r="B232" s="2345" t="s">
        <v>3093</v>
      </c>
      <c r="C232" s="2357"/>
      <c r="D232" s="2357"/>
      <c r="E232" s="2357"/>
      <c r="F232" s="2346">
        <v>0.05</v>
      </c>
      <c r="G232" s="2363"/>
    </row>
    <row r="233" spans="1:7" ht="14.25" thickBot="1">
      <c r="A233" s="2359" t="s">
        <v>302</v>
      </c>
      <c r="B233" s="2349" t="s">
        <v>3094</v>
      </c>
      <c r="C233" s="2351"/>
      <c r="D233" s="2351"/>
      <c r="E233" s="2351"/>
      <c r="F233" s="2350">
        <v>0.05</v>
      </c>
      <c r="G233" s="2364"/>
    </row>
    <row r="234" spans="1:7">
      <c r="A234" s="2355" t="s">
        <v>303</v>
      </c>
      <c r="B234" s="2341" t="s">
        <v>2743</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2763</v>
      </c>
      <c r="C238" s="2346">
        <v>0.14899999999999999</v>
      </c>
      <c r="D238" s="2346">
        <v>0.14899999999999999</v>
      </c>
      <c r="E238" s="2346">
        <v>0.15</v>
      </c>
      <c r="F238" s="2346">
        <v>0.15</v>
      </c>
      <c r="G238" s="2347">
        <v>0.15</v>
      </c>
    </row>
    <row r="239" spans="1:7">
      <c r="A239" s="2356" t="s">
        <v>303</v>
      </c>
      <c r="B239" s="2345" t="s">
        <v>2767</v>
      </c>
      <c r="C239" s="2346">
        <v>0.15</v>
      </c>
      <c r="D239" s="2346">
        <v>0.15</v>
      </c>
      <c r="E239" s="2346">
        <v>0.15</v>
      </c>
      <c r="F239" s="2346">
        <v>0.15</v>
      </c>
      <c r="G239" s="2347">
        <v>0.15</v>
      </c>
    </row>
    <row r="240" spans="1:7">
      <c r="A240" s="2356" t="s">
        <v>303</v>
      </c>
      <c r="B240" s="2345" t="s">
        <v>2772</v>
      </c>
      <c r="C240" s="2346">
        <v>0.15</v>
      </c>
      <c r="D240" s="2346">
        <v>0.15</v>
      </c>
      <c r="E240" s="2346">
        <v>0.15</v>
      </c>
      <c r="F240" s="2346">
        <v>0.15</v>
      </c>
      <c r="G240" s="2347">
        <v>0.15</v>
      </c>
    </row>
    <row r="241" spans="1:7">
      <c r="A241" s="2356" t="s">
        <v>303</v>
      </c>
      <c r="B241" s="2345" t="s">
        <v>2776</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2782</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2790</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2795</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2803</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2816</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2825</v>
      </c>
      <c r="C258" s="2346">
        <v>0.14299999999999999</v>
      </c>
      <c r="D258" s="2346">
        <v>0.14299999999999999</v>
      </c>
      <c r="E258" s="2346">
        <v>0.15</v>
      </c>
      <c r="F258" s="2346">
        <v>0.14799999999999999</v>
      </c>
      <c r="G258" s="2347">
        <v>0.14599999999999999</v>
      </c>
    </row>
    <row r="259" spans="1:7">
      <c r="A259" s="2356" t="s">
        <v>303</v>
      </c>
      <c r="B259" s="2345" t="s">
        <v>2829</v>
      </c>
      <c r="C259" s="2346">
        <v>0.14399999999999999</v>
      </c>
      <c r="D259" s="2346">
        <v>0.14399999999999999</v>
      </c>
      <c r="E259" s="2346">
        <v>0.14899999999999999</v>
      </c>
      <c r="F259" s="2346">
        <v>0.14699999999999999</v>
      </c>
      <c r="G259" s="2347">
        <v>0.14599999999999999</v>
      </c>
    </row>
    <row r="260" spans="1:7">
      <c r="A260" s="2356" t="s">
        <v>303</v>
      </c>
      <c r="B260" s="2345" t="s">
        <v>2836</v>
      </c>
      <c r="C260" s="2346">
        <v>0.109</v>
      </c>
      <c r="D260" s="2346">
        <v>0.111</v>
      </c>
      <c r="E260" s="2346">
        <v>0.13100000000000001</v>
      </c>
      <c r="F260" s="2346">
        <v>0.126</v>
      </c>
      <c r="G260" s="2347">
        <v>0.11899999999999999</v>
      </c>
    </row>
    <row r="261" spans="1:7">
      <c r="A261" s="2356" t="s">
        <v>303</v>
      </c>
      <c r="B261" s="2345" t="s">
        <v>2843</v>
      </c>
      <c r="C261" s="2346">
        <v>0.1</v>
      </c>
      <c r="D261" s="2346">
        <v>0.1</v>
      </c>
      <c r="E261" s="2346">
        <v>0.11799999999999999</v>
      </c>
      <c r="F261" s="2346">
        <v>0.108</v>
      </c>
      <c r="G261" s="2347">
        <v>0.107</v>
      </c>
    </row>
    <row r="262" spans="1:7">
      <c r="A262" s="2356" t="s">
        <v>303</v>
      </c>
      <c r="B262" s="2345" t="s">
        <v>2849</v>
      </c>
      <c r="C262" s="2346">
        <v>0.1</v>
      </c>
      <c r="D262" s="2346">
        <v>0.1</v>
      </c>
      <c r="E262" s="2346">
        <v>0.1</v>
      </c>
      <c r="F262" s="2346">
        <v>0.14099999999999999</v>
      </c>
      <c r="G262" s="2347">
        <v>0.1</v>
      </c>
    </row>
    <row r="263" spans="1:7">
      <c r="A263" s="2356" t="s">
        <v>303</v>
      </c>
      <c r="B263" s="2345" t="s">
        <v>2856</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2867</v>
      </c>
      <c r="C265" s="2357"/>
      <c r="D265" s="2357"/>
      <c r="E265" s="2357"/>
      <c r="F265" s="2346">
        <v>0.05</v>
      </c>
      <c r="G265" s="2363"/>
    </row>
    <row r="266" spans="1:7">
      <c r="A266" s="2356" t="s">
        <v>303</v>
      </c>
      <c r="B266" s="2345" t="s">
        <v>2871</v>
      </c>
      <c r="C266" s="2357"/>
      <c r="D266" s="2357"/>
      <c r="E266" s="2357"/>
      <c r="F266" s="2346">
        <v>0.05</v>
      </c>
      <c r="G266" s="2363"/>
    </row>
    <row r="267" spans="1:7">
      <c r="A267" s="2356" t="s">
        <v>303</v>
      </c>
      <c r="B267" s="2345" t="s">
        <v>2876</v>
      </c>
      <c r="C267" s="2357"/>
      <c r="D267" s="2357"/>
      <c r="E267" s="2357"/>
      <c r="F267" s="2346">
        <v>0.05</v>
      </c>
      <c r="G267" s="2363"/>
    </row>
    <row r="268" spans="1:7">
      <c r="A268" s="2356" t="s">
        <v>303</v>
      </c>
      <c r="B268" s="2345" t="s">
        <v>2881</v>
      </c>
      <c r="C268" s="2357"/>
      <c r="D268" s="2357"/>
      <c r="E268" s="2357"/>
      <c r="F268" s="2346">
        <v>0.05</v>
      </c>
      <c r="G268" s="2363"/>
    </row>
    <row r="269" spans="1:7">
      <c r="A269" s="2356" t="s">
        <v>303</v>
      </c>
      <c r="B269" s="2345" t="s">
        <v>2886</v>
      </c>
      <c r="C269" s="2357"/>
      <c r="D269" s="2357"/>
      <c r="E269" s="2357"/>
      <c r="F269" s="2346">
        <v>0.05</v>
      </c>
      <c r="G269" s="2363"/>
    </row>
    <row r="270" spans="1:7">
      <c r="A270" s="2356" t="s">
        <v>303</v>
      </c>
      <c r="B270" s="2345" t="s">
        <v>2891</v>
      </c>
      <c r="C270" s="2357"/>
      <c r="D270" s="2357"/>
      <c r="E270" s="2357"/>
      <c r="F270" s="2346">
        <v>0.05</v>
      </c>
      <c r="G270" s="2363"/>
    </row>
    <row r="271" spans="1:7">
      <c r="A271" s="2356" t="s">
        <v>303</v>
      </c>
      <c r="B271" s="2345" t="s">
        <v>3095</v>
      </c>
      <c r="C271" s="2357"/>
      <c r="D271" s="2357"/>
      <c r="E271" s="2357"/>
      <c r="F271" s="2346">
        <v>0.05</v>
      </c>
      <c r="G271" s="2363"/>
    </row>
    <row r="272" spans="1:7">
      <c r="A272" s="2356" t="s">
        <v>303</v>
      </c>
      <c r="B272" s="2345" t="s">
        <v>3096</v>
      </c>
      <c r="C272" s="2357"/>
      <c r="D272" s="2357"/>
      <c r="E272" s="2357"/>
      <c r="F272" s="2346">
        <v>0.05</v>
      </c>
      <c r="G272" s="2363"/>
    </row>
    <row r="273" spans="1:7">
      <c r="A273" s="2356" t="s">
        <v>303</v>
      </c>
      <c r="B273" s="2345" t="s">
        <v>3097</v>
      </c>
      <c r="C273" s="2357"/>
      <c r="D273" s="2357"/>
      <c r="E273" s="2357"/>
      <c r="F273" s="2346">
        <v>0.05</v>
      </c>
      <c r="G273" s="2363"/>
    </row>
    <row r="274" spans="1:7">
      <c r="A274" s="2356" t="s">
        <v>303</v>
      </c>
      <c r="B274" s="2345" t="s">
        <v>3098</v>
      </c>
      <c r="C274" s="2357"/>
      <c r="D274" s="2357"/>
      <c r="E274" s="2357"/>
      <c r="F274" s="2346">
        <v>0.05</v>
      </c>
      <c r="G274" s="2363"/>
    </row>
    <row r="275" spans="1:7">
      <c r="A275" s="2356" t="s">
        <v>303</v>
      </c>
      <c r="B275" s="2345" t="s">
        <v>3099</v>
      </c>
      <c r="C275" s="2357"/>
      <c r="D275" s="2357"/>
      <c r="E275" s="2357"/>
      <c r="F275" s="2346">
        <v>0.05</v>
      </c>
      <c r="G275" s="2363"/>
    </row>
    <row r="276" spans="1:7" ht="14.25" thickBot="1">
      <c r="A276" s="2359" t="s">
        <v>303</v>
      </c>
      <c r="B276" s="2349" t="s">
        <v>3100</v>
      </c>
      <c r="C276" s="2351"/>
      <c r="D276" s="2351"/>
      <c r="E276" s="2351"/>
      <c r="F276" s="2350">
        <v>0.05</v>
      </c>
      <c r="G276" s="2364"/>
    </row>
    <row r="277" spans="1:7">
      <c r="A277" s="2355" t="s">
        <v>304</v>
      </c>
      <c r="B277" s="2341" t="s">
        <v>2744</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2756</v>
      </c>
      <c r="C279" s="2346">
        <v>0.15</v>
      </c>
      <c r="D279" s="2346">
        <v>0.15</v>
      </c>
      <c r="E279" s="2346">
        <v>0.15</v>
      </c>
      <c r="F279" s="2346">
        <v>0.15</v>
      </c>
      <c r="G279" s="2347">
        <v>0.15</v>
      </c>
    </row>
    <row r="280" spans="1:7">
      <c r="A280" s="2356" t="s">
        <v>304</v>
      </c>
      <c r="B280" s="2345" t="s">
        <v>2760</v>
      </c>
      <c r="C280" s="2346">
        <v>0.15</v>
      </c>
      <c r="D280" s="2346">
        <v>0.15</v>
      </c>
      <c r="E280" s="2346">
        <v>0.15</v>
      </c>
      <c r="F280" s="2346">
        <v>0.15</v>
      </c>
      <c r="G280" s="2347">
        <v>0.15</v>
      </c>
    </row>
    <row r="281" spans="1:7">
      <c r="A281" s="2356" t="s">
        <v>304</v>
      </c>
      <c r="B281" s="2345" t="s">
        <v>2764</v>
      </c>
      <c r="C281" s="2346">
        <v>0.15</v>
      </c>
      <c r="D281" s="2346">
        <v>0.15</v>
      </c>
      <c r="E281" s="2346">
        <v>0.15</v>
      </c>
      <c r="F281" s="2346">
        <v>0.15</v>
      </c>
      <c r="G281" s="2347">
        <v>0.15</v>
      </c>
    </row>
    <row r="282" spans="1:7">
      <c r="A282" s="2356" t="s">
        <v>304</v>
      </c>
      <c r="B282" s="2345" t="s">
        <v>2768</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2783</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2788</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2798</v>
      </c>
      <c r="C293" s="2346">
        <v>0.15</v>
      </c>
      <c r="D293" s="2346">
        <v>0.15</v>
      </c>
      <c r="E293" s="2346">
        <v>0.15</v>
      </c>
      <c r="F293" s="2346">
        <v>0.14499999999999999</v>
      </c>
      <c r="G293" s="2347">
        <v>0.15</v>
      </c>
    </row>
    <row r="294" spans="1:7">
      <c r="A294" s="2356" t="s">
        <v>304</v>
      </c>
      <c r="B294" s="2345" t="s">
        <v>2800</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2817</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2830</v>
      </c>
      <c r="C302" s="2346">
        <v>0.15</v>
      </c>
      <c r="D302" s="2346">
        <v>0.15</v>
      </c>
      <c r="E302" s="2346">
        <v>0.15</v>
      </c>
      <c r="F302" s="2346">
        <v>0.14699999999999999</v>
      </c>
      <c r="G302" s="2347">
        <v>0.15</v>
      </c>
    </row>
    <row r="303" spans="1:7">
      <c r="A303" s="2356" t="s">
        <v>304</v>
      </c>
      <c r="B303" s="2345" t="s">
        <v>2837</v>
      </c>
      <c r="C303" s="2346">
        <v>0.15</v>
      </c>
      <c r="D303" s="2346">
        <v>0.15</v>
      </c>
      <c r="E303" s="2346">
        <v>0.15</v>
      </c>
      <c r="F303" s="2346">
        <v>0.14199999999999999</v>
      </c>
      <c r="G303" s="2347">
        <v>0.15</v>
      </c>
    </row>
    <row r="304" spans="1:7">
      <c r="A304" s="2356" t="s">
        <v>304</v>
      </c>
      <c r="B304" s="2345" t="s">
        <v>2844</v>
      </c>
      <c r="C304" s="2346">
        <v>0.15</v>
      </c>
      <c r="D304" s="2346">
        <v>0.15</v>
      </c>
      <c r="E304" s="2346">
        <v>0.15</v>
      </c>
      <c r="F304" s="2346">
        <v>0.14499999999999999</v>
      </c>
      <c r="G304" s="2347">
        <v>0.15</v>
      </c>
    </row>
    <row r="305" spans="1:7">
      <c r="A305" s="2356" t="s">
        <v>304</v>
      </c>
      <c r="B305" s="2345" t="s">
        <v>2850</v>
      </c>
      <c r="C305" s="2346">
        <v>0.15</v>
      </c>
      <c r="D305" s="2346">
        <v>0.15</v>
      </c>
      <c r="E305" s="2346">
        <v>0.15</v>
      </c>
      <c r="F305" s="2346">
        <v>0.111</v>
      </c>
      <c r="G305" s="2347">
        <v>0.15</v>
      </c>
    </row>
    <row r="306" spans="1:7">
      <c r="A306" s="2356" t="s">
        <v>304</v>
      </c>
      <c r="B306" s="2345" t="s">
        <v>2857</v>
      </c>
      <c r="C306" s="2346">
        <v>0.15</v>
      </c>
      <c r="D306" s="2346">
        <v>0.15</v>
      </c>
      <c r="E306" s="2346">
        <v>0.15</v>
      </c>
      <c r="F306" s="2346">
        <v>0.126</v>
      </c>
      <c r="G306" s="2347">
        <v>0.15</v>
      </c>
    </row>
    <row r="307" spans="1:7">
      <c r="A307" s="2356" t="s">
        <v>304</v>
      </c>
      <c r="B307" s="2345" t="s">
        <v>2862</v>
      </c>
      <c r="C307" s="2346">
        <v>0.15</v>
      </c>
      <c r="D307" s="2346">
        <v>0.15</v>
      </c>
      <c r="E307" s="2346">
        <v>0.15</v>
      </c>
      <c r="F307" s="2346">
        <v>0.12</v>
      </c>
      <c r="G307" s="2347">
        <v>0.15</v>
      </c>
    </row>
    <row r="308" spans="1:7">
      <c r="A308" s="2356" t="s">
        <v>304</v>
      </c>
      <c r="B308" s="2345" t="s">
        <v>2868</v>
      </c>
      <c r="C308" s="2346">
        <v>0.15</v>
      </c>
      <c r="D308" s="2346">
        <v>0.15</v>
      </c>
      <c r="E308" s="2346">
        <v>0.15</v>
      </c>
      <c r="F308" s="2346">
        <v>0.13</v>
      </c>
      <c r="G308" s="2347">
        <v>0.15</v>
      </c>
    </row>
    <row r="309" spans="1:7">
      <c r="A309" s="2356" t="s">
        <v>304</v>
      </c>
      <c r="B309" s="2345" t="s">
        <v>2872</v>
      </c>
      <c r="C309" s="2346">
        <v>0.15</v>
      </c>
      <c r="D309" s="2346">
        <v>0.15</v>
      </c>
      <c r="E309" s="2346">
        <v>0.15</v>
      </c>
      <c r="F309" s="2346">
        <v>0.14099999999999999</v>
      </c>
      <c r="G309" s="2347">
        <v>0.15</v>
      </c>
    </row>
    <row r="310" spans="1:7">
      <c r="A310" s="2356" t="s">
        <v>304</v>
      </c>
      <c r="B310" s="2345" t="s">
        <v>2877</v>
      </c>
      <c r="C310" s="2346">
        <v>0.15</v>
      </c>
      <c r="D310" s="2346">
        <v>0.15</v>
      </c>
      <c r="E310" s="2346">
        <v>0.15</v>
      </c>
      <c r="F310" s="2346">
        <v>0.15</v>
      </c>
      <c r="G310" s="2347">
        <v>0.15</v>
      </c>
    </row>
    <row r="311" spans="1:7">
      <c r="A311" s="2356" t="s">
        <v>304</v>
      </c>
      <c r="B311" s="2345" t="s">
        <v>2882</v>
      </c>
      <c r="C311" s="2346">
        <v>0.13200000000000001</v>
      </c>
      <c r="D311" s="2346">
        <v>0.13300000000000001</v>
      </c>
      <c r="E311" s="2346">
        <v>0.14499999999999999</v>
      </c>
      <c r="F311" s="2346">
        <v>0.14199999999999999</v>
      </c>
      <c r="G311" s="2347">
        <v>0.14000000000000001</v>
      </c>
    </row>
    <row r="312" spans="1:7">
      <c r="A312" s="2356" t="s">
        <v>304</v>
      </c>
      <c r="B312" s="2345" t="s">
        <v>2887</v>
      </c>
      <c r="C312" s="2346">
        <v>0.13800000000000001</v>
      </c>
      <c r="D312" s="2346">
        <v>0.14000000000000001</v>
      </c>
      <c r="E312" s="2346">
        <v>0.14599999999999999</v>
      </c>
      <c r="F312" s="2346">
        <v>0.14899999999999999</v>
      </c>
      <c r="G312" s="2347">
        <v>0.14199999999999999</v>
      </c>
    </row>
    <row r="313" spans="1:7">
      <c r="A313" s="2356" t="s">
        <v>304</v>
      </c>
      <c r="B313" s="2345" t="s">
        <v>2892</v>
      </c>
      <c r="C313" s="2346">
        <v>0.125</v>
      </c>
      <c r="D313" s="2346">
        <v>0.127</v>
      </c>
      <c r="E313" s="2346">
        <v>0.14399999999999999</v>
      </c>
      <c r="F313" s="2346">
        <v>0.115</v>
      </c>
      <c r="G313" s="2347">
        <v>0.13600000000000001</v>
      </c>
    </row>
    <row r="314" spans="1:7">
      <c r="A314" s="2356" t="s">
        <v>304</v>
      </c>
      <c r="B314" s="2345" t="s">
        <v>3101</v>
      </c>
      <c r="C314" s="2362"/>
      <c r="D314" s="2362"/>
      <c r="E314" s="2362"/>
      <c r="F314" s="2346">
        <v>0.05</v>
      </c>
      <c r="G314" s="2363"/>
    </row>
    <row r="315" spans="1:7">
      <c r="A315" s="2356" t="s">
        <v>304</v>
      </c>
      <c r="B315" s="2345" t="s">
        <v>3102</v>
      </c>
      <c r="C315" s="2362"/>
      <c r="D315" s="2362"/>
      <c r="E315" s="2362"/>
      <c r="F315" s="2346">
        <v>0.05</v>
      </c>
      <c r="G315" s="2363"/>
    </row>
    <row r="316" spans="1:7">
      <c r="A316" s="2356" t="s">
        <v>304</v>
      </c>
      <c r="B316" s="2345" t="s">
        <v>3103</v>
      </c>
      <c r="C316" s="2357"/>
      <c r="D316" s="2357"/>
      <c r="E316" s="2357"/>
      <c r="F316" s="2346">
        <v>0.05</v>
      </c>
      <c r="G316" s="2363"/>
    </row>
    <row r="317" spans="1:7">
      <c r="A317" s="2356" t="s">
        <v>304</v>
      </c>
      <c r="B317" s="2345" t="s">
        <v>3104</v>
      </c>
      <c r="C317" s="2357"/>
      <c r="D317" s="2357"/>
      <c r="E317" s="2357"/>
      <c r="F317" s="2346">
        <v>0.05</v>
      </c>
      <c r="G317" s="2363"/>
    </row>
    <row r="318" spans="1:7">
      <c r="A318" s="2356" t="s">
        <v>304</v>
      </c>
      <c r="B318" s="2345" t="s">
        <v>3105</v>
      </c>
      <c r="C318" s="2357"/>
      <c r="D318" s="2357"/>
      <c r="E318" s="2357"/>
      <c r="F318" s="2346">
        <v>0.05</v>
      </c>
      <c r="G318" s="2363"/>
    </row>
    <row r="319" spans="1:7">
      <c r="A319" s="2356" t="s">
        <v>304</v>
      </c>
      <c r="B319" s="2345" t="s">
        <v>3106</v>
      </c>
      <c r="C319" s="2357"/>
      <c r="D319" s="2357"/>
      <c r="E319" s="2357"/>
      <c r="F319" s="2346">
        <v>0.05</v>
      </c>
      <c r="G319" s="2363"/>
    </row>
    <row r="320" spans="1:7">
      <c r="A320" s="2356" t="s">
        <v>304</v>
      </c>
      <c r="B320" s="2345" t="s">
        <v>3107</v>
      </c>
      <c r="C320" s="2357"/>
      <c r="D320" s="2357"/>
      <c r="E320" s="2357"/>
      <c r="F320" s="2346">
        <v>0.05</v>
      </c>
      <c r="G320" s="2363"/>
    </row>
    <row r="321" spans="1:7">
      <c r="A321" s="2356" t="s">
        <v>304</v>
      </c>
      <c r="B321" s="2345" t="s">
        <v>3108</v>
      </c>
      <c r="C321" s="2357"/>
      <c r="D321" s="2357"/>
      <c r="E321" s="2357"/>
      <c r="F321" s="2346">
        <v>0.05</v>
      </c>
      <c r="G321" s="2363"/>
    </row>
    <row r="322" spans="1:7">
      <c r="A322" s="2356" t="s">
        <v>304</v>
      </c>
      <c r="B322" s="2345" t="s">
        <v>3109</v>
      </c>
      <c r="C322" s="2357"/>
      <c r="D322" s="2357"/>
      <c r="E322" s="2357"/>
      <c r="F322" s="2346">
        <v>0.05</v>
      </c>
      <c r="G322" s="2363"/>
    </row>
    <row r="323" spans="1:7">
      <c r="A323" s="2356" t="s">
        <v>304</v>
      </c>
      <c r="B323" s="2345" t="s">
        <v>3110</v>
      </c>
      <c r="C323" s="2357"/>
      <c r="D323" s="2357"/>
      <c r="E323" s="2357"/>
      <c r="F323" s="2346">
        <v>0.05</v>
      </c>
      <c r="G323" s="2363"/>
    </row>
    <row r="324" spans="1:7">
      <c r="A324" s="2356" t="s">
        <v>304</v>
      </c>
      <c r="B324" s="2345" t="s">
        <v>3111</v>
      </c>
      <c r="C324" s="2357"/>
      <c r="D324" s="2357"/>
      <c r="E324" s="2357"/>
      <c r="F324" s="2346">
        <v>0.05</v>
      </c>
      <c r="G324" s="2363"/>
    </row>
    <row r="325" spans="1:7">
      <c r="A325" s="2356" t="s">
        <v>304</v>
      </c>
      <c r="B325" s="2345" t="s">
        <v>3112</v>
      </c>
      <c r="C325" s="2357"/>
      <c r="D325" s="2357"/>
      <c r="E325" s="2357"/>
      <c r="F325" s="2346">
        <v>0.05</v>
      </c>
      <c r="G325" s="2363"/>
    </row>
    <row r="326" spans="1:7" ht="14.25" thickBot="1">
      <c r="A326" s="2359" t="s">
        <v>304</v>
      </c>
      <c r="B326" s="2349" t="s">
        <v>3113</v>
      </c>
      <c r="C326" s="2351"/>
      <c r="D326" s="2351"/>
      <c r="E326" s="2351"/>
      <c r="F326" s="2350">
        <v>0.05</v>
      </c>
      <c r="G326" s="2364"/>
    </row>
    <row r="327" spans="1:7">
      <c r="A327" s="2355" t="s">
        <v>305</v>
      </c>
      <c r="B327" s="2341" t="s">
        <v>2745</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2757</v>
      </c>
      <c r="C329" s="2346">
        <v>0.15</v>
      </c>
      <c r="D329" s="2346">
        <v>0.15</v>
      </c>
      <c r="E329" s="2346">
        <v>0.15</v>
      </c>
      <c r="F329" s="2346">
        <v>0.15</v>
      </c>
      <c r="G329" s="2347">
        <v>0.15</v>
      </c>
    </row>
    <row r="330" spans="1:7">
      <c r="A330" s="2356" t="s">
        <v>305</v>
      </c>
      <c r="B330" s="2345" t="s">
        <v>2761</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2769</v>
      </c>
      <c r="C332" s="2346">
        <v>0.15</v>
      </c>
      <c r="D332" s="2346">
        <v>0.15</v>
      </c>
      <c r="E332" s="2346">
        <v>0.15</v>
      </c>
      <c r="F332" s="2346">
        <v>0.15</v>
      </c>
      <c r="G332" s="2347">
        <v>0.15</v>
      </c>
    </row>
    <row r="333" spans="1:7">
      <c r="A333" s="2356" t="s">
        <v>305</v>
      </c>
      <c r="B333" s="2345" t="s">
        <v>2773</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2779</v>
      </c>
      <c r="C336" s="2346">
        <v>0.15</v>
      </c>
      <c r="D336" s="2346">
        <v>0.15</v>
      </c>
      <c r="E336" s="2346">
        <v>0.15</v>
      </c>
      <c r="F336" s="2346">
        <v>0.14199999999999999</v>
      </c>
      <c r="G336" s="2347">
        <v>0.15</v>
      </c>
    </row>
    <row r="337" spans="1:7">
      <c r="A337" s="2356" t="s">
        <v>305</v>
      </c>
      <c r="B337" s="2345" t="s">
        <v>2784</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2791</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2796</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2804</v>
      </c>
      <c r="C345" s="2346">
        <v>0.15</v>
      </c>
      <c r="D345" s="2346">
        <v>0.15</v>
      </c>
      <c r="E345" s="2346">
        <v>0.15</v>
      </c>
      <c r="F345" s="2346">
        <v>0.13800000000000001</v>
      </c>
      <c r="G345" s="2347">
        <v>0.15</v>
      </c>
    </row>
    <row r="346" spans="1:7">
      <c r="A346" s="2356" t="s">
        <v>305</v>
      </c>
      <c r="B346" s="2345" t="s">
        <v>2806</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2813</v>
      </c>
      <c r="C348" s="2346">
        <v>0.15</v>
      </c>
      <c r="D348" s="2346">
        <v>0.15</v>
      </c>
      <c r="E348" s="2346">
        <v>0.15</v>
      </c>
      <c r="F348" s="2346">
        <v>0.14399999999999999</v>
      </c>
      <c r="G348" s="2347">
        <v>0.15</v>
      </c>
    </row>
    <row r="349" spans="1:7">
      <c r="A349" s="2356" t="s">
        <v>305</v>
      </c>
      <c r="B349" s="2345" t="s">
        <v>2818</v>
      </c>
      <c r="C349" s="2346">
        <v>0.15</v>
      </c>
      <c r="D349" s="2346">
        <v>0.15</v>
      </c>
      <c r="E349" s="2346">
        <v>0.15</v>
      </c>
      <c r="F349" s="2346">
        <v>0.15</v>
      </c>
      <c r="G349" s="2347">
        <v>0.15</v>
      </c>
    </row>
    <row r="350" spans="1:7">
      <c r="A350" s="2356" t="s">
        <v>305</v>
      </c>
      <c r="B350" s="2345" t="s">
        <v>2821</v>
      </c>
      <c r="C350" s="2346">
        <v>0.15</v>
      </c>
      <c r="D350" s="2346">
        <v>0.15</v>
      </c>
      <c r="E350" s="2346">
        <v>0.15</v>
      </c>
      <c r="F350" s="2346">
        <v>0.14699999999999999</v>
      </c>
      <c r="G350" s="2347">
        <v>0.15</v>
      </c>
    </row>
    <row r="351" spans="1:7">
      <c r="A351" s="2356" t="s">
        <v>305</v>
      </c>
      <c r="B351" s="2345" t="s">
        <v>2826</v>
      </c>
      <c r="C351" s="2346">
        <v>0.15</v>
      </c>
      <c r="D351" s="2346">
        <v>0.15</v>
      </c>
      <c r="E351" s="2346">
        <v>0.15</v>
      </c>
      <c r="F351" s="2346">
        <v>0.13</v>
      </c>
      <c r="G351" s="2347">
        <v>0.15</v>
      </c>
    </row>
    <row r="352" spans="1:7">
      <c r="A352" s="2356" t="s">
        <v>305</v>
      </c>
      <c r="B352" s="2345" t="s">
        <v>2831</v>
      </c>
      <c r="C352" s="2346">
        <v>0.15</v>
      </c>
      <c r="D352" s="2346">
        <v>0.15</v>
      </c>
      <c r="E352" s="2346">
        <v>0.15</v>
      </c>
      <c r="F352" s="2346">
        <v>0.14599999999999999</v>
      </c>
      <c r="G352" s="2347">
        <v>0.15</v>
      </c>
    </row>
    <row r="353" spans="1:7">
      <c r="A353" s="2356" t="s">
        <v>305</v>
      </c>
      <c r="B353" s="2345" t="s">
        <v>2838</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2851</v>
      </c>
      <c r="C355" s="2346">
        <v>0.15</v>
      </c>
      <c r="D355" s="2346">
        <v>0.15</v>
      </c>
      <c r="E355" s="2346">
        <v>0.15</v>
      </c>
      <c r="F355" s="2346">
        <v>0.15</v>
      </c>
      <c r="G355" s="2347">
        <v>0.15</v>
      </c>
    </row>
    <row r="356" spans="1:7">
      <c r="A356" s="2356" t="s">
        <v>305</v>
      </c>
      <c r="B356" s="2345" t="s">
        <v>2858</v>
      </c>
      <c r="C356" s="2346">
        <v>0.15</v>
      </c>
      <c r="D356" s="2346">
        <v>0.15</v>
      </c>
      <c r="E356" s="2346">
        <v>0.15</v>
      </c>
      <c r="F356" s="2346">
        <v>0.15</v>
      </c>
      <c r="G356" s="2347">
        <v>0.15</v>
      </c>
    </row>
    <row r="357" spans="1:7" ht="14.25" thickBot="1">
      <c r="A357" s="2359" t="s">
        <v>305</v>
      </c>
      <c r="B357" s="2349" t="s">
        <v>2863</v>
      </c>
      <c r="C357" s="2350">
        <v>0.126</v>
      </c>
      <c r="D357" s="2350">
        <v>0.127</v>
      </c>
      <c r="E357" s="2350">
        <v>0.14299999999999999</v>
      </c>
      <c r="F357" s="2350">
        <v>0.125</v>
      </c>
      <c r="G357" s="2352">
        <v>0.129</v>
      </c>
    </row>
    <row r="358" spans="1:7">
      <c r="A358" s="2355" t="s">
        <v>2732</v>
      </c>
      <c r="B358" s="2341" t="s">
        <v>2746</v>
      </c>
      <c r="C358" s="2342">
        <v>0.15</v>
      </c>
      <c r="D358" s="2342">
        <v>0.15</v>
      </c>
      <c r="E358" s="2342">
        <v>0.15</v>
      </c>
      <c r="F358" s="2342">
        <v>0.15</v>
      </c>
      <c r="G358" s="2343">
        <v>0.15</v>
      </c>
    </row>
    <row r="359" spans="1:7">
      <c r="A359" s="2356" t="s">
        <v>2732</v>
      </c>
      <c r="B359" s="2345" t="s">
        <v>2752</v>
      </c>
      <c r="C359" s="2346">
        <v>0.1</v>
      </c>
      <c r="D359" s="2346">
        <v>0.1</v>
      </c>
      <c r="E359" s="2346">
        <v>0.1</v>
      </c>
      <c r="F359" s="2346">
        <v>0.1</v>
      </c>
      <c r="G359" s="2347">
        <v>0.1</v>
      </c>
    </row>
    <row r="360" spans="1:7">
      <c r="A360" s="2356" t="s">
        <v>2732</v>
      </c>
      <c r="B360" s="2345" t="s">
        <v>2758</v>
      </c>
      <c r="C360" s="2346">
        <v>0.15</v>
      </c>
      <c r="D360" s="2346">
        <v>0.15</v>
      </c>
      <c r="E360" s="2346">
        <v>0.15</v>
      </c>
      <c r="F360" s="2346">
        <v>0.14899999999999999</v>
      </c>
      <c r="G360" s="2347">
        <v>0.15</v>
      </c>
    </row>
    <row r="361" spans="1:7">
      <c r="A361" s="2356" t="s">
        <v>2732</v>
      </c>
      <c r="B361" s="2345" t="s">
        <v>151</v>
      </c>
      <c r="C361" s="2346">
        <v>0.15</v>
      </c>
      <c r="D361" s="2346">
        <v>0.15</v>
      </c>
      <c r="E361" s="2346">
        <v>0.15</v>
      </c>
      <c r="F361" s="2346">
        <v>0.115</v>
      </c>
      <c r="G361" s="2347">
        <v>0.15</v>
      </c>
    </row>
    <row r="362" spans="1:7">
      <c r="A362" s="2356" t="s">
        <v>2732</v>
      </c>
      <c r="B362" s="2345" t="s">
        <v>2765</v>
      </c>
      <c r="C362" s="2346">
        <v>0.15</v>
      </c>
      <c r="D362" s="2346">
        <v>0.15</v>
      </c>
      <c r="E362" s="2346">
        <v>0.15</v>
      </c>
      <c r="F362" s="2346">
        <v>0.106</v>
      </c>
      <c r="G362" s="2347">
        <v>0.15</v>
      </c>
    </row>
    <row r="363" spans="1:7">
      <c r="A363" s="2356" t="s">
        <v>2732</v>
      </c>
      <c r="B363" s="2345" t="s">
        <v>2770</v>
      </c>
      <c r="C363" s="2346">
        <v>0.15</v>
      </c>
      <c r="D363" s="2346">
        <v>0.15</v>
      </c>
      <c r="E363" s="2346">
        <v>0.15</v>
      </c>
      <c r="F363" s="2346">
        <v>0.14699999999999999</v>
      </c>
      <c r="G363" s="2347">
        <v>0.15</v>
      </c>
    </row>
    <row r="364" spans="1:7">
      <c r="A364" s="2356" t="s">
        <v>2732</v>
      </c>
      <c r="B364" s="2345" t="s">
        <v>2774</v>
      </c>
      <c r="C364" s="2346">
        <v>0.15</v>
      </c>
      <c r="D364" s="2346">
        <v>0.15</v>
      </c>
      <c r="E364" s="2346">
        <v>0.15</v>
      </c>
      <c r="F364" s="2346">
        <v>0.14799999999999999</v>
      </c>
      <c r="G364" s="2347">
        <v>0.15</v>
      </c>
    </row>
    <row r="365" spans="1:7">
      <c r="A365" s="2356" t="s">
        <v>2732</v>
      </c>
      <c r="B365" s="2345" t="s">
        <v>198</v>
      </c>
      <c r="C365" s="2346">
        <v>0.15</v>
      </c>
      <c r="D365" s="2346">
        <v>0.15</v>
      </c>
      <c r="E365" s="2346">
        <v>0.15</v>
      </c>
      <c r="F365" s="2346">
        <v>0.15</v>
      </c>
      <c r="G365" s="2347">
        <v>0.15</v>
      </c>
    </row>
    <row r="366" spans="1:7">
      <c r="A366" s="2356" t="s">
        <v>2732</v>
      </c>
      <c r="B366" s="2345" t="s">
        <v>2777</v>
      </c>
      <c r="C366" s="2346">
        <v>0.15</v>
      </c>
      <c r="D366" s="2346">
        <v>0.15</v>
      </c>
      <c r="E366" s="2346">
        <v>0.15</v>
      </c>
      <c r="F366" s="2346">
        <v>0.15</v>
      </c>
      <c r="G366" s="2347">
        <v>0.15</v>
      </c>
    </row>
    <row r="367" spans="1:7">
      <c r="A367" s="2356" t="s">
        <v>2732</v>
      </c>
      <c r="B367" s="2345" t="s">
        <v>2780</v>
      </c>
      <c r="C367" s="2346">
        <v>0.15</v>
      </c>
      <c r="D367" s="2346">
        <v>0.15</v>
      </c>
      <c r="E367" s="2346">
        <v>0.15</v>
      </c>
      <c r="F367" s="2346">
        <v>0.14699999999999999</v>
      </c>
      <c r="G367" s="2347">
        <v>0.15</v>
      </c>
    </row>
    <row r="368" spans="1:7">
      <c r="A368" s="2356" t="s">
        <v>2732</v>
      </c>
      <c r="B368" s="2345" t="s">
        <v>2785</v>
      </c>
      <c r="C368" s="2346">
        <v>0.15</v>
      </c>
      <c r="D368" s="2346">
        <v>0.15</v>
      </c>
      <c r="E368" s="2346">
        <v>0.15</v>
      </c>
      <c r="F368" s="2346">
        <v>0.13600000000000001</v>
      </c>
      <c r="G368" s="2347">
        <v>0.15</v>
      </c>
    </row>
    <row r="369" spans="1:7">
      <c r="A369" s="2356" t="s">
        <v>2732</v>
      </c>
      <c r="B369" s="2345" t="s">
        <v>212</v>
      </c>
      <c r="C369" s="2346">
        <v>0.15</v>
      </c>
      <c r="D369" s="2346">
        <v>0.15</v>
      </c>
      <c r="E369" s="2346">
        <v>0.15</v>
      </c>
      <c r="F369" s="2346">
        <v>0.14399999999999999</v>
      </c>
      <c r="G369" s="2347">
        <v>0.15</v>
      </c>
    </row>
    <row r="370" spans="1:7">
      <c r="A370" s="2356" t="s">
        <v>2732</v>
      </c>
      <c r="B370" s="2345" t="s">
        <v>219</v>
      </c>
      <c r="C370" s="2346">
        <v>0.15</v>
      </c>
      <c r="D370" s="2346">
        <v>0.15</v>
      </c>
      <c r="E370" s="2346">
        <v>0.15</v>
      </c>
      <c r="F370" s="2346">
        <v>0.14599999999999999</v>
      </c>
      <c r="G370" s="2347">
        <v>0.15</v>
      </c>
    </row>
    <row r="371" spans="1:7">
      <c r="A371" s="2356" t="s">
        <v>2732</v>
      </c>
      <c r="B371" s="2345" t="s">
        <v>227</v>
      </c>
      <c r="C371" s="2346">
        <v>0.15</v>
      </c>
      <c r="D371" s="2346">
        <v>0.15</v>
      </c>
      <c r="E371" s="2346">
        <v>0.15</v>
      </c>
      <c r="F371" s="2346">
        <v>0.12</v>
      </c>
      <c r="G371" s="2347">
        <v>0.15</v>
      </c>
    </row>
    <row r="372" spans="1:7">
      <c r="A372" s="2356" t="s">
        <v>2732</v>
      </c>
      <c r="B372" s="2345" t="s">
        <v>2793</v>
      </c>
      <c r="C372" s="2346">
        <v>0.15</v>
      </c>
      <c r="D372" s="2346">
        <v>0.15</v>
      </c>
      <c r="E372" s="2346">
        <v>0.15</v>
      </c>
      <c r="F372" s="2346">
        <v>0.14299999999999999</v>
      </c>
      <c r="G372" s="2347">
        <v>0.15</v>
      </c>
    </row>
    <row r="373" spans="1:7">
      <c r="A373" s="2356" t="s">
        <v>2732</v>
      </c>
      <c r="B373" s="2345" t="s">
        <v>256</v>
      </c>
      <c r="C373" s="2346">
        <v>0.15</v>
      </c>
      <c r="D373" s="2346">
        <v>0.15</v>
      </c>
      <c r="E373" s="2346">
        <v>0.15</v>
      </c>
      <c r="F373" s="2346">
        <v>0.14599999999999999</v>
      </c>
      <c r="G373" s="2347">
        <v>0.15</v>
      </c>
    </row>
    <row r="374" spans="1:7">
      <c r="A374" s="2356" t="s">
        <v>2732</v>
      </c>
      <c r="B374" s="2345" t="s">
        <v>264</v>
      </c>
      <c r="C374" s="2346">
        <v>0.15</v>
      </c>
      <c r="D374" s="2346">
        <v>0.15</v>
      </c>
      <c r="E374" s="2346">
        <v>0.15</v>
      </c>
      <c r="F374" s="2346">
        <v>0.14399999999999999</v>
      </c>
      <c r="G374" s="2347">
        <v>0.15</v>
      </c>
    </row>
    <row r="375" spans="1:7">
      <c r="A375" s="2356" t="s">
        <v>2732</v>
      </c>
      <c r="B375" s="2345" t="s">
        <v>2801</v>
      </c>
      <c r="C375" s="2346">
        <v>0.15</v>
      </c>
      <c r="D375" s="2346">
        <v>0.15</v>
      </c>
      <c r="E375" s="2346">
        <v>0.15</v>
      </c>
      <c r="F375" s="2346">
        <v>0.13</v>
      </c>
      <c r="G375" s="2347">
        <v>0.15</v>
      </c>
    </row>
    <row r="376" spans="1:7">
      <c r="A376" s="2356" t="s">
        <v>2732</v>
      </c>
      <c r="B376" s="2345" t="s">
        <v>275</v>
      </c>
      <c r="C376" s="2346">
        <v>0.15</v>
      </c>
      <c r="D376" s="2346">
        <v>0.15</v>
      </c>
      <c r="E376" s="2346">
        <v>0.15</v>
      </c>
      <c r="F376" s="2346">
        <v>0.14199999999999999</v>
      </c>
      <c r="G376" s="2347">
        <v>0.15</v>
      </c>
    </row>
    <row r="377" spans="1:7" ht="14.25" thickBot="1">
      <c r="A377" s="2359" t="s">
        <v>2732</v>
      </c>
      <c r="B377" s="2349" t="s">
        <v>2807</v>
      </c>
      <c r="C377" s="2350">
        <v>0.15</v>
      </c>
      <c r="D377" s="2350">
        <v>0.15</v>
      </c>
      <c r="E377" s="2350">
        <v>0.15</v>
      </c>
      <c r="F377" s="2350">
        <v>0.14000000000000001</v>
      </c>
      <c r="G377" s="2352">
        <v>0.15</v>
      </c>
    </row>
    <row r="378" spans="1:7">
      <c r="A378" s="2355" t="s">
        <v>2733</v>
      </c>
      <c r="B378" s="2341" t="s">
        <v>2747</v>
      </c>
      <c r="C378" s="2342">
        <v>0.15</v>
      </c>
      <c r="D378" s="2342">
        <v>0.15</v>
      </c>
      <c r="E378" s="2342">
        <v>0.15</v>
      </c>
      <c r="F378" s="2342">
        <v>0.107</v>
      </c>
      <c r="G378" s="2343">
        <v>0.15</v>
      </c>
    </row>
    <row r="379" spans="1:7">
      <c r="A379" s="2356" t="s">
        <v>2733</v>
      </c>
      <c r="B379" s="2345" t="s">
        <v>2753</v>
      </c>
      <c r="C379" s="2346">
        <v>0.15</v>
      </c>
      <c r="D379" s="2346">
        <v>0.15</v>
      </c>
      <c r="E379" s="2346">
        <v>0.15</v>
      </c>
      <c r="F379" s="2346">
        <v>0.115</v>
      </c>
      <c r="G379" s="2347">
        <v>0.14899999999999999</v>
      </c>
    </row>
    <row r="380" spans="1:7">
      <c r="A380" s="2356" t="s">
        <v>2733</v>
      </c>
      <c r="B380" s="2345" t="s">
        <v>2759</v>
      </c>
      <c r="C380" s="2346">
        <v>0.15</v>
      </c>
      <c r="D380" s="2346">
        <v>0.15</v>
      </c>
      <c r="E380" s="2346">
        <v>0.15</v>
      </c>
      <c r="F380" s="2346">
        <v>0.1</v>
      </c>
      <c r="G380" s="2347">
        <v>0.14799999999999999</v>
      </c>
    </row>
    <row r="381" spans="1:7">
      <c r="A381" s="2356" t="s">
        <v>2733</v>
      </c>
      <c r="B381" s="2345" t="s">
        <v>2762</v>
      </c>
      <c r="C381" s="2346">
        <v>0.15</v>
      </c>
      <c r="D381" s="2346">
        <v>0.15</v>
      </c>
      <c r="E381" s="2346">
        <v>0.15</v>
      </c>
      <c r="F381" s="2346">
        <v>0.126</v>
      </c>
      <c r="G381" s="2347">
        <v>0.15</v>
      </c>
    </row>
    <row r="382" spans="1:7">
      <c r="A382" s="2356" t="s">
        <v>2733</v>
      </c>
      <c r="B382" s="2345" t="s">
        <v>2766</v>
      </c>
      <c r="C382" s="2346">
        <v>0.15</v>
      </c>
      <c r="D382" s="2346">
        <v>0.15</v>
      </c>
      <c r="E382" s="2346">
        <v>0.15</v>
      </c>
      <c r="F382" s="2346">
        <v>0.15</v>
      </c>
      <c r="G382" s="2347">
        <v>0.15</v>
      </c>
    </row>
    <row r="383" spans="1:7">
      <c r="A383" s="2356" t="s">
        <v>2733</v>
      </c>
      <c r="B383" s="2345" t="s">
        <v>2771</v>
      </c>
      <c r="C383" s="2346">
        <v>0.15</v>
      </c>
      <c r="D383" s="2346">
        <v>0.15</v>
      </c>
      <c r="E383" s="2346">
        <v>0.15</v>
      </c>
      <c r="F383" s="2346">
        <v>0.14699999999999999</v>
      </c>
      <c r="G383" s="2347">
        <v>0.15</v>
      </c>
    </row>
    <row r="384" spans="1:7" ht="14.25" thickBot="1">
      <c r="A384" s="2366" t="s">
        <v>2733</v>
      </c>
      <c r="B384" s="2367" t="s">
        <v>2775</v>
      </c>
      <c r="C384" s="2368">
        <v>0.15</v>
      </c>
      <c r="D384" s="2368">
        <v>0.15</v>
      </c>
      <c r="E384" s="2368">
        <v>0.15</v>
      </c>
      <c r="F384" s="2368">
        <v>0.15</v>
      </c>
      <c r="G384" s="2369">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8"/>
  </cols>
  <sheetData>
    <row r="1" spans="1:6">
      <c r="A1" s="4751" t="s">
        <v>3114</v>
      </c>
      <c r="B1" s="4751"/>
      <c r="C1" s="4751"/>
      <c r="D1" s="4751"/>
      <c r="E1" s="4751"/>
      <c r="F1" s="4752"/>
    </row>
    <row r="2" spans="1:6">
      <c r="A2" s="2370" t="s">
        <v>3115</v>
      </c>
    </row>
    <row r="3" spans="1:6">
      <c r="A3" s="2370" t="s">
        <v>3116</v>
      </c>
      <c r="F3" s="2371" t="s">
        <v>3117</v>
      </c>
    </row>
    <row r="4" spans="1:6">
      <c r="A4" s="2372" t="s">
        <v>659</v>
      </c>
      <c r="B4" s="2372" t="s">
        <v>660</v>
      </c>
      <c r="C4" s="2372" t="s">
        <v>19</v>
      </c>
      <c r="D4" s="2372" t="s">
        <v>661</v>
      </c>
      <c r="E4" s="2372" t="s">
        <v>3</v>
      </c>
      <c r="F4" s="2372" t="s">
        <v>3118</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M9" sqref="M9:M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46126</v>
      </c>
      <c r="B1" s="2307" t="s">
        <v>3256</v>
      </c>
      <c r="C1" s="2308"/>
      <c r="D1" s="2308"/>
      <c r="E1" s="2308"/>
      <c r="F1" s="2308"/>
      <c r="G1" s="2308"/>
      <c r="H1" s="2308"/>
      <c r="I1" s="2308"/>
      <c r="J1" s="2308"/>
      <c r="K1" s="2282"/>
      <c r="L1" s="2308" t="s">
        <v>448</v>
      </c>
      <c r="M1" s="2308"/>
      <c r="N1" s="2308"/>
      <c r="O1" s="2308"/>
      <c r="P1" s="2308"/>
      <c r="Q1" s="2308"/>
      <c r="R1" s="2308"/>
      <c r="S1" s="2282"/>
      <c r="T1" s="4753" t="s">
        <v>450</v>
      </c>
      <c r="U1" s="4754"/>
      <c r="V1" s="4754"/>
      <c r="W1" s="4754"/>
      <c r="X1" s="4754"/>
      <c r="Y1" s="4754"/>
      <c r="Z1" s="4754"/>
      <c r="AA1" s="2282"/>
      <c r="AB1" s="4753" t="s">
        <v>451</v>
      </c>
      <c r="AC1" s="4754"/>
      <c r="AD1" s="4754"/>
      <c r="AE1" s="4754"/>
      <c r="AF1" s="4754"/>
      <c r="AG1" s="4754"/>
      <c r="AH1" s="4754"/>
    </row>
    <row r="2" spans="1:50" s="1592" customFormat="1" ht="14.25" thickBot="1">
      <c r="B2" s="2269"/>
      <c r="C2" s="2270"/>
      <c r="D2" s="1593" t="s">
        <v>2692</v>
      </c>
      <c r="E2" s="1594" t="s">
        <v>2693</v>
      </c>
      <c r="F2" s="1594" t="s">
        <v>2694</v>
      </c>
      <c r="G2" s="1594" t="s">
        <v>2695</v>
      </c>
      <c r="H2" s="1594" t="s">
        <v>2696</v>
      </c>
      <c r="I2" s="1594" t="s">
        <v>4061</v>
      </c>
      <c r="J2" s="1594" t="s">
        <v>2513</v>
      </c>
      <c r="K2" s="2271"/>
      <c r="L2" s="1593" t="s">
        <v>2692</v>
      </c>
      <c r="M2" s="1594" t="s">
        <v>2693</v>
      </c>
      <c r="N2" s="1594" t="s">
        <v>2694</v>
      </c>
      <c r="O2" s="1594" t="s">
        <v>2695</v>
      </c>
      <c r="P2" s="1594" t="s">
        <v>2697</v>
      </c>
      <c r="Q2" s="1594" t="s">
        <v>4061</v>
      </c>
      <c r="R2" s="1594" t="s">
        <v>2513</v>
      </c>
      <c r="S2" s="2271"/>
      <c r="T2" s="1593" t="s">
        <v>2692</v>
      </c>
      <c r="U2" s="1594" t="s">
        <v>2693</v>
      </c>
      <c r="V2" s="1594" t="s">
        <v>2694</v>
      </c>
      <c r="W2" s="1594" t="s">
        <v>2698</v>
      </c>
      <c r="X2" s="1594" t="s">
        <v>2699</v>
      </c>
      <c r="Y2" s="1594" t="s">
        <v>4061</v>
      </c>
      <c r="Z2" s="1594" t="s">
        <v>2513</v>
      </c>
      <c r="AA2" s="2271"/>
      <c r="AB2" s="1593" t="s">
        <v>2692</v>
      </c>
      <c r="AC2" s="1594" t="s">
        <v>2693</v>
      </c>
      <c r="AD2" s="1594" t="s">
        <v>2694</v>
      </c>
      <c r="AE2" s="1594" t="s">
        <v>2700</v>
      </c>
      <c r="AF2" s="1594" t="s">
        <v>2699</v>
      </c>
      <c r="AG2" s="1594" t="s">
        <v>4062</v>
      </c>
      <c r="AH2" s="1594" t="s">
        <v>2513</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74" customFormat="1" ht="12.75">
      <c r="A3" s="2272" t="s">
        <v>2701</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1" customFormat="1" ht="12.75">
      <c r="B4" s="1605"/>
      <c r="K4" s="2282"/>
      <c r="L4" s="2283"/>
      <c r="M4" s="2284"/>
      <c r="N4" s="2284"/>
      <c r="O4" s="2284"/>
      <c r="P4" s="2284"/>
      <c r="Q4" s="2284"/>
      <c r="R4" s="2284"/>
      <c r="S4" s="2282"/>
      <c r="T4" s="1607"/>
      <c r="U4" s="2285"/>
      <c r="V4" s="2286"/>
      <c r="W4" s="1607"/>
      <c r="X4" s="2287"/>
      <c r="Y4" s="2287"/>
      <c r="Z4" s="1607"/>
      <c r="AA4" s="2282"/>
      <c r="AB4" s="1608"/>
      <c r="AC4" s="2288"/>
      <c r="AD4" s="2289"/>
      <c r="AE4" s="1608"/>
      <c r="AF4" s="2290"/>
      <c r="AG4" s="1608"/>
      <c r="AH4" s="1608"/>
    </row>
    <row r="5" spans="1:50" s="1620" customFormat="1">
      <c r="A5" s="1616" t="s">
        <v>3631</v>
      </c>
      <c r="B5" s="2913">
        <v>2026</v>
      </c>
      <c r="C5" s="2914">
        <v>4</v>
      </c>
      <c r="D5" s="2920">
        <v>0</v>
      </c>
      <c r="E5" s="2920">
        <v>0</v>
      </c>
      <c r="F5" s="2920">
        <v>0</v>
      </c>
      <c r="G5" s="2920">
        <v>0</v>
      </c>
      <c r="H5" s="4233">
        <v>0</v>
      </c>
      <c r="I5" s="4234">
        <v>0</v>
      </c>
      <c r="J5" s="2921">
        <f t="shared" ref="J5" si="3">F5</f>
        <v>0</v>
      </c>
      <c r="K5" s="229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3630</v>
      </c>
      <c r="B6" s="2913">
        <v>2026</v>
      </c>
      <c r="C6" s="2914">
        <v>3</v>
      </c>
      <c r="D6" s="2920">
        <v>0</v>
      </c>
      <c r="E6" s="2920">
        <v>0</v>
      </c>
      <c r="F6" s="2920">
        <v>0</v>
      </c>
      <c r="G6" s="2920">
        <v>0</v>
      </c>
      <c r="H6" s="4233">
        <v>0</v>
      </c>
      <c r="I6" s="4234">
        <v>0</v>
      </c>
      <c r="J6" s="2921">
        <f t="shared" ref="J6:J9" si="11">F6</f>
        <v>0</v>
      </c>
      <c r="K6" s="2293"/>
      <c r="L6" s="1618">
        <f t="shared" si="4"/>
        <v>0</v>
      </c>
      <c r="M6" s="1608">
        <f t="shared" si="5"/>
        <v>0</v>
      </c>
      <c r="N6" s="1608">
        <f t="shared" si="6"/>
        <v>0</v>
      </c>
      <c r="O6" s="1608">
        <f t="shared" si="7"/>
        <v>0</v>
      </c>
      <c r="P6" s="1608">
        <f>H6/100</f>
        <v>0</v>
      </c>
      <c r="Q6" s="1608">
        <f>I6/100</f>
        <v>0</v>
      </c>
      <c r="R6" s="1608">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4060</v>
      </c>
      <c r="B7" s="2913">
        <v>2026</v>
      </c>
      <c r="C7" s="2914">
        <v>2</v>
      </c>
      <c r="D7" s="2920">
        <v>0</v>
      </c>
      <c r="E7" s="2920">
        <v>0</v>
      </c>
      <c r="F7" s="2920">
        <v>0</v>
      </c>
      <c r="G7" s="2920">
        <v>0</v>
      </c>
      <c r="H7" s="4233">
        <v>0</v>
      </c>
      <c r="I7" s="4234">
        <v>0</v>
      </c>
      <c r="J7" s="2921">
        <f t="shared" si="11"/>
        <v>0</v>
      </c>
      <c r="K7" s="229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3632</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6"/>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3628</v>
      </c>
      <c r="B9" s="2913">
        <v>2025</v>
      </c>
      <c r="C9" s="2914">
        <v>4</v>
      </c>
      <c r="D9" s="2920">
        <v>-0.61</v>
      </c>
      <c r="E9" s="2920">
        <v>-0.9</v>
      </c>
      <c r="F9" s="2920">
        <v>-0.47</v>
      </c>
      <c r="G9" s="2920">
        <v>0.11</v>
      </c>
      <c r="H9" s="4233">
        <v>0</v>
      </c>
      <c r="I9" s="4234">
        <v>-0.2</v>
      </c>
      <c r="J9" s="2921">
        <f t="shared" si="11"/>
        <v>-0.47</v>
      </c>
      <c r="K9" s="229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3633</v>
      </c>
      <c r="B10" s="2913">
        <v>2025</v>
      </c>
      <c r="C10" s="2914">
        <v>3</v>
      </c>
      <c r="D10" s="2920">
        <v>-0.45</v>
      </c>
      <c r="E10" s="2920">
        <v>-0.22</v>
      </c>
      <c r="F10" s="2920">
        <v>-0.82</v>
      </c>
      <c r="G10" s="2920">
        <v>-0.39</v>
      </c>
      <c r="H10" s="4233">
        <v>0</v>
      </c>
      <c r="I10" s="4234">
        <v>0.04</v>
      </c>
      <c r="J10" s="2921">
        <f t="shared" ref="J10" si="38">F10</f>
        <v>-0.82</v>
      </c>
      <c r="K10" s="229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3277</v>
      </c>
      <c r="B11" s="2913">
        <v>2025</v>
      </c>
      <c r="C11" s="2914">
        <v>2</v>
      </c>
      <c r="D11" s="2920">
        <v>0.05</v>
      </c>
      <c r="E11" s="2920">
        <v>-0.62</v>
      </c>
      <c r="F11" s="2920">
        <v>-1.05</v>
      </c>
      <c r="G11" s="2920">
        <v>0.09</v>
      </c>
      <c r="H11" s="4233">
        <v>0.17</v>
      </c>
      <c r="I11" s="4234">
        <v>-0.44</v>
      </c>
      <c r="J11" s="2921">
        <f t="shared" ref="J11" si="45">F11</f>
        <v>-1.05</v>
      </c>
      <c r="K11" s="229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3268</v>
      </c>
      <c r="B12" s="2913">
        <v>2025</v>
      </c>
      <c r="C12" s="2914">
        <v>1</v>
      </c>
      <c r="D12" s="2920">
        <v>0.56999999999999995</v>
      </c>
      <c r="E12" s="2920">
        <v>-0.56999999999999995</v>
      </c>
      <c r="F12" s="2920">
        <v>-0.9</v>
      </c>
      <c r="G12" s="2920">
        <v>1.1200000000000001</v>
      </c>
      <c r="H12" s="4233">
        <v>0.42</v>
      </c>
      <c r="I12" s="4234">
        <v>-0.35</v>
      </c>
      <c r="J12" s="2921">
        <f t="shared" ref="J12" si="57">F12</f>
        <v>-0.9</v>
      </c>
      <c r="K12" s="229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3267</v>
      </c>
      <c r="B13" s="2913">
        <v>2024</v>
      </c>
      <c r="C13" s="2914">
        <v>4</v>
      </c>
      <c r="D13" s="2920">
        <v>-1.02</v>
      </c>
      <c r="E13" s="2920">
        <v>-0.48</v>
      </c>
      <c r="F13" s="2920">
        <v>-0.75</v>
      </c>
      <c r="G13" s="2920">
        <v>-1.05</v>
      </c>
      <c r="H13" s="4233">
        <v>0.08</v>
      </c>
      <c r="I13" s="4234">
        <v>-0.26</v>
      </c>
      <c r="J13" s="2921">
        <f t="shared" ref="J13" si="62">F13</f>
        <v>-0.75</v>
      </c>
      <c r="K13" s="229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3260</v>
      </c>
      <c r="B14" s="2913">
        <v>2024</v>
      </c>
      <c r="C14" s="2914">
        <v>3</v>
      </c>
      <c r="D14" s="2920">
        <v>-1.19</v>
      </c>
      <c r="E14" s="2920">
        <v>-0.47</v>
      </c>
      <c r="F14" s="2920">
        <v>-0.28999999999999998</v>
      </c>
      <c r="G14" s="2920">
        <v>-0.74</v>
      </c>
      <c r="H14" s="4233">
        <v>-0.21</v>
      </c>
      <c r="I14" s="4234">
        <v>-0.48</v>
      </c>
      <c r="J14" s="2921">
        <f t="shared" ref="J14" si="68">F14</f>
        <v>-0.28999999999999998</v>
      </c>
      <c r="K14" s="229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1" t="s">
        <v>3254</v>
      </c>
      <c r="B15" s="2913">
        <v>2024</v>
      </c>
      <c r="C15" s="2914">
        <v>2</v>
      </c>
      <c r="D15" s="2920">
        <v>-0.59</v>
      </c>
      <c r="E15" s="2920">
        <v>-0.21</v>
      </c>
      <c r="F15" s="2920">
        <v>-1.38</v>
      </c>
      <c r="G15" s="2920">
        <v>-1.24</v>
      </c>
      <c r="H15" s="4234">
        <v>0.34</v>
      </c>
      <c r="I15" s="4234">
        <v>-0.56999999999999995</v>
      </c>
      <c r="J15" s="2921">
        <f t="shared" ref="J15:J28" si="74">F15</f>
        <v>-1.38</v>
      </c>
      <c r="K15" s="229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1" t="s">
        <v>3253</v>
      </c>
      <c r="B16" s="2913">
        <v>2024</v>
      </c>
      <c r="C16" s="2914">
        <v>1</v>
      </c>
      <c r="D16" s="2920">
        <v>0.08</v>
      </c>
      <c r="E16" s="2920">
        <v>0.46</v>
      </c>
      <c r="F16" s="2920">
        <v>-0.16</v>
      </c>
      <c r="G16" s="2920">
        <v>0.26</v>
      </c>
      <c r="H16" s="4234">
        <v>0.59</v>
      </c>
      <c r="I16" s="4234">
        <v>0.51</v>
      </c>
      <c r="J16" s="2921">
        <f t="shared" si="74"/>
        <v>-0.16</v>
      </c>
      <c r="K16" s="229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1" t="s">
        <v>3249</v>
      </c>
      <c r="B17" s="2913">
        <v>2023</v>
      </c>
      <c r="C17" s="2914">
        <v>4</v>
      </c>
      <c r="D17" s="2920">
        <v>0.19</v>
      </c>
      <c r="E17" s="2920">
        <v>0.24</v>
      </c>
      <c r="F17" s="2920">
        <v>-0.16</v>
      </c>
      <c r="G17" s="2920">
        <v>0.17</v>
      </c>
      <c r="H17" s="2920">
        <v>0.61</v>
      </c>
      <c r="I17" s="2920"/>
      <c r="J17" s="2921">
        <f>F17</f>
        <v>-0.16</v>
      </c>
      <c r="K17" s="2293"/>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1" t="s">
        <v>3248</v>
      </c>
      <c r="B18" s="2913">
        <v>2023</v>
      </c>
      <c r="C18" s="2914">
        <v>3</v>
      </c>
      <c r="D18" s="2920">
        <v>0.25</v>
      </c>
      <c r="E18" s="2920">
        <v>0.5</v>
      </c>
      <c r="F18" s="2920">
        <v>0.31</v>
      </c>
      <c r="G18" s="2920">
        <v>0.21</v>
      </c>
      <c r="H18" s="2920">
        <v>0.43</v>
      </c>
      <c r="I18" s="2920"/>
      <c r="J18" s="2921">
        <f t="shared" si="74"/>
        <v>0.31</v>
      </c>
      <c r="K18" s="229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1" t="s">
        <v>3246</v>
      </c>
      <c r="B19" s="2913">
        <v>2023</v>
      </c>
      <c r="C19" s="2914">
        <v>2</v>
      </c>
      <c r="D19" s="2920">
        <v>0.91</v>
      </c>
      <c r="E19" s="2920">
        <v>0.66</v>
      </c>
      <c r="F19" s="2920">
        <v>0.47</v>
      </c>
      <c r="G19" s="2920">
        <v>0.96</v>
      </c>
      <c r="H19" s="2920">
        <v>0.71</v>
      </c>
      <c r="I19" s="2920"/>
      <c r="J19" s="2921">
        <f t="shared" si="74"/>
        <v>0.47</v>
      </c>
      <c r="K19" s="229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1" t="s">
        <v>3245</v>
      </c>
      <c r="B20" s="2913">
        <v>2023</v>
      </c>
      <c r="C20" s="2914">
        <v>1</v>
      </c>
      <c r="D20" s="2920">
        <v>0.89</v>
      </c>
      <c r="E20" s="2920">
        <v>0.74</v>
      </c>
      <c r="F20" s="2920">
        <v>0.56999999999999995</v>
      </c>
      <c r="G20" s="2920">
        <v>0.92</v>
      </c>
      <c r="H20" s="2920">
        <v>0.5</v>
      </c>
      <c r="I20" s="2920"/>
      <c r="J20" s="2921">
        <f t="shared" si="74"/>
        <v>0.56999999999999995</v>
      </c>
      <c r="K20" s="229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1" t="s">
        <v>3244</v>
      </c>
      <c r="B21" s="2913">
        <v>2022</v>
      </c>
      <c r="C21" s="2914">
        <v>4</v>
      </c>
      <c r="D21" s="2920">
        <v>0.62</v>
      </c>
      <c r="E21" s="2920">
        <v>0.2</v>
      </c>
      <c r="F21" s="2920">
        <v>0.11</v>
      </c>
      <c r="G21" s="2920">
        <v>0.69</v>
      </c>
      <c r="H21" s="2920">
        <v>0.53</v>
      </c>
      <c r="I21" s="2920"/>
      <c r="J21" s="2921">
        <f t="shared" si="74"/>
        <v>0.11</v>
      </c>
      <c r="K21" s="229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1" t="s">
        <v>3242</v>
      </c>
      <c r="B22" s="2913">
        <v>2022</v>
      </c>
      <c r="C22" s="2914">
        <v>3</v>
      </c>
      <c r="D22" s="2920">
        <v>0.66</v>
      </c>
      <c r="E22" s="2920">
        <v>0.32</v>
      </c>
      <c r="F22" s="2920">
        <v>0.23</v>
      </c>
      <c r="G22" s="2920">
        <v>0.72</v>
      </c>
      <c r="H22" s="2920">
        <v>0.63</v>
      </c>
      <c r="I22" s="2920"/>
      <c r="J22" s="2921">
        <f t="shared" si="74"/>
        <v>0.23</v>
      </c>
      <c r="K22" s="2293"/>
      <c r="L22" s="1618">
        <f t="shared" si="94"/>
        <v>6.6E-3</v>
      </c>
      <c r="M22" s="1608">
        <f t="shared" si="94"/>
        <v>3.2000000000000002E-3</v>
      </c>
      <c r="N22" s="1608">
        <f t="shared" si="94"/>
        <v>2.3E-3</v>
      </c>
      <c r="O22" s="1608">
        <f t="shared" si="94"/>
        <v>7.1999999999999998E-3</v>
      </c>
      <c r="P22" s="1608">
        <f t="shared" si="94"/>
        <v>6.3E-3</v>
      </c>
      <c r="Q22" s="1608"/>
      <c r="R22" s="1608">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1" t="s">
        <v>3234</v>
      </c>
      <c r="B23" s="2913">
        <v>2022</v>
      </c>
      <c r="C23" s="2914">
        <v>2</v>
      </c>
      <c r="D23" s="2920">
        <v>0.93</v>
      </c>
      <c r="E23" s="2920">
        <v>0.15</v>
      </c>
      <c r="F23" s="2920">
        <v>0.01</v>
      </c>
      <c r="G23" s="2920">
        <v>1.05</v>
      </c>
      <c r="H23" s="2920">
        <v>1.08</v>
      </c>
      <c r="I23" s="2920"/>
      <c r="J23" s="2921">
        <f t="shared" si="74"/>
        <v>0.01</v>
      </c>
      <c r="K23" s="229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1" t="s">
        <v>2702</v>
      </c>
      <c r="B24" s="2913">
        <v>2022</v>
      </c>
      <c r="C24" s="2914">
        <v>1</v>
      </c>
      <c r="D24" s="2920">
        <v>0.89</v>
      </c>
      <c r="E24" s="2920">
        <v>0.44</v>
      </c>
      <c r="F24" s="2920">
        <v>0.37</v>
      </c>
      <c r="G24" s="2920">
        <v>0.96</v>
      </c>
      <c r="H24" s="2920">
        <v>0.64</v>
      </c>
      <c r="I24" s="2920"/>
      <c r="J24" s="2921">
        <f t="shared" si="74"/>
        <v>0.37</v>
      </c>
      <c r="K24" s="229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1" t="s">
        <v>2703</v>
      </c>
      <c r="B25" s="2913">
        <v>2021</v>
      </c>
      <c r="C25" s="2914">
        <v>4</v>
      </c>
      <c r="D25" s="2920">
        <v>1.03</v>
      </c>
      <c r="E25" s="2920">
        <v>0.24</v>
      </c>
      <c r="F25" s="2920">
        <v>7.0000000000000007E-2</v>
      </c>
      <c r="G25" s="2920">
        <v>1.17</v>
      </c>
      <c r="H25" s="2920">
        <v>0.55000000000000004</v>
      </c>
      <c r="I25" s="2920"/>
      <c r="J25" s="2921">
        <f t="shared" si="74"/>
        <v>7.0000000000000007E-2</v>
      </c>
      <c r="K25" s="229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1" t="s">
        <v>2704</v>
      </c>
      <c r="B26" s="2913">
        <v>2021</v>
      </c>
      <c r="C26" s="2914">
        <v>3</v>
      </c>
      <c r="D26" s="2920">
        <v>0.47</v>
      </c>
      <c r="E26" s="2920">
        <v>0.41</v>
      </c>
      <c r="F26" s="2920">
        <v>0.24</v>
      </c>
      <c r="G26" s="2920">
        <v>0.48</v>
      </c>
      <c r="H26" s="2920">
        <v>0.48</v>
      </c>
      <c r="I26" s="2920"/>
      <c r="J26" s="2921">
        <f t="shared" si="74"/>
        <v>0.24</v>
      </c>
      <c r="K26" s="229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1" t="s">
        <v>2705</v>
      </c>
      <c r="B27" s="2913">
        <v>2021</v>
      </c>
      <c r="C27" s="2914">
        <v>2</v>
      </c>
      <c r="D27" s="2920">
        <v>0.92</v>
      </c>
      <c r="E27" s="2920">
        <v>0.72</v>
      </c>
      <c r="F27" s="2920">
        <v>0.41</v>
      </c>
      <c r="G27" s="2920">
        <v>0.95</v>
      </c>
      <c r="H27" s="2920">
        <v>1.01</v>
      </c>
      <c r="I27" s="2920"/>
      <c r="J27" s="2921">
        <f t="shared" si="74"/>
        <v>0.41</v>
      </c>
      <c r="K27" s="229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2706</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3259</v>
      </c>
    </row>
    <row r="31" spans="1:50">
      <c r="J31" s="1049" t="s">
        <v>2707</v>
      </c>
    </row>
    <row r="33" spans="1:50" s="1591" customFormat="1" ht="12.75">
      <c r="B33" s="2307" t="s">
        <v>3257</v>
      </c>
      <c r="C33" s="2308"/>
      <c r="D33" s="2308"/>
      <c r="E33" s="2308"/>
      <c r="F33" s="2308"/>
      <c r="G33" s="2308"/>
      <c r="H33" s="2308"/>
      <c r="I33" s="2308"/>
      <c r="J33" s="2308"/>
      <c r="K33" s="2282"/>
      <c r="L33" s="2308" t="s">
        <v>2708</v>
      </c>
      <c r="M33" s="2308"/>
      <c r="N33" s="2308"/>
      <c r="O33" s="2308"/>
      <c r="P33" s="2308"/>
      <c r="Q33" s="2308"/>
      <c r="R33" s="2308"/>
      <c r="S33" s="2282"/>
      <c r="T33" s="4753" t="s">
        <v>2709</v>
      </c>
      <c r="U33" s="4754"/>
      <c r="V33" s="4754"/>
      <c r="W33" s="4754"/>
      <c r="X33" s="4754"/>
      <c r="Y33" s="4754"/>
      <c r="Z33" s="4754"/>
      <c r="AA33" s="2282"/>
      <c r="AB33" s="4753" t="s">
        <v>2710</v>
      </c>
      <c r="AC33" s="4754"/>
      <c r="AD33" s="4754"/>
      <c r="AE33" s="4754"/>
      <c r="AF33" s="4754"/>
      <c r="AG33" s="4754"/>
      <c r="AH33" s="4754"/>
    </row>
    <row r="34" spans="1:50" s="1592" customFormat="1" ht="14.25" thickBot="1">
      <c r="B34" s="2269"/>
      <c r="C34" s="2270"/>
      <c r="D34" s="1593" t="s">
        <v>2711</v>
      </c>
      <c r="E34" s="1594" t="s">
        <v>2712</v>
      </c>
      <c r="F34" s="1594" t="s">
        <v>2713</v>
      </c>
      <c r="G34" s="1594" t="s">
        <v>2714</v>
      </c>
      <c r="H34" s="1594"/>
      <c r="I34" s="1594" t="s">
        <v>4063</v>
      </c>
      <c r="J34" s="1594" t="s">
        <v>2715</v>
      </c>
      <c r="K34" s="2271"/>
      <c r="L34" s="1593" t="s">
        <v>2711</v>
      </c>
      <c r="M34" s="1594" t="s">
        <v>2712</v>
      </c>
      <c r="N34" s="1594" t="s">
        <v>2713</v>
      </c>
      <c r="O34" s="1594" t="s">
        <v>2714</v>
      </c>
      <c r="P34" s="1594"/>
      <c r="Q34" s="1594" t="s">
        <v>4063</v>
      </c>
      <c r="R34" s="1594" t="s">
        <v>2715</v>
      </c>
      <c r="S34" s="2271"/>
      <c r="T34" s="1593" t="s">
        <v>2711</v>
      </c>
      <c r="U34" s="1594" t="s">
        <v>2712</v>
      </c>
      <c r="V34" s="1594" t="s">
        <v>2713</v>
      </c>
      <c r="W34" s="1594" t="s">
        <v>2714</v>
      </c>
      <c r="X34" s="1594"/>
      <c r="Y34" s="1594" t="s">
        <v>4063</v>
      </c>
      <c r="Z34" s="1594" t="s">
        <v>2715</v>
      </c>
      <c r="AA34" s="2271"/>
      <c r="AB34" s="1593" t="s">
        <v>2711</v>
      </c>
      <c r="AC34" s="1594" t="s">
        <v>2712</v>
      </c>
      <c r="AD34" s="1594" t="s">
        <v>2713</v>
      </c>
      <c r="AE34" s="1594" t="s">
        <v>2714</v>
      </c>
      <c r="AF34" s="1594"/>
      <c r="AG34" s="1594" t="s">
        <v>4063</v>
      </c>
      <c r="AH34" s="1594" t="s">
        <v>2715</v>
      </c>
      <c r="AK34" t="s">
        <v>660</v>
      </c>
      <c r="AL34" t="s">
        <v>19</v>
      </c>
      <c r="AM34" t="s">
        <v>3264</v>
      </c>
      <c r="AN34"/>
      <c r="AO34" s="4244" t="s">
        <v>4063</v>
      </c>
      <c r="AP34" t="s">
        <v>3265</v>
      </c>
      <c r="AS34" t="s">
        <v>660</v>
      </c>
      <c r="AT34" t="s">
        <v>19</v>
      </c>
      <c r="AU34" t="s">
        <v>3264</v>
      </c>
      <c r="AV34"/>
      <c r="AW34" s="4244" t="s">
        <v>4063</v>
      </c>
      <c r="AX34" t="s">
        <v>3265</v>
      </c>
    </row>
    <row r="35" spans="1:50" s="2274" customFormat="1" ht="12.75">
      <c r="A35" s="2272" t="s">
        <v>2716</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5"/>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2"/>
      <c r="L36" s="2283"/>
      <c r="M36" s="2284"/>
      <c r="N36" s="2284"/>
      <c r="O36" s="2284"/>
      <c r="P36" s="2284"/>
      <c r="Q36" s="2284"/>
      <c r="R36" s="2284"/>
      <c r="S36" s="2282"/>
      <c r="T36" s="1607"/>
      <c r="U36" s="1607"/>
      <c r="V36" s="1607"/>
      <c r="W36" s="1607"/>
      <c r="X36" s="1607"/>
      <c r="Y36" s="1607"/>
      <c r="Z36" s="1607"/>
      <c r="AA36" s="2282"/>
      <c r="AB36" s="1608"/>
      <c r="AC36" s="1608"/>
      <c r="AD36" s="1608"/>
      <c r="AE36" s="1608"/>
      <c r="AF36" s="1608"/>
      <c r="AG36" s="1608"/>
      <c r="AH36" s="1608"/>
    </row>
    <row r="37" spans="1:50" s="1620" customFormat="1">
      <c r="A37" s="1616" t="s">
        <v>3631</v>
      </c>
      <c r="B37" s="2913">
        <v>2026</v>
      </c>
      <c r="C37" s="2914">
        <v>4</v>
      </c>
      <c r="D37" s="2292"/>
      <c r="E37" s="2920">
        <v>0</v>
      </c>
      <c r="F37" s="2920">
        <v>0</v>
      </c>
      <c r="G37" s="2920">
        <v>0</v>
      </c>
      <c r="H37" s="2920"/>
      <c r="I37" s="2925"/>
      <c r="J37" s="2921">
        <f t="shared" ref="J37" si="100">F37</f>
        <v>0</v>
      </c>
      <c r="K37" s="229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3"/>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3630</v>
      </c>
      <c r="B38" s="2913">
        <v>2026</v>
      </c>
      <c r="C38" s="2914">
        <v>3</v>
      </c>
      <c r="D38" s="2292"/>
      <c r="E38" s="2920">
        <v>0</v>
      </c>
      <c r="F38" s="2920">
        <v>0</v>
      </c>
      <c r="G38" s="2920">
        <v>0</v>
      </c>
      <c r="H38" s="2920"/>
      <c r="I38" s="2925"/>
      <c r="J38" s="2921">
        <f t="shared" ref="J38:J41" si="107">F38</f>
        <v>0</v>
      </c>
      <c r="K38" s="2293"/>
      <c r="L38" s="1618"/>
      <c r="M38" s="1608">
        <f t="shared" si="101"/>
        <v>0</v>
      </c>
      <c r="N38" s="1608">
        <f t="shared" si="102"/>
        <v>0</v>
      </c>
      <c r="O38" s="1608">
        <f t="shared" si="103"/>
        <v>0</v>
      </c>
      <c r="P38" s="1608"/>
      <c r="Q38" s="1608">
        <f t="shared" si="104"/>
        <v>0</v>
      </c>
      <c r="R38" s="1608">
        <f t="shared" ref="R38:R41" si="108">N38</f>
        <v>0</v>
      </c>
      <c r="S38" s="2293"/>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3629</v>
      </c>
      <c r="B39" s="2913">
        <v>2026</v>
      </c>
      <c r="C39" s="2914">
        <v>2</v>
      </c>
      <c r="D39" s="2292"/>
      <c r="E39" s="2920">
        <v>0</v>
      </c>
      <c r="F39" s="2920">
        <v>0</v>
      </c>
      <c r="G39" s="2920">
        <v>0</v>
      </c>
      <c r="H39" s="2920"/>
      <c r="I39" s="2925"/>
      <c r="J39" s="2921">
        <f t="shared" si="107"/>
        <v>0</v>
      </c>
      <c r="K39" s="2293"/>
      <c r="L39" s="1618"/>
      <c r="M39" s="1608">
        <f t="shared" si="101"/>
        <v>0</v>
      </c>
      <c r="N39" s="1608">
        <f t="shared" si="102"/>
        <v>0</v>
      </c>
      <c r="O39" s="1608">
        <f t="shared" si="103"/>
        <v>0</v>
      </c>
      <c r="P39" s="1608"/>
      <c r="Q39" s="1608">
        <f t="shared" si="104"/>
        <v>0</v>
      </c>
      <c r="R39" s="1608">
        <f t="shared" si="108"/>
        <v>0</v>
      </c>
      <c r="S39" s="2293"/>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3634</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3628</v>
      </c>
      <c r="B41" s="2913">
        <v>2025</v>
      </c>
      <c r="C41" s="2914">
        <v>4</v>
      </c>
      <c r="D41" s="2292"/>
      <c r="E41" s="2920">
        <v>-2.0499999999999998</v>
      </c>
      <c r="F41" s="2920">
        <v>-3.68</v>
      </c>
      <c r="G41" s="2920">
        <v>-2.4300000000000002</v>
      </c>
      <c r="H41" s="2920"/>
      <c r="I41" s="2925">
        <v>0</v>
      </c>
      <c r="J41" s="2921">
        <f t="shared" si="107"/>
        <v>-3.68</v>
      </c>
      <c r="K41" s="229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3"/>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3276</v>
      </c>
      <c r="B42" s="2913">
        <v>2025</v>
      </c>
      <c r="C42" s="2914">
        <v>3</v>
      </c>
      <c r="D42" s="2292"/>
      <c r="E42" s="2920">
        <v>-0.8</v>
      </c>
      <c r="F42" s="2920">
        <v>-1.45</v>
      </c>
      <c r="G42" s="2920">
        <v>-0.62</v>
      </c>
      <c r="H42" s="2920"/>
      <c r="I42" s="2925">
        <v>0</v>
      </c>
      <c r="J42" s="2921">
        <f t="shared" ref="J42" si="119">F42</f>
        <v>-1.45</v>
      </c>
      <c r="K42" s="229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3"/>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3277</v>
      </c>
      <c r="B43" s="2913">
        <v>2025</v>
      </c>
      <c r="C43" s="2914">
        <v>2</v>
      </c>
      <c r="D43" s="2292"/>
      <c r="E43" s="2920">
        <v>-0.31</v>
      </c>
      <c r="F43" s="2920">
        <v>-1.03</v>
      </c>
      <c r="G43" s="2920">
        <v>0.03</v>
      </c>
      <c r="H43" s="2920"/>
      <c r="I43" s="2925">
        <v>0.23</v>
      </c>
      <c r="J43" s="2921">
        <f t="shared" ref="J43" si="125">F43</f>
        <v>-1.03</v>
      </c>
      <c r="K43" s="229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3"/>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3266</v>
      </c>
      <c r="B44" s="2913">
        <v>2025</v>
      </c>
      <c r="C44" s="2914">
        <v>1</v>
      </c>
      <c r="D44" s="2292"/>
      <c r="E44" s="2920">
        <v>-1.47</v>
      </c>
      <c r="F44" s="2920">
        <v>-0.98</v>
      </c>
      <c r="G44" s="2920">
        <v>-0.51</v>
      </c>
      <c r="H44" s="2920"/>
      <c r="I44" s="2925">
        <v>0.56000000000000005</v>
      </c>
      <c r="J44" s="2921">
        <f t="shared" ref="J44" si="133">F44</f>
        <v>-0.98</v>
      </c>
      <c r="K44" s="229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3"/>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3267</v>
      </c>
      <c r="B45" s="2913">
        <v>2024</v>
      </c>
      <c r="C45" s="2914">
        <v>4</v>
      </c>
      <c r="D45" s="2292"/>
      <c r="E45" s="2920">
        <v>-0.61</v>
      </c>
      <c r="F45" s="2920">
        <v>-0.71</v>
      </c>
      <c r="G45" s="2920">
        <v>-0.88</v>
      </c>
      <c r="H45" s="2920"/>
      <c r="I45" s="2925">
        <v>0.09</v>
      </c>
      <c r="J45" s="2921">
        <f t="shared" ref="J45" si="140">F45</f>
        <v>-0.71</v>
      </c>
      <c r="K45" s="229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3"/>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3251</v>
      </c>
      <c r="B46" s="2913">
        <v>2024</v>
      </c>
      <c r="C46" s="2914">
        <v>3</v>
      </c>
      <c r="D46" s="2292"/>
      <c r="E46" s="2920">
        <v>-0.66</v>
      </c>
      <c r="F46" s="2920">
        <v>-0.52</v>
      </c>
      <c r="G46" s="2920">
        <v>-2.87</v>
      </c>
      <c r="H46" s="2920"/>
      <c r="I46" s="2925">
        <v>-0.14000000000000001</v>
      </c>
      <c r="J46" s="2921">
        <f t="shared" ref="J46" si="144">F46</f>
        <v>-0.52</v>
      </c>
      <c r="K46" s="229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3"/>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1" t="s">
        <v>3255</v>
      </c>
      <c r="B47" s="2913">
        <v>2024</v>
      </c>
      <c r="C47" s="2914">
        <v>2</v>
      </c>
      <c r="D47" s="2292"/>
      <c r="E47" s="2920">
        <v>-0.31</v>
      </c>
      <c r="F47" s="2920">
        <v>-0.39</v>
      </c>
      <c r="G47" s="2920">
        <v>1.23</v>
      </c>
      <c r="H47" s="2925"/>
      <c r="I47" s="2925">
        <v>0.47</v>
      </c>
      <c r="J47" s="2921">
        <f t="shared" ref="J47:J60" si="148">F47</f>
        <v>-0.39</v>
      </c>
      <c r="K47" s="2293"/>
      <c r="L47" s="1618"/>
      <c r="M47" s="1608">
        <f>E47/100</f>
        <v>-3.0999999999999999E-3</v>
      </c>
      <c r="N47" s="1608">
        <f>F47/100</f>
        <v>-3.9000000000000003E-3</v>
      </c>
      <c r="O47" s="1608">
        <f>G47/100</f>
        <v>1.23E-2</v>
      </c>
      <c r="P47" s="1608"/>
      <c r="Q47" s="1608">
        <f t="shared" si="104"/>
        <v>4.6999999999999993E-3</v>
      </c>
      <c r="R47" s="1608">
        <f t="shared" si="105"/>
        <v>-3.9000000000000003E-3</v>
      </c>
      <c r="S47" s="2293"/>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1" t="s">
        <v>3252</v>
      </c>
      <c r="B48" s="2913">
        <v>2024</v>
      </c>
      <c r="C48" s="2914">
        <v>1</v>
      </c>
      <c r="D48" s="2292"/>
      <c r="E48" s="2920">
        <v>0.25</v>
      </c>
      <c r="F48" s="2920">
        <v>0.4</v>
      </c>
      <c r="G48" s="2920">
        <v>-0.63</v>
      </c>
      <c r="H48" s="2925"/>
      <c r="I48" s="2925">
        <v>0.62</v>
      </c>
      <c r="J48" s="2921">
        <f t="shared" ref="J48:J49" si="149">F48</f>
        <v>0.4</v>
      </c>
      <c r="K48" s="229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3"/>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1" t="s">
        <v>3250</v>
      </c>
      <c r="B49" s="2913">
        <v>2023</v>
      </c>
      <c r="C49" s="2914">
        <v>4</v>
      </c>
      <c r="D49" s="2292"/>
      <c r="E49" s="2920">
        <v>7.0000000000000007E-2</v>
      </c>
      <c r="F49" s="2920">
        <v>0.09</v>
      </c>
      <c r="G49" s="2920">
        <v>0.03</v>
      </c>
      <c r="H49" s="2925"/>
      <c r="I49" s="2925"/>
      <c r="J49" s="2921">
        <f t="shared" si="149"/>
        <v>0.09</v>
      </c>
      <c r="K49" s="2293"/>
      <c r="L49" s="1618"/>
      <c r="M49" s="1608">
        <f>E49/100</f>
        <v>7.000000000000001E-4</v>
      </c>
      <c r="N49" s="1608">
        <f>F49/100</f>
        <v>8.9999999999999998E-4</v>
      </c>
      <c r="O49" s="1608">
        <f>G49/100</f>
        <v>2.9999999999999997E-4</v>
      </c>
      <c r="P49" s="1608"/>
      <c r="Q49" s="4236"/>
      <c r="R49" s="1608">
        <f t="shared" ref="R49" si="155">N49</f>
        <v>8.9999999999999998E-4</v>
      </c>
      <c r="S49" s="2293"/>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1" t="s">
        <v>3248</v>
      </c>
      <c r="B50" s="2913">
        <v>2023</v>
      </c>
      <c r="C50" s="2914">
        <v>3</v>
      </c>
      <c r="D50" s="2292"/>
      <c r="E50" s="2920">
        <v>0.35</v>
      </c>
      <c r="F50" s="2920">
        <v>0.17</v>
      </c>
      <c r="G50" s="2920">
        <v>0.52</v>
      </c>
      <c r="H50" s="2925"/>
      <c r="I50" s="2925"/>
      <c r="J50" s="2921">
        <f t="shared" si="148"/>
        <v>0.17</v>
      </c>
      <c r="K50" s="229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3"/>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1" t="s">
        <v>3247</v>
      </c>
      <c r="B51" s="2913">
        <v>2023</v>
      </c>
      <c r="C51" s="2914">
        <v>2</v>
      </c>
      <c r="D51" s="2292"/>
      <c r="E51" s="2920">
        <v>0.5</v>
      </c>
      <c r="F51" s="2920">
        <v>0.45</v>
      </c>
      <c r="G51" s="2920">
        <v>0.89</v>
      </c>
      <c r="H51" s="2925"/>
      <c r="I51" s="2925"/>
      <c r="J51" s="2921">
        <f t="shared" si="148"/>
        <v>0.45</v>
      </c>
      <c r="K51" s="2293"/>
      <c r="L51" s="1618"/>
      <c r="M51" s="1608">
        <f t="shared" si="158"/>
        <v>5.0000000000000001E-3</v>
      </c>
      <c r="N51" s="1608">
        <f t="shared" si="159"/>
        <v>4.5000000000000005E-3</v>
      </c>
      <c r="O51" s="1608">
        <f t="shared" si="160"/>
        <v>8.8999999999999999E-3</v>
      </c>
      <c r="P51" s="1608"/>
      <c r="Q51" s="1608"/>
      <c r="R51" s="1608">
        <f t="shared" si="161"/>
        <v>4.5000000000000005E-3</v>
      </c>
      <c r="S51" s="2293"/>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1" t="s">
        <v>3245</v>
      </c>
      <c r="B52" s="2913">
        <v>2023</v>
      </c>
      <c r="C52" s="2914">
        <v>1</v>
      </c>
      <c r="D52" s="2292"/>
      <c r="E52" s="2920">
        <v>0.55000000000000004</v>
      </c>
      <c r="F52" s="2920">
        <v>0.59</v>
      </c>
      <c r="G52" s="2920">
        <v>0.64</v>
      </c>
      <c r="H52" s="2925"/>
      <c r="I52" s="2925"/>
      <c r="J52" s="2921">
        <f t="shared" si="148"/>
        <v>0.59</v>
      </c>
      <c r="K52" s="2293"/>
      <c r="L52" s="1618"/>
      <c r="M52" s="1608">
        <f t="shared" si="158"/>
        <v>5.5000000000000005E-3</v>
      </c>
      <c r="N52" s="1608">
        <f t="shared" si="159"/>
        <v>5.8999999999999999E-3</v>
      </c>
      <c r="O52" s="1608">
        <f t="shared" si="160"/>
        <v>6.4000000000000003E-3</v>
      </c>
      <c r="P52" s="1608"/>
      <c r="Q52" s="1608"/>
      <c r="R52" s="1608">
        <f t="shared" si="161"/>
        <v>5.8999999999999999E-3</v>
      </c>
      <c r="S52" s="2293"/>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1" t="s">
        <v>3244</v>
      </c>
      <c r="B53" s="2913">
        <v>2022</v>
      </c>
      <c r="C53" s="2914">
        <v>4</v>
      </c>
      <c r="D53" s="2292"/>
      <c r="E53" s="2920">
        <v>0.45</v>
      </c>
      <c r="F53" s="2920">
        <v>0.2</v>
      </c>
      <c r="G53" s="2920">
        <v>0.38</v>
      </c>
      <c r="H53" s="2925"/>
      <c r="I53" s="2925"/>
      <c r="J53" s="2921">
        <f t="shared" si="148"/>
        <v>0.2</v>
      </c>
      <c r="K53" s="2293"/>
      <c r="L53" s="1618"/>
      <c r="M53" s="1608">
        <f t="shared" ref="M53:O60" si="163">E53/100</f>
        <v>4.5000000000000005E-3</v>
      </c>
      <c r="N53" s="1608">
        <f t="shared" si="163"/>
        <v>2E-3</v>
      </c>
      <c r="O53" s="1608">
        <f t="shared" si="163"/>
        <v>3.8E-3</v>
      </c>
      <c r="P53" s="1608"/>
      <c r="Q53" s="1608"/>
      <c r="R53" s="1608">
        <f t="shared" ref="R53:R60" si="164">N53</f>
        <v>2E-3</v>
      </c>
      <c r="S53" s="2293"/>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1" t="s">
        <v>3243</v>
      </c>
      <c r="B54" s="2913">
        <v>2022</v>
      </c>
      <c r="C54" s="2914">
        <v>3</v>
      </c>
      <c r="D54" s="2292"/>
      <c r="E54" s="2920">
        <v>0.3</v>
      </c>
      <c r="F54" s="2920">
        <v>0.28999999999999998</v>
      </c>
      <c r="G54" s="2920">
        <v>0.83</v>
      </c>
      <c r="H54" s="2925"/>
      <c r="I54" s="2925"/>
      <c r="J54" s="2921">
        <f t="shared" si="148"/>
        <v>0.28999999999999998</v>
      </c>
      <c r="K54" s="2293"/>
      <c r="L54" s="1618"/>
      <c r="M54" s="1608">
        <f t="shared" si="163"/>
        <v>3.0000000000000001E-3</v>
      </c>
      <c r="N54" s="1608">
        <f t="shared" si="163"/>
        <v>2.8999999999999998E-3</v>
      </c>
      <c r="O54" s="1608">
        <f t="shared" si="163"/>
        <v>8.3000000000000001E-3</v>
      </c>
      <c r="P54" s="1608"/>
      <c r="Q54" s="1608"/>
      <c r="R54" s="1608">
        <f t="shared" si="164"/>
        <v>2.8999999999999998E-3</v>
      </c>
      <c r="S54" s="2293"/>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1" t="s">
        <v>3234</v>
      </c>
      <c r="B55" s="2913">
        <v>2022</v>
      </c>
      <c r="C55" s="2914">
        <v>2</v>
      </c>
      <c r="D55" s="2292"/>
      <c r="E55" s="2920">
        <v>-0.11</v>
      </c>
      <c r="F55" s="2920">
        <v>-0.13</v>
      </c>
      <c r="G55" s="2920">
        <v>0.53</v>
      </c>
      <c r="H55" s="2925"/>
      <c r="I55" s="2925"/>
      <c r="J55" s="2921">
        <f t="shared" si="148"/>
        <v>-0.13</v>
      </c>
      <c r="K55" s="2293"/>
      <c r="L55" s="1618"/>
      <c r="M55" s="1608">
        <f t="shared" si="163"/>
        <v>-1.1000000000000001E-3</v>
      </c>
      <c r="N55" s="1608">
        <f t="shared" si="163"/>
        <v>-1.2999999999999999E-3</v>
      </c>
      <c r="O55" s="1608">
        <f t="shared" si="163"/>
        <v>5.3E-3</v>
      </c>
      <c r="P55" s="1608"/>
      <c r="Q55" s="1608"/>
      <c r="R55" s="1608">
        <f t="shared" si="164"/>
        <v>-1.2999999999999999E-3</v>
      </c>
      <c r="S55" s="2293"/>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1" t="s">
        <v>2717</v>
      </c>
      <c r="B56" s="2913">
        <v>2022</v>
      </c>
      <c r="C56" s="2914">
        <v>1</v>
      </c>
      <c r="D56" s="2292"/>
      <c r="E56" s="2920">
        <v>0.6</v>
      </c>
      <c r="F56" s="2920">
        <v>0.45</v>
      </c>
      <c r="G56" s="2920">
        <v>0.53</v>
      </c>
      <c r="H56" s="2925"/>
      <c r="I56" s="2925"/>
      <c r="J56" s="2921">
        <f t="shared" si="148"/>
        <v>0.45</v>
      </c>
      <c r="K56" s="2293"/>
      <c r="L56" s="1618"/>
      <c r="M56" s="1608">
        <f t="shared" si="163"/>
        <v>6.0000000000000001E-3</v>
      </c>
      <c r="N56" s="1608">
        <f t="shared" si="163"/>
        <v>4.5000000000000005E-3</v>
      </c>
      <c r="O56" s="1608">
        <f t="shared" si="163"/>
        <v>5.3E-3</v>
      </c>
      <c r="P56" s="1608"/>
      <c r="Q56" s="1608"/>
      <c r="R56" s="1608">
        <f t="shared" si="164"/>
        <v>4.5000000000000005E-3</v>
      </c>
      <c r="S56" s="2293"/>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1" t="s">
        <v>2718</v>
      </c>
      <c r="B57" s="2913">
        <v>2021</v>
      </c>
      <c r="C57" s="2914">
        <v>4</v>
      </c>
      <c r="D57" s="2292"/>
      <c r="E57" s="2920">
        <v>0.57999999999999996</v>
      </c>
      <c r="F57" s="2920">
        <v>0.08</v>
      </c>
      <c r="G57" s="2920">
        <v>0.68</v>
      </c>
      <c r="H57" s="2925"/>
      <c r="I57" s="2925"/>
      <c r="J57" s="2921">
        <f t="shared" si="148"/>
        <v>0.08</v>
      </c>
      <c r="K57" s="2293"/>
      <c r="L57" s="1618"/>
      <c r="M57" s="1608">
        <f t="shared" si="163"/>
        <v>5.7999999999999996E-3</v>
      </c>
      <c r="N57" s="1608">
        <f t="shared" si="163"/>
        <v>8.0000000000000004E-4</v>
      </c>
      <c r="O57" s="1608">
        <f t="shared" si="163"/>
        <v>6.8000000000000005E-3</v>
      </c>
      <c r="P57" s="1608"/>
      <c r="Q57" s="1608"/>
      <c r="R57" s="1608">
        <f t="shared" si="164"/>
        <v>8.0000000000000004E-4</v>
      </c>
      <c r="S57" s="2293"/>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1" t="s">
        <v>2719</v>
      </c>
      <c r="B58" s="2913">
        <v>2021</v>
      </c>
      <c r="C58" s="2914">
        <v>3</v>
      </c>
      <c r="D58" s="2292"/>
      <c r="E58" s="2920">
        <v>0.47</v>
      </c>
      <c r="F58" s="2920">
        <v>0.28000000000000003</v>
      </c>
      <c r="G58" s="2920">
        <v>0.91</v>
      </c>
      <c r="H58" s="2925"/>
      <c r="I58" s="2925"/>
      <c r="J58" s="2921">
        <f t="shared" si="148"/>
        <v>0.28000000000000003</v>
      </c>
      <c r="K58" s="2293"/>
      <c r="L58" s="1618"/>
      <c r="M58" s="1608">
        <f t="shared" si="163"/>
        <v>4.6999999999999993E-3</v>
      </c>
      <c r="N58" s="1608">
        <f t="shared" si="163"/>
        <v>2.8000000000000004E-3</v>
      </c>
      <c r="O58" s="1608">
        <f t="shared" si="163"/>
        <v>9.1000000000000004E-3</v>
      </c>
      <c r="P58" s="1608"/>
      <c r="Q58" s="1608"/>
      <c r="R58" s="1608">
        <f t="shared" si="164"/>
        <v>2.8000000000000004E-3</v>
      </c>
      <c r="S58" s="2293"/>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1" t="s">
        <v>2720</v>
      </c>
      <c r="B59" s="2913">
        <v>2021</v>
      </c>
      <c r="C59" s="2914">
        <v>2</v>
      </c>
      <c r="D59" s="2292"/>
      <c r="E59" s="2920">
        <v>0.55000000000000004</v>
      </c>
      <c r="F59" s="2920">
        <v>0.46</v>
      </c>
      <c r="G59" s="2920">
        <v>1.1000000000000001</v>
      </c>
      <c r="H59" s="2925"/>
      <c r="I59" s="2925"/>
      <c r="J59" s="2921">
        <f t="shared" si="148"/>
        <v>0.46</v>
      </c>
      <c r="K59" s="2293"/>
      <c r="L59" s="1618"/>
      <c r="M59" s="1608">
        <f t="shared" si="163"/>
        <v>5.5000000000000005E-3</v>
      </c>
      <c r="N59" s="1608">
        <f t="shared" si="163"/>
        <v>4.5999999999999999E-3</v>
      </c>
      <c r="O59" s="1608">
        <f t="shared" si="163"/>
        <v>1.1000000000000001E-2</v>
      </c>
      <c r="P59" s="1608"/>
      <c r="Q59" s="1608"/>
      <c r="R59" s="1608">
        <f t="shared" si="164"/>
        <v>4.5999999999999999E-3</v>
      </c>
      <c r="S59" s="2293"/>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2706</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3258</v>
      </c>
    </row>
    <row r="65" spans="3:17">
      <c r="Q65" s="4239"/>
    </row>
    <row r="66" spans="3:17">
      <c r="Q66" s="4239"/>
    </row>
    <row r="67" spans="3:17">
      <c r="Q67" s="4239"/>
    </row>
    <row r="68" spans="3:17">
      <c r="Q68" s="4239"/>
    </row>
    <row r="69" spans="3:17">
      <c r="Q69" s="4239"/>
    </row>
    <row r="70" spans="3:17">
      <c r="Q70" s="4239"/>
    </row>
    <row r="71" spans="3:17">
      <c r="C71" s="1049" t="s">
        <v>4064</v>
      </c>
      <c r="Q71" s="4239"/>
    </row>
    <row r="72" spans="3:17">
      <c r="C72" s="1049" t="s">
        <v>4067</v>
      </c>
      <c r="Q72" s="4239"/>
    </row>
    <row r="73" spans="3:17">
      <c r="C73" s="1049" t="s">
        <v>4065</v>
      </c>
      <c r="Q73" s="4239"/>
    </row>
    <row r="74" spans="3:17">
      <c r="C74" s="1049" t="s">
        <v>4066</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45" t="str">
        <f>IF(项目基本情况!B9="房地产市场价值","估价结果一览表","结果表-2")</f>
        <v>结果表-2</v>
      </c>
      <c r="B1" s="4345"/>
      <c r="C1" s="4345"/>
      <c r="D1" s="4345"/>
      <c r="E1" s="4345"/>
      <c r="F1" s="4345"/>
      <c r="G1" s="4345"/>
      <c r="H1" s="4345"/>
      <c r="I1" s="4345"/>
    </row>
    <row r="2" spans="1:9" ht="30" customHeight="1" thickTop="1">
      <c r="A2" s="4346" t="s">
        <v>912</v>
      </c>
      <c r="B2" s="4346" t="s">
        <v>913</v>
      </c>
      <c r="C2" s="4346" t="s">
        <v>914</v>
      </c>
      <c r="D2" s="4346" t="str">
        <f>结果表!D116</f>
        <v>出让国有建设用地使用权价值</v>
      </c>
      <c r="E2" s="4346"/>
      <c r="F2" s="4346" t="str">
        <f>结果表!F116</f>
        <v>建筑物价值</v>
      </c>
      <c r="G2" s="4346"/>
      <c r="H2" s="4346" t="str">
        <f>IF(项目基本情况!B9="房地产市场价值","房地产市场价值","房地产价值")</f>
        <v>房地产价值</v>
      </c>
      <c r="I2" s="4346"/>
    </row>
    <row r="3" spans="1:9" ht="15">
      <c r="A3" s="4341"/>
      <c r="B3" s="4341"/>
      <c r="C3" s="4341"/>
      <c r="D3" s="544" t="s">
        <v>909</v>
      </c>
      <c r="E3" s="544" t="s">
        <v>915</v>
      </c>
      <c r="F3" s="544" t="s">
        <v>909</v>
      </c>
      <c r="G3" s="544" t="s">
        <v>910</v>
      </c>
      <c r="H3" s="544" t="s">
        <v>909</v>
      </c>
      <c r="I3" s="544" t="s">
        <v>910</v>
      </c>
    </row>
    <row r="4" spans="1:9" ht="15">
      <c r="A4" s="1047" t="str">
        <f>项目基本情况!S2</f>
        <v>北京市房地产</v>
      </c>
      <c r="B4" s="544">
        <f>项目基本情况!C17</f>
        <v>119963.53</v>
      </c>
      <c r="C4" s="544">
        <f>项目基本情况!C18</f>
        <v>24498.84</v>
      </c>
      <c r="D4" s="544">
        <f ca="1">结果表!E118</f>
        <v>159875</v>
      </c>
      <c r="E4" s="544">
        <f ca="1">结果表!D118</f>
        <v>13327</v>
      </c>
      <c r="F4" s="544">
        <f ca="1">结果表!G118</f>
        <v>100507</v>
      </c>
      <c r="G4" s="544">
        <f ca="1">结果表!F118</f>
        <v>8378</v>
      </c>
      <c r="H4" s="544">
        <f ca="1">结果表!I118</f>
        <v>260382</v>
      </c>
      <c r="I4" s="544">
        <f ca="1">结果表!H118</f>
        <v>21705</v>
      </c>
    </row>
    <row r="5" spans="1:9" ht="30" customHeight="1">
      <c r="A5" s="4341" t="s">
        <v>911</v>
      </c>
      <c r="B5" s="4341"/>
      <c r="C5" s="4341"/>
      <c r="D5" s="4341" t="str">
        <f ca="1">结果表!D119</f>
        <v>壹拾伍亿玖仟捌佰柒拾伍万元整</v>
      </c>
      <c r="E5" s="4341"/>
      <c r="F5" s="4341" t="str">
        <f ca="1">结果表!F119</f>
        <v>壹拾亿零伍佰零柒万元整</v>
      </c>
      <c r="G5" s="4341"/>
      <c r="H5" s="4341" t="str">
        <f ca="1">结果表!H119</f>
        <v>贰拾陆亿零叁佰捌拾贰万元整</v>
      </c>
      <c r="I5" s="4341"/>
    </row>
    <row r="6" spans="1:9" ht="15.75">
      <c r="A6" s="4340" t="str">
        <f>结果表!A120</f>
        <v>估价师知悉的法定优先受偿款</v>
      </c>
      <c r="B6" s="4340"/>
      <c r="C6" s="4340"/>
      <c r="D6" s="4340">
        <f>结果表!H120</f>
        <v>0</v>
      </c>
      <c r="E6" s="4340"/>
      <c r="F6" s="4340"/>
      <c r="G6" s="4340"/>
      <c r="H6" s="4340"/>
      <c r="I6" s="4340"/>
    </row>
    <row r="7" spans="1:9" ht="15">
      <c r="A7" s="4341" t="s">
        <v>911</v>
      </c>
      <c r="B7" s="4341"/>
      <c r="C7" s="4341"/>
      <c r="D7" s="4342" t="str">
        <f>结果表!H121</f>
        <v>零元整</v>
      </c>
      <c r="E7" s="4343"/>
      <c r="F7" s="4343"/>
      <c r="G7" s="4343"/>
      <c r="H7" s="4343"/>
      <c r="I7" s="4344"/>
    </row>
    <row r="8" spans="1:9" ht="15.75">
      <c r="A8" s="4340" t="str">
        <f>结果表!A122</f>
        <v>房地产抵押价值</v>
      </c>
      <c r="B8" s="4340"/>
      <c r="C8" s="4340"/>
      <c r="D8" s="4340">
        <f ca="1">结果表!H122</f>
        <v>260382</v>
      </c>
      <c r="E8" s="4340"/>
      <c r="F8" s="4340"/>
      <c r="G8" s="4340"/>
      <c r="H8" s="4340"/>
      <c r="I8" s="4340"/>
    </row>
    <row r="9" spans="1:9" ht="15">
      <c r="A9" s="4341" t="s">
        <v>911</v>
      </c>
      <c r="B9" s="4341"/>
      <c r="C9" s="4341"/>
      <c r="D9" s="4341" t="str">
        <f ca="1">结果表!H123</f>
        <v>贰拾陆亿零叁佰捌拾贰万元整</v>
      </c>
      <c r="E9" s="4341"/>
      <c r="F9" s="4341"/>
      <c r="G9" s="4341"/>
      <c r="H9" s="4341"/>
      <c r="I9" s="4341"/>
    </row>
    <row r="10" spans="1:9" ht="15.75">
      <c r="A10" s="4340" t="str">
        <f>结果表!A124</f>
        <v/>
      </c>
      <c r="B10" s="4340"/>
      <c r="C10" s="4340"/>
      <c r="D10" s="4340" t="str">
        <f>结果表!H124</f>
        <v>——</v>
      </c>
      <c r="E10" s="4340"/>
      <c r="F10" s="4340"/>
      <c r="G10" s="4340"/>
      <c r="H10" s="4340"/>
      <c r="I10" s="4340"/>
    </row>
    <row r="11" spans="1:9" ht="15">
      <c r="A11" s="4341" t="s">
        <v>911</v>
      </c>
      <c r="B11" s="4341"/>
      <c r="C11" s="4341"/>
      <c r="D11" s="4341" t="e">
        <f>结果表!H125</f>
        <v>#VALUE!</v>
      </c>
      <c r="E11" s="4341"/>
      <c r="F11" s="4341"/>
      <c r="G11" s="4341"/>
      <c r="H11" s="4341"/>
      <c r="I11" s="4341"/>
    </row>
    <row r="12" spans="1:9" ht="15.75">
      <c r="A12" s="4340" t="str">
        <f>结果表!A126</f>
        <v/>
      </c>
      <c r="B12" s="4340"/>
      <c r="C12" s="4340"/>
      <c r="D12" s="4340" t="str">
        <f>结果表!H126</f>
        <v>——</v>
      </c>
      <c r="E12" s="4340"/>
      <c r="F12" s="4340"/>
      <c r="G12" s="4340"/>
      <c r="H12" s="4340"/>
      <c r="I12" s="4340"/>
    </row>
    <row r="13" spans="1:9" ht="15.75" thickBot="1">
      <c r="A13" s="4338" t="s">
        <v>911</v>
      </c>
      <c r="B13" s="4338"/>
      <c r="C13" s="4338"/>
      <c r="D13" s="4338" t="e">
        <f>结果表!H127</f>
        <v>#VALUE!</v>
      </c>
      <c r="E13" s="4338"/>
      <c r="F13" s="4338"/>
      <c r="G13" s="4338"/>
      <c r="H13" s="4338"/>
      <c r="I13" s="4338"/>
    </row>
    <row r="14" spans="1:9" ht="15" thickTop="1">
      <c r="A14" s="4339" t="s">
        <v>916</v>
      </c>
      <c r="B14" s="4339"/>
      <c r="C14" s="4339"/>
      <c r="D14" s="4339"/>
      <c r="E14" s="4339"/>
      <c r="F14" s="4339"/>
      <c r="G14" s="4339"/>
      <c r="H14" s="4339"/>
      <c r="I14" s="4339"/>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topLeftCell="M1" zoomScale="80" zoomScaleNormal="80" workbookViewId="0">
      <selection activeCell="Y8" sqref="Y8:Y1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58" t="s">
        <v>446</v>
      </c>
      <c r="C1" s="4758"/>
      <c r="D1" s="4758"/>
      <c r="E1" s="4758"/>
      <c r="F1" s="4758"/>
      <c r="G1" s="4754" t="s">
        <v>447</v>
      </c>
      <c r="H1" s="4754"/>
      <c r="I1" s="4754"/>
      <c r="J1" s="4754"/>
      <c r="K1" s="4754"/>
      <c r="L1" s="4754"/>
      <c r="N1" s="4754" t="s">
        <v>448</v>
      </c>
      <c r="O1" s="4754"/>
      <c r="P1" s="4754"/>
      <c r="Q1" s="4754"/>
      <c r="S1" s="4754" t="s">
        <v>449</v>
      </c>
      <c r="T1" s="4754"/>
      <c r="U1" s="4754"/>
      <c r="V1" s="4754"/>
      <c r="X1" s="4753" t="s">
        <v>450</v>
      </c>
      <c r="Y1" s="4754"/>
      <c r="Z1" s="4754"/>
      <c r="AA1" s="4754"/>
      <c r="AB1" s="4754"/>
      <c r="AD1" s="4753" t="s">
        <v>451</v>
      </c>
      <c r="AE1" s="4754"/>
      <c r="AF1" s="4754"/>
      <c r="AG1" s="4754"/>
      <c r="AH1" s="475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2016</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2017</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2203</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2202</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2201</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2198</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2197</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2032</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2030</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2029</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2028</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2026</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2025</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2027</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56">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2023</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56"/>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2022</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56"/>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2015</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63"/>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2013</v>
      </c>
      <c r="B25" s="1621">
        <v>439</v>
      </c>
      <c r="C25" s="1621">
        <v>327</v>
      </c>
      <c r="D25" s="1621">
        <f>C25</f>
        <v>327</v>
      </c>
      <c r="E25" s="1621">
        <v>627</v>
      </c>
      <c r="F25" s="1622">
        <v>283</v>
      </c>
      <c r="G25" s="4759">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2014</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56"/>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56"/>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63"/>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59">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56"/>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56"/>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57"/>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55">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56"/>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56"/>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57"/>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55">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56"/>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56"/>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57"/>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60">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61"/>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61"/>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62"/>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55">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56"/>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56"/>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57"/>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55">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56">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56">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57">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55">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56">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56">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57">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55">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56">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56">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57">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55">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56">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56">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57">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55">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56">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56">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57">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55">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56">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56">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57">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55">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56">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56">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57">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55">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56">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56">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57">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55">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56">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56">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57">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55">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56">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56">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57">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5DD7B-D027-45D2-B44D-B542C0AF1075}">
  <dimension ref="B1:I876"/>
  <sheetViews>
    <sheetView workbookViewId="0">
      <pane xSplit="3" ySplit="2" topLeftCell="D3" activePane="bottomRight" state="frozen"/>
      <selection activeCell="H17" sqref="H17"/>
      <selection pane="topRight" activeCell="H17" sqref="H17"/>
      <selection pane="bottomLeft" activeCell="H17" sqref="H17"/>
      <selection pane="bottomRight" activeCell="F16" sqref="F16"/>
    </sheetView>
  </sheetViews>
  <sheetFormatPr defaultRowHeight="16.5"/>
  <cols>
    <col min="1" max="2" width="9" style="4283"/>
    <col min="3" max="4" width="26.5" style="4291" customWidth="1"/>
    <col min="5" max="5" width="14.625" style="4299" customWidth="1"/>
    <col min="6" max="7" width="9" style="4283"/>
    <col min="8" max="8" width="9.25" style="4283" bestFit="1" customWidth="1"/>
    <col min="9" max="9" width="15.5" style="4283" bestFit="1" customWidth="1"/>
    <col min="10" max="10" width="10.5" style="4283" bestFit="1" customWidth="1"/>
    <col min="11" max="11" width="11.25" style="4283" customWidth="1"/>
    <col min="12" max="12" width="8" style="4283" bestFit="1" customWidth="1"/>
    <col min="13" max="16384" width="9" style="4283"/>
  </cols>
  <sheetData>
    <row r="1" spans="2:9" ht="21">
      <c r="B1" s="4764" t="s">
        <v>5266</v>
      </c>
      <c r="C1" s="4764"/>
      <c r="D1" s="4764"/>
      <c r="E1" s="4765"/>
    </row>
    <row r="2" spans="2:9" ht="15">
      <c r="B2" s="4294" t="s">
        <v>4651</v>
      </c>
      <c r="C2" s="4294" t="s">
        <v>5267</v>
      </c>
      <c r="D2" s="4294" t="s">
        <v>4652</v>
      </c>
      <c r="E2" s="4295" t="s">
        <v>5268</v>
      </c>
    </row>
    <row r="3" spans="2:9">
      <c r="B3" s="4296" t="s">
        <v>5269</v>
      </c>
      <c r="C3" s="4296" t="s">
        <v>5270</v>
      </c>
      <c r="D3" s="4296" t="s">
        <v>4657</v>
      </c>
      <c r="E3" s="4297">
        <v>487.043024</v>
      </c>
      <c r="G3" s="4298" t="s">
        <v>5271</v>
      </c>
      <c r="H3" s="4298" t="s">
        <v>5272</v>
      </c>
      <c r="I3" s="4302">
        <f>SUM(E3:E876)</f>
        <v>18296.254234000044</v>
      </c>
    </row>
    <row r="4" spans="2:9">
      <c r="B4" s="4296" t="s">
        <v>5273</v>
      </c>
      <c r="C4" s="4296" t="s">
        <v>5274</v>
      </c>
      <c r="D4" s="4296" t="s">
        <v>4664</v>
      </c>
      <c r="E4" s="4297">
        <v>373.91730999999999</v>
      </c>
    </row>
    <row r="5" spans="2:9">
      <c r="B5" s="4296" t="s">
        <v>5276</v>
      </c>
      <c r="C5" s="4296" t="s">
        <v>5277</v>
      </c>
      <c r="D5" s="4296" t="s">
        <v>4657</v>
      </c>
      <c r="E5" s="4297">
        <v>355.84208800000005</v>
      </c>
    </row>
    <row r="6" spans="2:9">
      <c r="B6" s="4296" t="s">
        <v>5279</v>
      </c>
      <c r="C6" s="4296" t="s">
        <v>5280</v>
      </c>
      <c r="D6" s="4296" t="s">
        <v>4674</v>
      </c>
      <c r="E6" s="4297">
        <v>255.06431999999998</v>
      </c>
    </row>
    <row r="7" spans="2:9">
      <c r="B7" s="4296" t="s">
        <v>5281</v>
      </c>
      <c r="C7" s="4296" t="s">
        <v>5282</v>
      </c>
      <c r="D7" s="4296" t="s">
        <v>4674</v>
      </c>
      <c r="E7" s="4297">
        <v>212.46363600000004</v>
      </c>
    </row>
    <row r="8" spans="2:9">
      <c r="B8" s="4296" t="s">
        <v>5283</v>
      </c>
      <c r="C8" s="4296" t="s">
        <v>5284</v>
      </c>
      <c r="D8" s="4296" t="s">
        <v>4674</v>
      </c>
      <c r="E8" s="4297">
        <v>203.93017600000005</v>
      </c>
    </row>
    <row r="9" spans="2:9">
      <c r="B9" s="4296" t="s">
        <v>5285</v>
      </c>
      <c r="C9" s="4296" t="s">
        <v>5286</v>
      </c>
      <c r="D9" s="4296" t="s">
        <v>4674</v>
      </c>
      <c r="E9" s="4297">
        <v>182.29819300000003</v>
      </c>
    </row>
    <row r="10" spans="2:9">
      <c r="B10" s="4296" t="s">
        <v>5287</v>
      </c>
      <c r="C10" s="4296" t="s">
        <v>5288</v>
      </c>
      <c r="D10" s="4296" t="s">
        <v>4674</v>
      </c>
      <c r="E10" s="4297">
        <v>177.92563999999996</v>
      </c>
    </row>
    <row r="11" spans="2:9">
      <c r="B11" s="4296" t="s">
        <v>5289</v>
      </c>
      <c r="C11" s="4296" t="s">
        <v>5290</v>
      </c>
      <c r="D11" s="4296" t="s">
        <v>4664</v>
      </c>
      <c r="E11" s="4297">
        <v>168.12508</v>
      </c>
    </row>
    <row r="12" spans="2:9">
      <c r="B12" s="4296" t="s">
        <v>5291</v>
      </c>
      <c r="C12" s="4296" t="s">
        <v>5292</v>
      </c>
      <c r="D12" s="4296" t="s">
        <v>4664</v>
      </c>
      <c r="E12" s="4297">
        <v>134.915064</v>
      </c>
    </row>
    <row r="13" spans="2:9">
      <c r="B13" s="4296" t="s">
        <v>5293</v>
      </c>
      <c r="C13" s="4296" t="s">
        <v>5294</v>
      </c>
      <c r="D13" s="4296" t="s">
        <v>4674</v>
      </c>
      <c r="E13" s="4297">
        <v>134.51849999999999</v>
      </c>
    </row>
    <row r="14" spans="2:9">
      <c r="B14" s="4296" t="s">
        <v>5295</v>
      </c>
      <c r="C14" s="4296" t="s">
        <v>5296</v>
      </c>
      <c r="D14" s="4296" t="s">
        <v>4674</v>
      </c>
      <c r="E14" s="4297">
        <v>132.16644200000002</v>
      </c>
    </row>
    <row r="15" spans="2:9">
      <c r="B15" s="4296" t="s">
        <v>5297</v>
      </c>
      <c r="C15" s="4296" t="s">
        <v>5298</v>
      </c>
      <c r="D15" s="4296" t="s">
        <v>4674</v>
      </c>
      <c r="E15" s="4297">
        <v>129.48896800000009</v>
      </c>
    </row>
    <row r="16" spans="2:9">
      <c r="B16" s="4296" t="s">
        <v>5299</v>
      </c>
      <c r="C16" s="4296" t="s">
        <v>5300</v>
      </c>
      <c r="D16" s="4296" t="s">
        <v>4674</v>
      </c>
      <c r="E16" s="4297">
        <v>128.36189500000003</v>
      </c>
    </row>
    <row r="17" spans="2:5">
      <c r="B17" s="4296" t="s">
        <v>5301</v>
      </c>
      <c r="C17" s="4296" t="s">
        <v>5302</v>
      </c>
      <c r="D17" s="4296" t="s">
        <v>4674</v>
      </c>
      <c r="E17" s="4297">
        <v>124.18254100000001</v>
      </c>
    </row>
    <row r="18" spans="2:5">
      <c r="B18" s="4296" t="s">
        <v>5303</v>
      </c>
      <c r="C18" s="4296" t="s">
        <v>5304</v>
      </c>
      <c r="D18" s="4296" t="s">
        <v>4674</v>
      </c>
      <c r="E18" s="4297">
        <v>123.77743400000006</v>
      </c>
    </row>
    <row r="19" spans="2:5">
      <c r="B19" s="4296" t="s">
        <v>5305</v>
      </c>
      <c r="C19" s="4296" t="s">
        <v>5306</v>
      </c>
      <c r="D19" s="4296" t="s">
        <v>4674</v>
      </c>
      <c r="E19" s="4297">
        <v>123.52042900000001</v>
      </c>
    </row>
    <row r="20" spans="2:5">
      <c r="B20" s="4296" t="s">
        <v>5307</v>
      </c>
      <c r="C20" s="4296" t="s">
        <v>5308</v>
      </c>
      <c r="D20" s="4296" t="s">
        <v>4674</v>
      </c>
      <c r="E20" s="4297">
        <v>122.13267900000001</v>
      </c>
    </row>
    <row r="21" spans="2:5">
      <c r="B21" s="4296" t="s">
        <v>5309</v>
      </c>
      <c r="C21" s="4296" t="s">
        <v>5310</v>
      </c>
      <c r="D21" s="4296" t="s">
        <v>4674</v>
      </c>
      <c r="E21" s="4297">
        <v>116.84624899999997</v>
      </c>
    </row>
    <row r="22" spans="2:5">
      <c r="B22" s="4296" t="s">
        <v>5311</v>
      </c>
      <c r="C22" s="4296" t="s">
        <v>5312</v>
      </c>
      <c r="D22" s="4296" t="s">
        <v>4674</v>
      </c>
      <c r="E22" s="4297">
        <v>114.91370100000002</v>
      </c>
    </row>
    <row r="23" spans="2:5">
      <c r="B23" s="4296" t="s">
        <v>5313</v>
      </c>
      <c r="C23" s="4296" t="s">
        <v>5314</v>
      </c>
      <c r="D23" s="4296" t="s">
        <v>4674</v>
      </c>
      <c r="E23" s="4297">
        <v>114.62269600000005</v>
      </c>
    </row>
    <row r="24" spans="2:5">
      <c r="B24" s="4296" t="s">
        <v>5315</v>
      </c>
      <c r="C24" s="4296" t="s">
        <v>5316</v>
      </c>
      <c r="D24" s="4296" t="s">
        <v>4674</v>
      </c>
      <c r="E24" s="4297">
        <v>114.46126400000001</v>
      </c>
    </row>
    <row r="25" spans="2:5">
      <c r="B25" s="4296" t="s">
        <v>5317</v>
      </c>
      <c r="C25" s="4296" t="s">
        <v>5318</v>
      </c>
      <c r="D25" s="4296" t="s">
        <v>4674</v>
      </c>
      <c r="E25" s="4297">
        <v>114.03743999999999</v>
      </c>
    </row>
    <row r="26" spans="2:5">
      <c r="B26" s="4296" t="s">
        <v>5319</v>
      </c>
      <c r="C26" s="4296" t="s">
        <v>5320</v>
      </c>
      <c r="D26" s="4296" t="s">
        <v>4674</v>
      </c>
      <c r="E26" s="4297">
        <v>113.02672400000004</v>
      </c>
    </row>
    <row r="27" spans="2:5">
      <c r="B27" s="4296" t="s">
        <v>5321</v>
      </c>
      <c r="C27" s="4296" t="s">
        <v>5322</v>
      </c>
      <c r="D27" s="4296" t="s">
        <v>4674</v>
      </c>
      <c r="E27" s="4297">
        <v>112.96987</v>
      </c>
    </row>
    <row r="28" spans="2:5">
      <c r="B28" s="4296" t="s">
        <v>5323</v>
      </c>
      <c r="C28" s="4296" t="s">
        <v>5324</v>
      </c>
      <c r="D28" s="4296" t="s">
        <v>4674</v>
      </c>
      <c r="E28" s="4297">
        <v>111.762368</v>
      </c>
    </row>
    <row r="29" spans="2:5">
      <c r="B29" s="4296" t="s">
        <v>5325</v>
      </c>
      <c r="C29" s="4296" t="s">
        <v>5326</v>
      </c>
      <c r="D29" s="4296" t="s">
        <v>4674</v>
      </c>
      <c r="E29" s="4297">
        <v>110.88513799999998</v>
      </c>
    </row>
    <row r="30" spans="2:5">
      <c r="B30" s="4296" t="s">
        <v>5327</v>
      </c>
      <c r="C30" s="4296" t="s">
        <v>5328</v>
      </c>
      <c r="D30" s="4296" t="s">
        <v>4674</v>
      </c>
      <c r="E30" s="4297">
        <v>109.41408</v>
      </c>
    </row>
    <row r="31" spans="2:5">
      <c r="B31" s="4296" t="s">
        <v>5329</v>
      </c>
      <c r="C31" s="4296" t="s">
        <v>5330</v>
      </c>
      <c r="D31" s="4296" t="s">
        <v>4674</v>
      </c>
      <c r="E31" s="4297">
        <v>107.65662399999999</v>
      </c>
    </row>
    <row r="32" spans="2:5">
      <c r="B32" s="4296" t="s">
        <v>5331</v>
      </c>
      <c r="C32" s="4296" t="s">
        <v>5332</v>
      </c>
      <c r="D32" s="4296" t="s">
        <v>4674</v>
      </c>
      <c r="E32" s="4297">
        <v>107.47659999999995</v>
      </c>
    </row>
    <row r="33" spans="2:5">
      <c r="B33" s="4296" t="s">
        <v>5333</v>
      </c>
      <c r="C33" s="4296" t="s">
        <v>5334</v>
      </c>
      <c r="D33" s="4296" t="s">
        <v>4674</v>
      </c>
      <c r="E33" s="4297">
        <v>106.05830099999997</v>
      </c>
    </row>
    <row r="34" spans="2:5">
      <c r="B34" s="4296" t="s">
        <v>5335</v>
      </c>
      <c r="C34" s="4296" t="s">
        <v>5336</v>
      </c>
      <c r="D34" s="4296" t="s">
        <v>4674</v>
      </c>
      <c r="E34" s="4297">
        <v>105.71203800000001</v>
      </c>
    </row>
    <row r="35" spans="2:5">
      <c r="B35" s="4296" t="s">
        <v>5337</v>
      </c>
      <c r="C35" s="4296" t="s">
        <v>5338</v>
      </c>
      <c r="D35" s="4296" t="s">
        <v>4674</v>
      </c>
      <c r="E35" s="4297">
        <v>105.49944000000004</v>
      </c>
    </row>
    <row r="36" spans="2:5">
      <c r="B36" s="4296" t="s">
        <v>5339</v>
      </c>
      <c r="C36" s="4296" t="s">
        <v>5340</v>
      </c>
      <c r="D36" s="4296" t="s">
        <v>4674</v>
      </c>
      <c r="E36" s="4297">
        <v>104.93388599999999</v>
      </c>
    </row>
    <row r="37" spans="2:5">
      <c r="B37" s="4296" t="s">
        <v>4008</v>
      </c>
      <c r="C37" s="4296" t="s">
        <v>5341</v>
      </c>
      <c r="D37" s="4296" t="s">
        <v>4674</v>
      </c>
      <c r="E37" s="4297">
        <v>101.733947</v>
      </c>
    </row>
    <row r="38" spans="2:5">
      <c r="B38" s="4296" t="s">
        <v>5342</v>
      </c>
      <c r="C38" s="4296" t="s">
        <v>5343</v>
      </c>
      <c r="D38" s="4296" t="s">
        <v>4674</v>
      </c>
      <c r="E38" s="4297">
        <v>100.31701499999998</v>
      </c>
    </row>
    <row r="39" spans="2:5">
      <c r="B39" s="4296" t="s">
        <v>5344</v>
      </c>
      <c r="C39" s="4296" t="s">
        <v>5345</v>
      </c>
      <c r="D39" s="4296" t="s">
        <v>4674</v>
      </c>
      <c r="E39" s="4297">
        <v>99.223442999999989</v>
      </c>
    </row>
    <row r="40" spans="2:5">
      <c r="B40" s="4296" t="s">
        <v>5346</v>
      </c>
      <c r="C40" s="4296" t="s">
        <v>5347</v>
      </c>
      <c r="D40" s="4296" t="s">
        <v>4674</v>
      </c>
      <c r="E40" s="4297">
        <v>98.364308000000008</v>
      </c>
    </row>
    <row r="41" spans="2:5">
      <c r="B41" s="4296" t="s">
        <v>5348</v>
      </c>
      <c r="C41" s="4296" t="s">
        <v>5349</v>
      </c>
      <c r="D41" s="4296" t="s">
        <v>4674</v>
      </c>
      <c r="E41" s="4297">
        <v>97.480560000000025</v>
      </c>
    </row>
    <row r="42" spans="2:5">
      <c r="B42" s="4296" t="s">
        <v>5350</v>
      </c>
      <c r="C42" s="4296" t="s">
        <v>5351</v>
      </c>
      <c r="D42" s="4296" t="s">
        <v>4674</v>
      </c>
      <c r="E42" s="4297">
        <v>96.668594999999982</v>
      </c>
    </row>
    <row r="43" spans="2:5">
      <c r="B43" s="4296" t="s">
        <v>5352</v>
      </c>
      <c r="C43" s="4296" t="s">
        <v>5353</v>
      </c>
      <c r="D43" s="4296" t="s">
        <v>4674</v>
      </c>
      <c r="E43" s="4297">
        <v>96.575040000000016</v>
      </c>
    </row>
    <row r="44" spans="2:5">
      <c r="B44" s="4296" t="s">
        <v>4000</v>
      </c>
      <c r="C44" s="4296" t="s">
        <v>5354</v>
      </c>
      <c r="D44" s="4296" t="s">
        <v>4674</v>
      </c>
      <c r="E44" s="4297">
        <v>95.145536999999962</v>
      </c>
    </row>
    <row r="45" spans="2:5">
      <c r="B45" s="4296" t="s">
        <v>5355</v>
      </c>
      <c r="C45" s="4296" t="s">
        <v>5356</v>
      </c>
      <c r="D45" s="4296" t="s">
        <v>4674</v>
      </c>
      <c r="E45" s="4297">
        <v>94.743071999999984</v>
      </c>
    </row>
    <row r="46" spans="2:5">
      <c r="B46" s="4296" t="s">
        <v>5357</v>
      </c>
      <c r="C46" s="4296" t="s">
        <v>5358</v>
      </c>
      <c r="D46" s="4296" t="s">
        <v>4674</v>
      </c>
      <c r="E46" s="4297">
        <v>92.158658000000031</v>
      </c>
    </row>
    <row r="47" spans="2:5">
      <c r="B47" s="4296" t="s">
        <v>3997</v>
      </c>
      <c r="C47" s="4296" t="s">
        <v>5359</v>
      </c>
      <c r="D47" s="4296" t="s">
        <v>4674</v>
      </c>
      <c r="E47" s="4297">
        <v>90.301500000000004</v>
      </c>
    </row>
    <row r="48" spans="2:5">
      <c r="B48" s="4296" t="s">
        <v>5360</v>
      </c>
      <c r="C48" s="4296" t="s">
        <v>5361</v>
      </c>
      <c r="D48" s="4296" t="s">
        <v>4674</v>
      </c>
      <c r="E48" s="4297">
        <v>90.274955999999989</v>
      </c>
    </row>
    <row r="49" spans="2:5">
      <c r="B49" s="4296" t="s">
        <v>5362</v>
      </c>
      <c r="C49" s="4296" t="s">
        <v>5363</v>
      </c>
      <c r="D49" s="4296" t="s">
        <v>4674</v>
      </c>
      <c r="E49" s="4297">
        <v>89.121571000000003</v>
      </c>
    </row>
    <row r="50" spans="2:5">
      <c r="B50" s="4296" t="s">
        <v>5364</v>
      </c>
      <c r="C50" s="4296" t="s">
        <v>5365</v>
      </c>
      <c r="D50" s="4296" t="s">
        <v>4674</v>
      </c>
      <c r="E50" s="4297">
        <v>86.933945000000008</v>
      </c>
    </row>
    <row r="51" spans="2:5">
      <c r="B51" s="4296" t="s">
        <v>5366</v>
      </c>
      <c r="C51" s="4296" t="s">
        <v>5367</v>
      </c>
      <c r="D51" s="4296" t="s">
        <v>4674</v>
      </c>
      <c r="E51" s="4297">
        <v>85.808872999999991</v>
      </c>
    </row>
    <row r="52" spans="2:5">
      <c r="B52" s="4296" t="s">
        <v>5368</v>
      </c>
      <c r="C52" s="4296" t="s">
        <v>5369</v>
      </c>
      <c r="D52" s="4296" t="s">
        <v>4674</v>
      </c>
      <c r="E52" s="4297">
        <v>85.395110000000003</v>
      </c>
    </row>
    <row r="53" spans="2:5">
      <c r="B53" s="4296" t="s">
        <v>5370</v>
      </c>
      <c r="C53" s="4296" t="s">
        <v>5371</v>
      </c>
      <c r="D53" s="4296" t="s">
        <v>4674</v>
      </c>
      <c r="E53" s="4297">
        <v>84.263793000000035</v>
      </c>
    </row>
    <row r="54" spans="2:5">
      <c r="B54" s="4296" t="s">
        <v>5372</v>
      </c>
      <c r="C54" s="4296" t="s">
        <v>5373</v>
      </c>
      <c r="D54" s="4296" t="s">
        <v>4674</v>
      </c>
      <c r="E54" s="4297">
        <v>84.078010999999975</v>
      </c>
    </row>
    <row r="55" spans="2:5">
      <c r="B55" s="4296" t="s">
        <v>5374</v>
      </c>
      <c r="C55" s="4296" t="s">
        <v>5375</v>
      </c>
      <c r="D55" s="4296" t="s">
        <v>4674</v>
      </c>
      <c r="E55" s="4297">
        <v>83.775276000000005</v>
      </c>
    </row>
    <row r="56" spans="2:5">
      <c r="B56" s="4296" t="s">
        <v>5376</v>
      </c>
      <c r="C56" s="4296" t="s">
        <v>5377</v>
      </c>
      <c r="D56" s="4296" t="s">
        <v>4674</v>
      </c>
      <c r="E56" s="4297">
        <v>82.893082000000007</v>
      </c>
    </row>
    <row r="57" spans="2:5">
      <c r="B57" s="4296" t="s">
        <v>5378</v>
      </c>
      <c r="C57" s="4296" t="s">
        <v>5379</v>
      </c>
      <c r="D57" s="4296" t="s">
        <v>4674</v>
      </c>
      <c r="E57" s="4297">
        <v>82.410659999999993</v>
      </c>
    </row>
    <row r="58" spans="2:5">
      <c r="B58" s="4296" t="s">
        <v>5380</v>
      </c>
      <c r="C58" s="4296" t="s">
        <v>5381</v>
      </c>
      <c r="D58" s="4296" t="s">
        <v>4674</v>
      </c>
      <c r="E58" s="4297">
        <v>78.765225000000029</v>
      </c>
    </row>
    <row r="59" spans="2:5">
      <c r="B59" s="4296" t="s">
        <v>5382</v>
      </c>
      <c r="C59" s="4296" t="s">
        <v>5383</v>
      </c>
      <c r="D59" s="4296" t="s">
        <v>4674</v>
      </c>
      <c r="E59" s="4297">
        <v>78.098809999999958</v>
      </c>
    </row>
    <row r="60" spans="2:5">
      <c r="B60" s="4296" t="s">
        <v>5384</v>
      </c>
      <c r="C60" s="4296" t="s">
        <v>5385</v>
      </c>
      <c r="D60" s="4296" t="s">
        <v>4674</v>
      </c>
      <c r="E60" s="4297">
        <v>76.554400000000001</v>
      </c>
    </row>
    <row r="61" spans="2:5">
      <c r="B61" s="4296" t="s">
        <v>5386</v>
      </c>
      <c r="C61" s="4296" t="s">
        <v>5387</v>
      </c>
      <c r="D61" s="4296" t="s">
        <v>4674</v>
      </c>
      <c r="E61" s="4297">
        <v>76.179655000000011</v>
      </c>
    </row>
    <row r="62" spans="2:5">
      <c r="B62" s="4296" t="s">
        <v>5388</v>
      </c>
      <c r="C62" s="4296" t="s">
        <v>5389</v>
      </c>
      <c r="D62" s="4296" t="s">
        <v>4674</v>
      </c>
      <c r="E62" s="4297">
        <v>75.728639999999984</v>
      </c>
    </row>
    <row r="63" spans="2:5">
      <c r="B63" s="4296" t="s">
        <v>5390</v>
      </c>
      <c r="C63" s="4296" t="s">
        <v>5391</v>
      </c>
      <c r="D63" s="4296" t="s">
        <v>4674</v>
      </c>
      <c r="E63" s="4297">
        <v>75.437741000000017</v>
      </c>
    </row>
    <row r="64" spans="2:5">
      <c r="B64" s="4296" t="s">
        <v>5392</v>
      </c>
      <c r="C64" s="4296" t="s">
        <v>5393</v>
      </c>
      <c r="D64" s="4296" t="s">
        <v>4674</v>
      </c>
      <c r="E64" s="4297">
        <v>74.783924999999996</v>
      </c>
    </row>
    <row r="65" spans="2:5">
      <c r="B65" s="4296" t="s">
        <v>5394</v>
      </c>
      <c r="C65" s="4296" t="s">
        <v>5395</v>
      </c>
      <c r="D65" s="4296" t="s">
        <v>4674</v>
      </c>
      <c r="E65" s="4297">
        <v>73.985129999999998</v>
      </c>
    </row>
    <row r="66" spans="2:5">
      <c r="B66" s="4296" t="s">
        <v>5396</v>
      </c>
      <c r="C66" s="4296" t="s">
        <v>5397</v>
      </c>
      <c r="D66" s="4296" t="s">
        <v>4674</v>
      </c>
      <c r="E66" s="4297">
        <v>73.937190999999999</v>
      </c>
    </row>
    <row r="67" spans="2:5">
      <c r="B67" s="4296" t="s">
        <v>5398</v>
      </c>
      <c r="C67" s="4296" t="s">
        <v>5399</v>
      </c>
      <c r="D67" s="4296" t="s">
        <v>4674</v>
      </c>
      <c r="E67" s="4297">
        <v>69.810888000000006</v>
      </c>
    </row>
    <row r="68" spans="2:5">
      <c r="B68" s="4296" t="s">
        <v>5400</v>
      </c>
      <c r="C68" s="4296" t="s">
        <v>5401</v>
      </c>
      <c r="D68" s="4296" t="s">
        <v>4674</v>
      </c>
      <c r="E68" s="4297">
        <v>69.754126999999997</v>
      </c>
    </row>
    <row r="69" spans="2:5">
      <c r="B69" s="4296" t="s">
        <v>5402</v>
      </c>
      <c r="C69" s="4296" t="s">
        <v>5403</v>
      </c>
      <c r="D69" s="4296" t="s">
        <v>4674</v>
      </c>
      <c r="E69" s="4297">
        <v>69.616209999999995</v>
      </c>
    </row>
    <row r="70" spans="2:5">
      <c r="B70" s="4296" t="s">
        <v>5404</v>
      </c>
      <c r="C70" s="4296" t="s">
        <v>5405</v>
      </c>
      <c r="D70" s="4296" t="s">
        <v>4674</v>
      </c>
      <c r="E70" s="4297">
        <v>68.978490000000008</v>
      </c>
    </row>
    <row r="71" spans="2:5">
      <c r="B71" s="4296" t="s">
        <v>5406</v>
      </c>
      <c r="C71" s="4296" t="s">
        <v>5407</v>
      </c>
      <c r="D71" s="4296" t="s">
        <v>4674</v>
      </c>
      <c r="E71" s="4297">
        <v>68.807236000000003</v>
      </c>
    </row>
    <row r="72" spans="2:5">
      <c r="B72" s="4296" t="s">
        <v>5408</v>
      </c>
      <c r="C72" s="4296" t="s">
        <v>5409</v>
      </c>
      <c r="D72" s="4296" t="s">
        <v>4674</v>
      </c>
      <c r="E72" s="4297">
        <v>68.67920500000001</v>
      </c>
    </row>
    <row r="73" spans="2:5">
      <c r="B73" s="4296" t="s">
        <v>5410</v>
      </c>
      <c r="C73" s="4296" t="s">
        <v>5411</v>
      </c>
      <c r="D73" s="4296" t="s">
        <v>4674</v>
      </c>
      <c r="E73" s="4297">
        <v>68.634812999999994</v>
      </c>
    </row>
    <row r="74" spans="2:5">
      <c r="B74" s="4296" t="s">
        <v>5412</v>
      </c>
      <c r="C74" s="4296" t="s">
        <v>5413</v>
      </c>
      <c r="D74" s="4296" t="s">
        <v>4674</v>
      </c>
      <c r="E74" s="4297">
        <v>67.724788000000018</v>
      </c>
    </row>
    <row r="75" spans="2:5">
      <c r="B75" s="4296" t="s">
        <v>5414</v>
      </c>
      <c r="C75" s="4296" t="s">
        <v>5415</v>
      </c>
      <c r="D75" s="4296" t="s">
        <v>4674</v>
      </c>
      <c r="E75" s="4297">
        <v>67.450792000000007</v>
      </c>
    </row>
    <row r="76" spans="2:5">
      <c r="B76" s="4296" t="s">
        <v>5416</v>
      </c>
      <c r="C76" s="4296" t="s">
        <v>5417</v>
      </c>
      <c r="D76" s="4296" t="s">
        <v>4674</v>
      </c>
      <c r="E76" s="4297">
        <v>67.345976000000022</v>
      </c>
    </row>
    <row r="77" spans="2:5">
      <c r="B77" s="4296" t="s">
        <v>5418</v>
      </c>
      <c r="C77" s="4296" t="s">
        <v>5419</v>
      </c>
      <c r="D77" s="4296" t="s">
        <v>4674</v>
      </c>
      <c r="E77" s="4297">
        <v>66.730262999999994</v>
      </c>
    </row>
    <row r="78" spans="2:5">
      <c r="B78" s="4296" t="s">
        <v>5420</v>
      </c>
      <c r="C78" s="4296" t="s">
        <v>5421</v>
      </c>
      <c r="D78" s="4296" t="s">
        <v>4674</v>
      </c>
      <c r="E78" s="4297">
        <v>65.079148000000004</v>
      </c>
    </row>
    <row r="79" spans="2:5">
      <c r="B79" s="4296" t="s">
        <v>5422</v>
      </c>
      <c r="C79" s="4296" t="s">
        <v>5423</v>
      </c>
      <c r="D79" s="4296" t="s">
        <v>4674</v>
      </c>
      <c r="E79" s="4297">
        <v>64.280350000000013</v>
      </c>
    </row>
    <row r="80" spans="2:5">
      <c r="B80" s="4296" t="s">
        <v>5424</v>
      </c>
      <c r="C80" s="4296" t="s">
        <v>5425</v>
      </c>
      <c r="D80" s="4296" t="s">
        <v>4674</v>
      </c>
      <c r="E80" s="4297">
        <v>63.979189000000034</v>
      </c>
    </row>
    <row r="81" spans="2:5">
      <c r="B81" s="4296" t="s">
        <v>5426</v>
      </c>
      <c r="C81" s="4296" t="s">
        <v>5427</v>
      </c>
      <c r="D81" s="4296" t="s">
        <v>4674</v>
      </c>
      <c r="E81" s="4297">
        <v>63.397535000000012</v>
      </c>
    </row>
    <row r="82" spans="2:5">
      <c r="B82" s="4296" t="s">
        <v>5428</v>
      </c>
      <c r="C82" s="4296" t="s">
        <v>5429</v>
      </c>
      <c r="D82" s="4296" t="s">
        <v>4674</v>
      </c>
      <c r="E82" s="4297">
        <v>62.431392000000017</v>
      </c>
    </row>
    <row r="83" spans="2:5">
      <c r="B83" s="4296" t="s">
        <v>5430</v>
      </c>
      <c r="C83" s="4296" t="s">
        <v>5431</v>
      </c>
      <c r="D83" s="4296" t="s">
        <v>4674</v>
      </c>
      <c r="E83" s="4297">
        <v>62.287999999999997</v>
      </c>
    </row>
    <row r="84" spans="2:5">
      <c r="B84" s="4296" t="s">
        <v>5432</v>
      </c>
      <c r="C84" s="4296" t="s">
        <v>5433</v>
      </c>
      <c r="D84" s="4296" t="s">
        <v>4674</v>
      </c>
      <c r="E84" s="4297">
        <v>61.587339</v>
      </c>
    </row>
    <row r="85" spans="2:5">
      <c r="B85" s="4296" t="s">
        <v>5434</v>
      </c>
      <c r="C85" s="4296" t="s">
        <v>5435</v>
      </c>
      <c r="D85" s="4296" t="s">
        <v>4674</v>
      </c>
      <c r="E85" s="4297">
        <v>61.426900999999987</v>
      </c>
    </row>
    <row r="86" spans="2:5">
      <c r="B86" s="4296" t="s">
        <v>5436</v>
      </c>
      <c r="C86" s="4296" t="s">
        <v>5437</v>
      </c>
      <c r="D86" s="4296" t="s">
        <v>4674</v>
      </c>
      <c r="E86" s="4297">
        <v>59.740713</v>
      </c>
    </row>
    <row r="87" spans="2:5">
      <c r="B87" s="4296" t="s">
        <v>5438</v>
      </c>
      <c r="C87" s="4296" t="s">
        <v>5439</v>
      </c>
      <c r="D87" s="4296" t="s">
        <v>4674</v>
      </c>
      <c r="E87" s="4297">
        <v>59.579871999999988</v>
      </c>
    </row>
    <row r="88" spans="2:5">
      <c r="B88" s="4296" t="s">
        <v>5440</v>
      </c>
      <c r="C88" s="4296" t="s">
        <v>5441</v>
      </c>
      <c r="D88" s="4296" t="s">
        <v>4674</v>
      </c>
      <c r="E88" s="4297">
        <v>59.471267999999995</v>
      </c>
    </row>
    <row r="89" spans="2:5">
      <c r="B89" s="4296" t="s">
        <v>5442</v>
      </c>
      <c r="C89" s="4296" t="s">
        <v>5443</v>
      </c>
      <c r="D89" s="4296" t="s">
        <v>4674</v>
      </c>
      <c r="E89" s="4297">
        <v>59.428803999999978</v>
      </c>
    </row>
    <row r="90" spans="2:5">
      <c r="B90" s="4296" t="s">
        <v>5444</v>
      </c>
      <c r="C90" s="4296" t="s">
        <v>5445</v>
      </c>
      <c r="D90" s="4296" t="s">
        <v>4674</v>
      </c>
      <c r="E90" s="4297">
        <v>59.016599999999997</v>
      </c>
    </row>
    <row r="91" spans="2:5">
      <c r="B91" s="4296" t="s">
        <v>5446</v>
      </c>
      <c r="C91" s="4296" t="s">
        <v>5447</v>
      </c>
      <c r="D91" s="4296" t="s">
        <v>4674</v>
      </c>
      <c r="E91" s="4297">
        <v>58.456307999999993</v>
      </c>
    </row>
    <row r="92" spans="2:5">
      <c r="B92" s="4296" t="s">
        <v>5448</v>
      </c>
      <c r="C92" s="4296" t="s">
        <v>5449</v>
      </c>
      <c r="D92" s="4296" t="s">
        <v>4674</v>
      </c>
      <c r="E92" s="4297">
        <v>58.028216</v>
      </c>
    </row>
    <row r="93" spans="2:5">
      <c r="B93" s="4296" t="s">
        <v>5450</v>
      </c>
      <c r="C93" s="4296" t="s">
        <v>5451</v>
      </c>
      <c r="D93" s="4296" t="s">
        <v>4674</v>
      </c>
      <c r="E93" s="4297">
        <v>57.679200000000002</v>
      </c>
    </row>
    <row r="94" spans="2:5">
      <c r="B94" s="4296" t="s">
        <v>5452</v>
      </c>
      <c r="C94" s="4296" t="s">
        <v>5453</v>
      </c>
      <c r="D94" s="4296" t="s">
        <v>4674</v>
      </c>
      <c r="E94" s="4297">
        <v>56.831775999999991</v>
      </c>
    </row>
    <row r="95" spans="2:5">
      <c r="B95" s="4296" t="s">
        <v>5454</v>
      </c>
      <c r="C95" s="4296" t="s">
        <v>5455</v>
      </c>
      <c r="D95" s="4296" t="s">
        <v>4674</v>
      </c>
      <c r="E95" s="4297">
        <v>56.779922999999997</v>
      </c>
    </row>
    <row r="96" spans="2:5">
      <c r="B96" s="4296" t="s">
        <v>5456</v>
      </c>
      <c r="C96" s="4296" t="s">
        <v>5457</v>
      </c>
      <c r="D96" s="4296" t="s">
        <v>4674</v>
      </c>
      <c r="E96" s="4297">
        <v>55.688354000000004</v>
      </c>
    </row>
    <row r="97" spans="2:5">
      <c r="B97" s="4296" t="s">
        <v>5458</v>
      </c>
      <c r="C97" s="4296" t="s">
        <v>5459</v>
      </c>
      <c r="D97" s="4296" t="s">
        <v>4674</v>
      </c>
      <c r="E97" s="4297">
        <v>55.372196000000017</v>
      </c>
    </row>
    <row r="98" spans="2:5">
      <c r="B98" s="4296" t="s">
        <v>5460</v>
      </c>
      <c r="C98" s="4296" t="s">
        <v>5461</v>
      </c>
      <c r="D98" s="4296" t="s">
        <v>4674</v>
      </c>
      <c r="E98" s="4297">
        <v>54.776253000000011</v>
      </c>
    </row>
    <row r="99" spans="2:5">
      <c r="B99" s="4296" t="s">
        <v>5462</v>
      </c>
      <c r="C99" s="4296" t="s">
        <v>5463</v>
      </c>
      <c r="D99" s="4296" t="s">
        <v>4674</v>
      </c>
      <c r="E99" s="4297">
        <v>54.577562000000015</v>
      </c>
    </row>
    <row r="100" spans="2:5">
      <c r="B100" s="4296" t="s">
        <v>5464</v>
      </c>
      <c r="C100" s="4296" t="s">
        <v>5465</v>
      </c>
      <c r="D100" s="4296" t="s">
        <v>4674</v>
      </c>
      <c r="E100" s="4297">
        <v>53.630095999999995</v>
      </c>
    </row>
    <row r="101" spans="2:5">
      <c r="B101" s="4296" t="s">
        <v>5466</v>
      </c>
      <c r="C101" s="4296" t="s">
        <v>5467</v>
      </c>
      <c r="D101" s="4296" t="s">
        <v>4674</v>
      </c>
      <c r="E101" s="4297">
        <v>53.281335999999989</v>
      </c>
    </row>
    <row r="102" spans="2:5">
      <c r="B102" s="4296" t="s">
        <v>5468</v>
      </c>
      <c r="C102" s="4296" t="s">
        <v>5469</v>
      </c>
      <c r="D102" s="4296" t="s">
        <v>4674</v>
      </c>
      <c r="E102" s="4297">
        <v>53.004352000000011</v>
      </c>
    </row>
    <row r="103" spans="2:5">
      <c r="B103" s="4296" t="s">
        <v>5470</v>
      </c>
      <c r="C103" s="4296" t="s">
        <v>5471</v>
      </c>
      <c r="D103" s="4296" t="s">
        <v>4674</v>
      </c>
      <c r="E103" s="4297">
        <v>52.567967000000017</v>
      </c>
    </row>
    <row r="104" spans="2:5">
      <c r="B104" s="4296" t="s">
        <v>5472</v>
      </c>
      <c r="C104" s="4296" t="s">
        <v>5473</v>
      </c>
      <c r="D104" s="4296" t="s">
        <v>4674</v>
      </c>
      <c r="E104" s="4297">
        <v>51.510105000000031</v>
      </c>
    </row>
    <row r="105" spans="2:5">
      <c r="B105" s="4296" t="s">
        <v>5474</v>
      </c>
      <c r="C105" s="4296" t="s">
        <v>5475</v>
      </c>
      <c r="D105" s="4296" t="s">
        <v>4674</v>
      </c>
      <c r="E105" s="4297">
        <v>51.124499999999998</v>
      </c>
    </row>
    <row r="106" spans="2:5">
      <c r="B106" s="4296" t="s">
        <v>5476</v>
      </c>
      <c r="C106" s="4296" t="s">
        <v>5477</v>
      </c>
      <c r="D106" s="4296" t="s">
        <v>4674</v>
      </c>
      <c r="E106" s="4297">
        <v>50.998979999999996</v>
      </c>
    </row>
    <row r="107" spans="2:5">
      <c r="B107" s="4296" t="s">
        <v>5478</v>
      </c>
      <c r="C107" s="4296" t="s">
        <v>5479</v>
      </c>
      <c r="D107" s="4296" t="s">
        <v>4674</v>
      </c>
      <c r="E107" s="4297">
        <v>50.707087999999992</v>
      </c>
    </row>
    <row r="108" spans="2:5">
      <c r="B108" s="4296" t="s">
        <v>5480</v>
      </c>
      <c r="C108" s="4296" t="s">
        <v>5481</v>
      </c>
      <c r="D108" s="4296" t="s">
        <v>4674</v>
      </c>
      <c r="E108" s="4297">
        <v>50.285586000000016</v>
      </c>
    </row>
    <row r="109" spans="2:5">
      <c r="B109" s="4296" t="s">
        <v>5482</v>
      </c>
      <c r="C109" s="4296" t="s">
        <v>5483</v>
      </c>
      <c r="D109" s="4296" t="s">
        <v>4674</v>
      </c>
      <c r="E109" s="4297">
        <v>49.150942999999991</v>
      </c>
    </row>
    <row r="110" spans="2:5">
      <c r="B110" s="4296" t="s">
        <v>5484</v>
      </c>
      <c r="C110" s="4296" t="s">
        <v>5485</v>
      </c>
      <c r="D110" s="4296" t="s">
        <v>4674</v>
      </c>
      <c r="E110" s="4297">
        <v>48.665519999999987</v>
      </c>
    </row>
    <row r="111" spans="2:5">
      <c r="B111" s="4296" t="s">
        <v>5486</v>
      </c>
      <c r="C111" s="4296" t="s">
        <v>5487</v>
      </c>
      <c r="D111" s="4296" t="s">
        <v>4674</v>
      </c>
      <c r="E111" s="4297">
        <v>48.556025000000005</v>
      </c>
    </row>
    <row r="112" spans="2:5">
      <c r="B112" s="4296" t="s">
        <v>5488</v>
      </c>
      <c r="C112" s="4296" t="s">
        <v>5489</v>
      </c>
      <c r="D112" s="4296" t="s">
        <v>4674</v>
      </c>
      <c r="E112" s="4297">
        <v>45.916478000000005</v>
      </c>
    </row>
    <row r="113" spans="2:5">
      <c r="B113" s="4296" t="s">
        <v>5490</v>
      </c>
      <c r="C113" s="4296" t="s">
        <v>5491</v>
      </c>
      <c r="D113" s="4296" t="s">
        <v>4674</v>
      </c>
      <c r="E113" s="4297">
        <v>45.837728000000006</v>
      </c>
    </row>
    <row r="114" spans="2:5">
      <c r="B114" s="4296" t="s">
        <v>5492</v>
      </c>
      <c r="C114" s="4296" t="s">
        <v>5493</v>
      </c>
      <c r="D114" s="4296" t="s">
        <v>4674</v>
      </c>
      <c r="E114" s="4297">
        <v>45.584496000000001</v>
      </c>
    </row>
    <row r="115" spans="2:5">
      <c r="B115" s="4296" t="s">
        <v>5494</v>
      </c>
      <c r="C115" s="4296" t="s">
        <v>5495</v>
      </c>
      <c r="D115" s="4296" t="s">
        <v>4674</v>
      </c>
      <c r="E115" s="4297">
        <v>45.271222000000009</v>
      </c>
    </row>
    <row r="116" spans="2:5">
      <c r="B116" s="4296" t="s">
        <v>5496</v>
      </c>
      <c r="C116" s="4296" t="s">
        <v>5497</v>
      </c>
      <c r="D116" s="4296" t="s">
        <v>4674</v>
      </c>
      <c r="E116" s="4297">
        <v>44.386699999999998</v>
      </c>
    </row>
    <row r="117" spans="2:5">
      <c r="B117" s="4296" t="s">
        <v>5498</v>
      </c>
      <c r="C117" s="4296" t="s">
        <v>5499</v>
      </c>
      <c r="D117" s="4296" t="s">
        <v>4674</v>
      </c>
      <c r="E117" s="4297">
        <v>44.261782999999994</v>
      </c>
    </row>
    <row r="118" spans="2:5">
      <c r="B118" s="4296" t="s">
        <v>5500</v>
      </c>
      <c r="C118" s="4296" t="s">
        <v>5501</v>
      </c>
      <c r="D118" s="4296" t="s">
        <v>4674</v>
      </c>
      <c r="E118" s="4297">
        <v>44.209980000000009</v>
      </c>
    </row>
    <row r="119" spans="2:5">
      <c r="B119" s="4296" t="s">
        <v>5502</v>
      </c>
      <c r="C119" s="4296" t="s">
        <v>5503</v>
      </c>
      <c r="D119" s="4296" t="s">
        <v>4674</v>
      </c>
      <c r="E119" s="4297">
        <v>43.832939999999994</v>
      </c>
    </row>
    <row r="120" spans="2:5">
      <c r="B120" s="4296" t="s">
        <v>5504</v>
      </c>
      <c r="C120" s="4296" t="s">
        <v>5505</v>
      </c>
      <c r="D120" s="4296" t="s">
        <v>4674</v>
      </c>
      <c r="E120" s="4297">
        <v>43.804988000000016</v>
      </c>
    </row>
    <row r="121" spans="2:5">
      <c r="B121" s="4296" t="s">
        <v>5506</v>
      </c>
      <c r="C121" s="4296" t="s">
        <v>5507</v>
      </c>
      <c r="D121" s="4296" t="s">
        <v>4674</v>
      </c>
      <c r="E121" s="4297">
        <v>43.766835</v>
      </c>
    </row>
    <row r="122" spans="2:5">
      <c r="B122" s="4296" t="s">
        <v>5508</v>
      </c>
      <c r="C122" s="4296" t="s">
        <v>5509</v>
      </c>
      <c r="D122" s="4296" t="s">
        <v>4674</v>
      </c>
      <c r="E122" s="4297">
        <v>43.678718000000003</v>
      </c>
    </row>
    <row r="123" spans="2:5">
      <c r="B123" s="4296" t="s">
        <v>5510</v>
      </c>
      <c r="C123" s="4296" t="s">
        <v>5511</v>
      </c>
      <c r="D123" s="4296" t="s">
        <v>4674</v>
      </c>
      <c r="E123" s="4297">
        <v>43.487858999999993</v>
      </c>
    </row>
    <row r="124" spans="2:5">
      <c r="B124" s="4296" t="s">
        <v>5512</v>
      </c>
      <c r="C124" s="4296" t="s">
        <v>5513</v>
      </c>
      <c r="D124" s="4296" t="s">
        <v>4674</v>
      </c>
      <c r="E124" s="4297">
        <v>43.300917999999996</v>
      </c>
    </row>
    <row r="125" spans="2:5">
      <c r="B125" s="4296" t="s">
        <v>5514</v>
      </c>
      <c r="C125" s="4296" t="s">
        <v>5515</v>
      </c>
      <c r="D125" s="4296" t="s">
        <v>4674</v>
      </c>
      <c r="E125" s="4297">
        <v>43.267899999999997</v>
      </c>
    </row>
    <row r="126" spans="2:5">
      <c r="B126" s="4296" t="s">
        <v>5516</v>
      </c>
      <c r="C126" s="4296" t="s">
        <v>5517</v>
      </c>
      <c r="D126" s="4296" t="s">
        <v>4674</v>
      </c>
      <c r="E126" s="4297">
        <v>42.295360999999986</v>
      </c>
    </row>
    <row r="127" spans="2:5">
      <c r="B127" s="4296" t="s">
        <v>5518</v>
      </c>
      <c r="C127" s="4296" t="s">
        <v>5519</v>
      </c>
      <c r="D127" s="4296" t="s">
        <v>4674</v>
      </c>
      <c r="E127" s="4297">
        <v>41.822924000000008</v>
      </c>
    </row>
    <row r="128" spans="2:5">
      <c r="B128" s="4296" t="s">
        <v>5520</v>
      </c>
      <c r="C128" s="4296" t="s">
        <v>5521</v>
      </c>
      <c r="D128" s="4296" t="s">
        <v>4674</v>
      </c>
      <c r="E128" s="4297">
        <v>41.7545</v>
      </c>
    </row>
    <row r="129" spans="2:5">
      <c r="B129" s="4296" t="s">
        <v>5522</v>
      </c>
      <c r="C129" s="4296" t="s">
        <v>5523</v>
      </c>
      <c r="D129" s="4296" t="s">
        <v>4674</v>
      </c>
      <c r="E129" s="4297">
        <v>41.686728000000002</v>
      </c>
    </row>
    <row r="130" spans="2:5">
      <c r="B130" s="4296" t="s">
        <v>5524</v>
      </c>
      <c r="C130" s="4296" t="s">
        <v>5525</v>
      </c>
      <c r="D130" s="4296" t="s">
        <v>4674</v>
      </c>
      <c r="E130" s="4297">
        <v>41.686728000000002</v>
      </c>
    </row>
    <row r="131" spans="2:5">
      <c r="B131" s="4296" t="s">
        <v>5526</v>
      </c>
      <c r="C131" s="4296" t="s">
        <v>5527</v>
      </c>
      <c r="D131" s="4296" t="s">
        <v>4674</v>
      </c>
      <c r="E131" s="4297">
        <v>41.360133999999988</v>
      </c>
    </row>
    <row r="132" spans="2:5">
      <c r="B132" s="4296" t="s">
        <v>5528</v>
      </c>
      <c r="C132" s="4296" t="s">
        <v>5529</v>
      </c>
      <c r="D132" s="4296" t="s">
        <v>4674</v>
      </c>
      <c r="E132" s="4297">
        <v>41.204555999999997</v>
      </c>
    </row>
    <row r="133" spans="2:5">
      <c r="B133" s="4296" t="s">
        <v>5530</v>
      </c>
      <c r="C133" s="4296" t="s">
        <v>5531</v>
      </c>
      <c r="D133" s="4296" t="s">
        <v>4674</v>
      </c>
      <c r="E133" s="4297">
        <v>40.697930000000007</v>
      </c>
    </row>
    <row r="134" spans="2:5">
      <c r="B134" s="4296" t="s">
        <v>5532</v>
      </c>
      <c r="C134" s="4296" t="s">
        <v>5533</v>
      </c>
      <c r="D134" s="4296" t="s">
        <v>4674</v>
      </c>
      <c r="E134" s="4297">
        <v>40.249915000000001</v>
      </c>
    </row>
    <row r="135" spans="2:5">
      <c r="B135" s="4296" t="s">
        <v>5534</v>
      </c>
      <c r="C135" s="4296" t="s">
        <v>5535</v>
      </c>
      <c r="D135" s="4296" t="s">
        <v>4674</v>
      </c>
      <c r="E135" s="4297">
        <v>40.246357000000003</v>
      </c>
    </row>
    <row r="136" spans="2:5">
      <c r="B136" s="4296" t="s">
        <v>5536</v>
      </c>
      <c r="C136" s="4296" t="s">
        <v>5537</v>
      </c>
      <c r="D136" s="4296" t="s">
        <v>4674</v>
      </c>
      <c r="E136" s="4297">
        <v>40.101120000000002</v>
      </c>
    </row>
    <row r="137" spans="2:5">
      <c r="B137" s="4296" t="s">
        <v>5538</v>
      </c>
      <c r="C137" s="4296" t="s">
        <v>5539</v>
      </c>
      <c r="D137" s="4296" t="s">
        <v>4674</v>
      </c>
      <c r="E137" s="4297">
        <v>40.011765000000011</v>
      </c>
    </row>
    <row r="138" spans="2:5">
      <c r="B138" s="4296" t="s">
        <v>5540</v>
      </c>
      <c r="C138" s="4296" t="s">
        <v>5541</v>
      </c>
      <c r="D138" s="4296" t="s">
        <v>4674</v>
      </c>
      <c r="E138" s="4297">
        <v>39.141418000000009</v>
      </c>
    </row>
    <row r="139" spans="2:5">
      <c r="B139" s="4296" t="s">
        <v>5542</v>
      </c>
      <c r="C139" s="4296" t="s">
        <v>5543</v>
      </c>
      <c r="D139" s="4296" t="s">
        <v>4674</v>
      </c>
      <c r="E139" s="4297">
        <v>39.070729</v>
      </c>
    </row>
    <row r="140" spans="2:5">
      <c r="B140" s="4296" t="s">
        <v>5544</v>
      </c>
      <c r="C140" s="4296" t="s">
        <v>5545</v>
      </c>
      <c r="D140" s="4296" t="s">
        <v>4674</v>
      </c>
      <c r="E140" s="4297">
        <v>38.280080000000012</v>
      </c>
    </row>
    <row r="141" spans="2:5">
      <c r="B141" s="4296" t="s">
        <v>5546</v>
      </c>
      <c r="C141" s="4296" t="s">
        <v>5547</v>
      </c>
      <c r="D141" s="4296" t="s">
        <v>4674</v>
      </c>
      <c r="E141" s="4297">
        <v>37.483232000000008</v>
      </c>
    </row>
    <row r="142" spans="2:5">
      <c r="B142" s="4296" t="s">
        <v>5548</v>
      </c>
      <c r="C142" s="4296" t="s">
        <v>5549</v>
      </c>
      <c r="D142" s="4296" t="s">
        <v>4674</v>
      </c>
      <c r="E142" s="4297">
        <v>37.344000000000001</v>
      </c>
    </row>
    <row r="143" spans="2:5">
      <c r="B143" s="4296" t="s">
        <v>5550</v>
      </c>
      <c r="C143" s="4296" t="s">
        <v>5551</v>
      </c>
      <c r="D143" s="4296" t="s">
        <v>4674</v>
      </c>
      <c r="E143" s="4297">
        <v>37.155120000000004</v>
      </c>
    </row>
    <row r="144" spans="2:5">
      <c r="B144" s="4296" t="s">
        <v>5552</v>
      </c>
      <c r="C144" s="4296" t="s">
        <v>5553</v>
      </c>
      <c r="D144" s="4296" t="s">
        <v>4674</v>
      </c>
      <c r="E144" s="4297">
        <v>37.147711000000001</v>
      </c>
    </row>
    <row r="145" spans="2:5">
      <c r="B145" s="4296" t="s">
        <v>5554</v>
      </c>
      <c r="C145" s="4296" t="s">
        <v>5555</v>
      </c>
      <c r="D145" s="4296" t="s">
        <v>4674</v>
      </c>
      <c r="E145" s="4297">
        <v>37.004460000000002</v>
      </c>
    </row>
    <row r="146" spans="2:5">
      <c r="B146" s="4296" t="s">
        <v>5556</v>
      </c>
      <c r="C146" s="4296" t="s">
        <v>5557</v>
      </c>
      <c r="D146" s="4296" t="s">
        <v>4674</v>
      </c>
      <c r="E146" s="4297">
        <v>36.620528</v>
      </c>
    </row>
    <row r="147" spans="2:5">
      <c r="B147" s="4296" t="s">
        <v>5558</v>
      </c>
      <c r="C147" s="4296" t="s">
        <v>5559</v>
      </c>
      <c r="D147" s="4296" t="s">
        <v>4674</v>
      </c>
      <c r="E147" s="4297">
        <v>36.577137999999998</v>
      </c>
    </row>
    <row r="148" spans="2:5">
      <c r="B148" s="4296" t="s">
        <v>5560</v>
      </c>
      <c r="C148" s="4296" t="s">
        <v>5561</v>
      </c>
      <c r="D148" s="4296" t="s">
        <v>4674</v>
      </c>
      <c r="E148" s="4297">
        <v>36.457254000000006</v>
      </c>
    </row>
    <row r="149" spans="2:5">
      <c r="B149" s="4296" t="s">
        <v>5562</v>
      </c>
      <c r="C149" s="4296" t="s">
        <v>5563</v>
      </c>
      <c r="D149" s="4296" t="s">
        <v>4674</v>
      </c>
      <c r="E149" s="4297">
        <v>36.361709000000012</v>
      </c>
    </row>
    <row r="150" spans="2:5">
      <c r="B150" s="4296" t="s">
        <v>5564</v>
      </c>
      <c r="C150" s="4296" t="s">
        <v>5565</v>
      </c>
      <c r="D150" s="4296" t="s">
        <v>4674</v>
      </c>
      <c r="E150" s="4297">
        <v>36.031106999999999</v>
      </c>
    </row>
    <row r="151" spans="2:5">
      <c r="B151" s="4296" t="s">
        <v>5566</v>
      </c>
      <c r="C151" s="4296" t="s">
        <v>5567</v>
      </c>
      <c r="D151" s="4296" t="s">
        <v>4674</v>
      </c>
      <c r="E151" s="4297">
        <v>35.968140000000005</v>
      </c>
    </row>
    <row r="152" spans="2:5">
      <c r="B152" s="4296" t="s">
        <v>5568</v>
      </c>
      <c r="C152" s="4296" t="s">
        <v>5569</v>
      </c>
      <c r="D152" s="4296" t="s">
        <v>4674</v>
      </c>
      <c r="E152" s="4297">
        <v>35.589626000000003</v>
      </c>
    </row>
    <row r="153" spans="2:5">
      <c r="B153" s="4296" t="s">
        <v>5570</v>
      </c>
      <c r="C153" s="4296" t="s">
        <v>5571</v>
      </c>
      <c r="D153" s="4296" t="s">
        <v>4674</v>
      </c>
      <c r="E153" s="4297">
        <v>35.410789000000001</v>
      </c>
    </row>
    <row r="154" spans="2:5">
      <c r="B154" s="4296" t="s">
        <v>5572</v>
      </c>
      <c r="C154" s="4296" t="s">
        <v>5573</v>
      </c>
      <c r="D154" s="4296" t="s">
        <v>4674</v>
      </c>
      <c r="E154" s="4297">
        <v>35.121315000000003</v>
      </c>
    </row>
    <row r="155" spans="2:5">
      <c r="B155" s="4296" t="s">
        <v>5574</v>
      </c>
      <c r="C155" s="4296" t="s">
        <v>5575</v>
      </c>
      <c r="D155" s="4296" t="s">
        <v>4674</v>
      </c>
      <c r="E155" s="4297">
        <v>35.108176000000007</v>
      </c>
    </row>
    <row r="156" spans="2:5">
      <c r="B156" s="4296" t="s">
        <v>5576</v>
      </c>
      <c r="C156" s="4296" t="s">
        <v>5577</v>
      </c>
      <c r="D156" s="4296" t="s">
        <v>4674</v>
      </c>
      <c r="E156" s="4297">
        <v>35.041895999999987</v>
      </c>
    </row>
    <row r="157" spans="2:5">
      <c r="B157" s="4296" t="s">
        <v>5578</v>
      </c>
      <c r="C157" s="4296" t="s">
        <v>5579</v>
      </c>
      <c r="D157" s="4296" t="s">
        <v>4897</v>
      </c>
      <c r="E157" s="4297">
        <v>34.990666000000004</v>
      </c>
    </row>
    <row r="158" spans="2:5">
      <c r="B158" s="4296" t="s">
        <v>5580</v>
      </c>
      <c r="C158" s="4296" t="s">
        <v>5581</v>
      </c>
      <c r="D158" s="4296" t="s">
        <v>4674</v>
      </c>
      <c r="E158" s="4297">
        <v>34.810049999999997</v>
      </c>
    </row>
    <row r="159" spans="2:5">
      <c r="B159" s="4296" t="s">
        <v>5582</v>
      </c>
      <c r="C159" s="4296" t="s">
        <v>5583</v>
      </c>
      <c r="D159" s="4296" t="s">
        <v>5231</v>
      </c>
      <c r="E159" s="4297">
        <v>34.666710000000002</v>
      </c>
    </row>
    <row r="160" spans="2:5">
      <c r="B160" s="4296" t="s">
        <v>5584</v>
      </c>
      <c r="C160" s="4296" t="s">
        <v>5585</v>
      </c>
      <c r="D160" s="4296" t="s">
        <v>4674</v>
      </c>
      <c r="E160" s="4297">
        <v>34.552839999999996</v>
      </c>
    </row>
    <row r="161" spans="2:5">
      <c r="B161" s="4296" t="s">
        <v>5586</v>
      </c>
      <c r="C161" s="4296" t="s">
        <v>5587</v>
      </c>
      <c r="D161" s="4296" t="s">
        <v>4674</v>
      </c>
      <c r="E161" s="4297">
        <v>34.495640000000002</v>
      </c>
    </row>
    <row r="162" spans="2:5">
      <c r="B162" s="4296" t="s">
        <v>5588</v>
      </c>
      <c r="C162" s="4296" t="s">
        <v>5589</v>
      </c>
      <c r="D162" s="4296" t="s">
        <v>4674</v>
      </c>
      <c r="E162" s="4297">
        <v>34.324961999999999</v>
      </c>
    </row>
    <row r="163" spans="2:5">
      <c r="B163" s="4296" t="s">
        <v>5590</v>
      </c>
      <c r="C163" s="4296" t="s">
        <v>5591</v>
      </c>
      <c r="D163" s="4296" t="s">
        <v>4674</v>
      </c>
      <c r="E163" s="4297">
        <v>34.183159999999994</v>
      </c>
    </row>
    <row r="164" spans="2:5">
      <c r="B164" s="4296" t="s">
        <v>5592</v>
      </c>
      <c r="C164" s="4296" t="s">
        <v>5593</v>
      </c>
      <c r="D164" s="4296" t="s">
        <v>4674</v>
      </c>
      <c r="E164" s="4297">
        <v>34.047075</v>
      </c>
    </row>
    <row r="165" spans="2:5">
      <c r="B165" s="4296" t="s">
        <v>5594</v>
      </c>
      <c r="C165" s="4296" t="s">
        <v>5595</v>
      </c>
      <c r="D165" s="4296" t="s">
        <v>4674</v>
      </c>
      <c r="E165" s="4297">
        <v>34.035587999999997</v>
      </c>
    </row>
    <row r="166" spans="2:5">
      <c r="B166" s="4296" t="s">
        <v>5596</v>
      </c>
      <c r="C166" s="4296" t="s">
        <v>5597</v>
      </c>
      <c r="D166" s="4296" t="s">
        <v>4674</v>
      </c>
      <c r="E166" s="4297">
        <v>34.002168999999995</v>
      </c>
    </row>
    <row r="167" spans="2:5">
      <c r="B167" s="4296" t="s">
        <v>5598</v>
      </c>
      <c r="C167" s="4296" t="s">
        <v>5599</v>
      </c>
      <c r="D167" s="4296" t="s">
        <v>4674</v>
      </c>
      <c r="E167" s="4297">
        <v>33.994562999999992</v>
      </c>
    </row>
    <row r="168" spans="2:5">
      <c r="B168" s="4296" t="s">
        <v>5600</v>
      </c>
      <c r="C168" s="4296" t="s">
        <v>5601</v>
      </c>
      <c r="D168" s="4296" t="s">
        <v>4674</v>
      </c>
      <c r="E168" s="4297">
        <v>33.950764999999997</v>
      </c>
    </row>
    <row r="169" spans="2:5">
      <c r="B169" s="4296" t="s">
        <v>5602</v>
      </c>
      <c r="C169" s="4296" t="s">
        <v>5603</v>
      </c>
      <c r="D169" s="4296" t="s">
        <v>4674</v>
      </c>
      <c r="E169" s="4297">
        <v>33.944118000000003</v>
      </c>
    </row>
    <row r="170" spans="2:5">
      <c r="B170" s="4296" t="s">
        <v>5604</v>
      </c>
      <c r="C170" s="4296" t="s">
        <v>5605</v>
      </c>
      <c r="D170" s="4296" t="s">
        <v>4674</v>
      </c>
      <c r="E170" s="4297">
        <v>33.897216</v>
      </c>
    </row>
    <row r="171" spans="2:5">
      <c r="B171" s="4296" t="s">
        <v>5606</v>
      </c>
      <c r="C171" s="4296" t="s">
        <v>5607</v>
      </c>
      <c r="D171" s="4296" t="s">
        <v>4674</v>
      </c>
      <c r="E171" s="4297">
        <v>33.76870899999998</v>
      </c>
    </row>
    <row r="172" spans="2:5">
      <c r="B172" s="4296" t="s">
        <v>5608</v>
      </c>
      <c r="C172" s="4296" t="s">
        <v>5609</v>
      </c>
      <c r="D172" s="4296" t="s">
        <v>4674</v>
      </c>
      <c r="E172" s="4297">
        <v>33.744990000000001</v>
      </c>
    </row>
    <row r="173" spans="2:5">
      <c r="B173" s="4296" t="s">
        <v>5610</v>
      </c>
      <c r="C173" s="4296" t="s">
        <v>5611</v>
      </c>
      <c r="D173" s="4296" t="s">
        <v>4674</v>
      </c>
      <c r="E173" s="4297">
        <v>33.616667999999997</v>
      </c>
    </row>
    <row r="174" spans="2:5">
      <c r="B174" s="4296" t="s">
        <v>5612</v>
      </c>
      <c r="C174" s="4296" t="s">
        <v>5613</v>
      </c>
      <c r="D174" s="4296" t="s">
        <v>4674</v>
      </c>
      <c r="E174" s="4297">
        <v>33.419500000000021</v>
      </c>
    </row>
    <row r="175" spans="2:5">
      <c r="B175" s="4296" t="s">
        <v>5614</v>
      </c>
      <c r="C175" s="4296" t="s">
        <v>5615</v>
      </c>
      <c r="D175" s="4296" t="s">
        <v>4657</v>
      </c>
      <c r="E175" s="4297">
        <v>33.133419999999994</v>
      </c>
    </row>
    <row r="176" spans="2:5">
      <c r="B176" s="4296" t="s">
        <v>5616</v>
      </c>
      <c r="C176" s="4296" t="s">
        <v>5617</v>
      </c>
      <c r="D176" s="4296" t="s">
        <v>4674</v>
      </c>
      <c r="E176" s="4297">
        <v>33.077107999999996</v>
      </c>
    </row>
    <row r="177" spans="2:5">
      <c r="B177" s="4296" t="s">
        <v>5618</v>
      </c>
      <c r="C177" s="4296" t="s">
        <v>5619</v>
      </c>
      <c r="D177" s="4296" t="s">
        <v>4674</v>
      </c>
      <c r="E177" s="4297">
        <v>33.059211000000005</v>
      </c>
    </row>
    <row r="178" spans="2:5">
      <c r="B178" s="4296" t="s">
        <v>5620</v>
      </c>
      <c r="C178" s="4296" t="s">
        <v>5621</v>
      </c>
      <c r="D178" s="4296" t="s">
        <v>4674</v>
      </c>
      <c r="E178" s="4297">
        <v>32.959919999999997</v>
      </c>
    </row>
    <row r="179" spans="2:5">
      <c r="B179" s="4296" t="s">
        <v>5622</v>
      </c>
      <c r="C179" s="4296" t="s">
        <v>5623</v>
      </c>
      <c r="D179" s="4296" t="s">
        <v>4674</v>
      </c>
      <c r="E179" s="4297">
        <v>32.936852999999999</v>
      </c>
    </row>
    <row r="180" spans="2:5">
      <c r="B180" s="4296" t="s">
        <v>5624</v>
      </c>
      <c r="C180" s="4296" t="s">
        <v>5625</v>
      </c>
      <c r="D180" s="4296" t="s">
        <v>4674</v>
      </c>
      <c r="E180" s="4297">
        <v>32.933244000000009</v>
      </c>
    </row>
    <row r="181" spans="2:5">
      <c r="B181" s="4296" t="s">
        <v>5626</v>
      </c>
      <c r="C181" s="4296" t="s">
        <v>5627</v>
      </c>
      <c r="D181" s="4296" t="s">
        <v>4674</v>
      </c>
      <c r="E181" s="4297">
        <v>32.856353999999996</v>
      </c>
    </row>
    <row r="182" spans="2:5">
      <c r="B182" s="4296" t="s">
        <v>5628</v>
      </c>
      <c r="C182" s="4296" t="s">
        <v>5629</v>
      </c>
      <c r="D182" s="4296" t="s">
        <v>4674</v>
      </c>
      <c r="E182" s="4297">
        <v>32.623433999999996</v>
      </c>
    </row>
    <row r="183" spans="2:5">
      <c r="B183" s="4296" t="s">
        <v>5630</v>
      </c>
      <c r="C183" s="4296" t="s">
        <v>5631</v>
      </c>
      <c r="D183" s="4296" t="s">
        <v>4674</v>
      </c>
      <c r="E183" s="4297">
        <v>32.4818</v>
      </c>
    </row>
    <row r="184" spans="2:5">
      <c r="B184" s="4296" t="s">
        <v>5632</v>
      </c>
      <c r="C184" s="4296" t="s">
        <v>5633</v>
      </c>
      <c r="D184" s="4296" t="s">
        <v>4674</v>
      </c>
      <c r="E184" s="4297">
        <v>32.275744999999986</v>
      </c>
    </row>
    <row r="185" spans="2:5">
      <c r="B185" s="4296" t="s">
        <v>5634</v>
      </c>
      <c r="C185" s="4296" t="s">
        <v>5635</v>
      </c>
      <c r="D185" s="4296" t="s">
        <v>4674</v>
      </c>
      <c r="E185" s="4297">
        <v>32.263379999999998</v>
      </c>
    </row>
    <row r="186" spans="2:5">
      <c r="B186" s="4296" t="s">
        <v>5636</v>
      </c>
      <c r="C186" s="4296" t="s">
        <v>5637</v>
      </c>
      <c r="D186" s="4296" t="s">
        <v>4674</v>
      </c>
      <c r="E186" s="4297">
        <v>32.155391999999999</v>
      </c>
    </row>
    <row r="187" spans="2:5">
      <c r="B187" s="4296" t="s">
        <v>5638</v>
      </c>
      <c r="C187" s="4296" t="s">
        <v>5639</v>
      </c>
      <c r="D187" s="4296" t="s">
        <v>4674</v>
      </c>
      <c r="E187" s="4297">
        <v>32.15484</v>
      </c>
    </row>
    <row r="188" spans="2:5">
      <c r="B188" s="4296" t="s">
        <v>5640</v>
      </c>
      <c r="C188" s="4296" t="s">
        <v>5641</v>
      </c>
      <c r="D188" s="4296" t="s">
        <v>4674</v>
      </c>
      <c r="E188" s="4297">
        <v>31.903628000000001</v>
      </c>
    </row>
    <row r="189" spans="2:5">
      <c r="B189" s="4296" t="s">
        <v>5642</v>
      </c>
      <c r="C189" s="4296" t="s">
        <v>5643</v>
      </c>
      <c r="D189" s="4296" t="s">
        <v>4674</v>
      </c>
      <c r="E189" s="4297">
        <v>31.760097999999992</v>
      </c>
    </row>
    <row r="190" spans="2:5">
      <c r="B190" s="4296" t="s">
        <v>5644</v>
      </c>
      <c r="C190" s="4296" t="s">
        <v>5645</v>
      </c>
      <c r="D190" s="4296" t="s">
        <v>4674</v>
      </c>
      <c r="E190" s="4297">
        <v>31.751161999999976</v>
      </c>
    </row>
    <row r="191" spans="2:5">
      <c r="B191" s="4296" t="s">
        <v>5646</v>
      </c>
      <c r="C191" s="4296" t="s">
        <v>5647</v>
      </c>
      <c r="D191" s="4296" t="s">
        <v>4664</v>
      </c>
      <c r="E191" s="4297">
        <v>31.567799999999998</v>
      </c>
    </row>
    <row r="192" spans="2:5">
      <c r="B192" s="4296" t="s">
        <v>5648</v>
      </c>
      <c r="C192" s="4296" t="s">
        <v>5649</v>
      </c>
      <c r="D192" s="4296" t="s">
        <v>4674</v>
      </c>
      <c r="E192" s="4297">
        <v>31.333455999999998</v>
      </c>
    </row>
    <row r="193" spans="2:5">
      <c r="B193" s="4296" t="s">
        <v>5650</v>
      </c>
      <c r="C193" s="4296" t="s">
        <v>5651</v>
      </c>
      <c r="D193" s="4296" t="s">
        <v>4674</v>
      </c>
      <c r="E193" s="4297">
        <v>31.110783999999995</v>
      </c>
    </row>
    <row r="194" spans="2:5">
      <c r="B194" s="4296" t="s">
        <v>5652</v>
      </c>
      <c r="C194" s="4296" t="s">
        <v>5653</v>
      </c>
      <c r="D194" s="4296" t="s">
        <v>4674</v>
      </c>
      <c r="E194" s="4297">
        <v>30.735264000000001</v>
      </c>
    </row>
    <row r="195" spans="2:5">
      <c r="B195" s="4296" t="s">
        <v>5654</v>
      </c>
      <c r="C195" s="4296" t="s">
        <v>5655</v>
      </c>
      <c r="D195" s="4296" t="s">
        <v>4674</v>
      </c>
      <c r="E195" s="4297">
        <v>30.152335999999998</v>
      </c>
    </row>
    <row r="196" spans="2:5">
      <c r="B196" s="4296" t="s">
        <v>5656</v>
      </c>
      <c r="C196" s="4296" t="s">
        <v>5657</v>
      </c>
      <c r="D196" s="4296" t="s">
        <v>4674</v>
      </c>
      <c r="E196" s="4297">
        <v>29.894526000000003</v>
      </c>
    </row>
    <row r="197" spans="2:5">
      <c r="B197" s="4296" t="s">
        <v>5658</v>
      </c>
      <c r="C197" s="4296" t="s">
        <v>5659</v>
      </c>
      <c r="D197" s="4296" t="s">
        <v>4674</v>
      </c>
      <c r="E197" s="4297">
        <v>29.475840000000002</v>
      </c>
    </row>
    <row r="198" spans="2:5">
      <c r="B198" s="4296" t="s">
        <v>5660</v>
      </c>
      <c r="C198" s="4296" t="s">
        <v>5661</v>
      </c>
      <c r="D198" s="4296" t="s">
        <v>4674</v>
      </c>
      <c r="E198" s="4297">
        <v>29.408200000000004</v>
      </c>
    </row>
    <row r="199" spans="2:5">
      <c r="B199" s="4296" t="s">
        <v>5662</v>
      </c>
      <c r="C199" s="4296" t="s">
        <v>5663</v>
      </c>
      <c r="D199" s="4296" t="s">
        <v>4674</v>
      </c>
      <c r="E199" s="4297">
        <v>29.392365999999999</v>
      </c>
    </row>
    <row r="200" spans="2:5">
      <c r="B200" s="4296" t="s">
        <v>5664</v>
      </c>
      <c r="C200" s="4296" t="s">
        <v>5665</v>
      </c>
      <c r="D200" s="4296" t="s">
        <v>4674</v>
      </c>
      <c r="E200" s="4297">
        <v>29.347948000000002</v>
      </c>
    </row>
    <row r="201" spans="2:5">
      <c r="B201" s="4296" t="s">
        <v>5666</v>
      </c>
      <c r="C201" s="4296" t="s">
        <v>5667</v>
      </c>
      <c r="D201" s="4296" t="s">
        <v>4674</v>
      </c>
      <c r="E201" s="4297">
        <v>29.322334999999999</v>
      </c>
    </row>
    <row r="202" spans="2:5">
      <c r="B202" s="4296" t="s">
        <v>5668</v>
      </c>
      <c r="C202" s="4296" t="s">
        <v>5669</v>
      </c>
      <c r="D202" s="4296" t="s">
        <v>4674</v>
      </c>
      <c r="E202" s="4297">
        <v>29.269103999999999</v>
      </c>
    </row>
    <row r="203" spans="2:5">
      <c r="B203" s="4296" t="s">
        <v>5670</v>
      </c>
      <c r="C203" s="4296" t="s">
        <v>5671</v>
      </c>
      <c r="D203" s="4296" t="s">
        <v>4674</v>
      </c>
      <c r="E203" s="4297">
        <v>29.251782000000006</v>
      </c>
    </row>
    <row r="204" spans="2:5">
      <c r="B204" s="4296" t="s">
        <v>5672</v>
      </c>
      <c r="C204" s="4296" t="s">
        <v>5673</v>
      </c>
      <c r="D204" s="4296" t="s">
        <v>4674</v>
      </c>
      <c r="E204" s="4297">
        <v>28.333674999999999</v>
      </c>
    </row>
    <row r="205" spans="2:5">
      <c r="B205" s="4296" t="s">
        <v>5674</v>
      </c>
      <c r="C205" s="4296" t="s">
        <v>5675</v>
      </c>
      <c r="D205" s="4296" t="s">
        <v>4674</v>
      </c>
      <c r="E205" s="4297">
        <v>28.039176000000008</v>
      </c>
    </row>
    <row r="206" spans="2:5">
      <c r="B206" s="4296" t="s">
        <v>5676</v>
      </c>
      <c r="C206" s="4296" t="s">
        <v>5677</v>
      </c>
      <c r="D206" s="4296" t="s">
        <v>4674</v>
      </c>
      <c r="E206" s="4297">
        <v>27.698323000000006</v>
      </c>
    </row>
    <row r="207" spans="2:5">
      <c r="B207" s="4296" t="s">
        <v>5678</v>
      </c>
      <c r="C207" s="4296" t="s">
        <v>5679</v>
      </c>
      <c r="D207" s="4296" t="s">
        <v>4674</v>
      </c>
      <c r="E207" s="4297">
        <v>27.695504999999986</v>
      </c>
    </row>
    <row r="208" spans="2:5">
      <c r="B208" s="4296" t="s">
        <v>5680</v>
      </c>
      <c r="C208" s="4296" t="s">
        <v>5681</v>
      </c>
      <c r="D208" s="4296" t="s">
        <v>4674</v>
      </c>
      <c r="E208" s="4297">
        <v>27.577928000000004</v>
      </c>
    </row>
    <row r="209" spans="2:5">
      <c r="B209" s="4296" t="s">
        <v>5682</v>
      </c>
      <c r="C209" s="4296" t="s">
        <v>5683</v>
      </c>
      <c r="D209" s="4296" t="s">
        <v>4674</v>
      </c>
      <c r="E209" s="4297">
        <v>27.460374000000005</v>
      </c>
    </row>
    <row r="210" spans="2:5">
      <c r="B210" s="4296" t="s">
        <v>5684</v>
      </c>
      <c r="C210" s="4296" t="s">
        <v>5685</v>
      </c>
      <c r="D210" s="4296" t="s">
        <v>4674</v>
      </c>
      <c r="E210" s="4297">
        <v>27.281294000000006</v>
      </c>
    </row>
    <row r="211" spans="2:5">
      <c r="B211" s="4296" t="s">
        <v>5686</v>
      </c>
      <c r="C211" s="4296" t="s">
        <v>5687</v>
      </c>
      <c r="D211" s="4296" t="s">
        <v>4674</v>
      </c>
      <c r="E211" s="4297">
        <v>27.261576000000005</v>
      </c>
    </row>
    <row r="212" spans="2:5">
      <c r="B212" s="4296" t="s">
        <v>5688</v>
      </c>
      <c r="C212" s="4296" t="s">
        <v>5689</v>
      </c>
      <c r="D212" s="4296" t="s">
        <v>4674</v>
      </c>
      <c r="E212" s="4297">
        <v>26.819104000000003</v>
      </c>
    </row>
    <row r="213" spans="2:5">
      <c r="B213" s="4296" t="s">
        <v>5690</v>
      </c>
      <c r="C213" s="4296" t="s">
        <v>5691</v>
      </c>
      <c r="D213" s="4296" t="s">
        <v>4674</v>
      </c>
      <c r="E213" s="4297">
        <v>26.775247999999998</v>
      </c>
    </row>
    <row r="214" spans="2:5">
      <c r="B214" s="4296" t="s">
        <v>5692</v>
      </c>
      <c r="C214" s="4296" t="s">
        <v>5693</v>
      </c>
      <c r="D214" s="4296" t="s">
        <v>4674</v>
      </c>
      <c r="E214" s="4297">
        <v>26.769300000000001</v>
      </c>
    </row>
    <row r="215" spans="2:5">
      <c r="B215" s="4296" t="s">
        <v>5694</v>
      </c>
      <c r="C215" s="4296" t="s">
        <v>5695</v>
      </c>
      <c r="D215" s="4296" t="s">
        <v>4674</v>
      </c>
      <c r="E215" s="4297">
        <v>26.554349999999999</v>
      </c>
    </row>
    <row r="216" spans="2:5">
      <c r="B216" s="4296" t="s">
        <v>5696</v>
      </c>
      <c r="C216" s="4296" t="s">
        <v>5697</v>
      </c>
      <c r="D216" s="4296" t="s">
        <v>4674</v>
      </c>
      <c r="E216" s="4297">
        <v>26.491005000000005</v>
      </c>
    </row>
    <row r="217" spans="2:5">
      <c r="B217" s="4296" t="s">
        <v>5698</v>
      </c>
      <c r="C217" s="4296" t="s">
        <v>5699</v>
      </c>
      <c r="D217" s="4296" t="s">
        <v>4674</v>
      </c>
      <c r="E217" s="4297">
        <v>26.05493199999999</v>
      </c>
    </row>
    <row r="218" spans="2:5">
      <c r="B218" s="4296" t="s">
        <v>5700</v>
      </c>
      <c r="C218" s="4296" t="s">
        <v>5701</v>
      </c>
      <c r="D218" s="4296" t="s">
        <v>4674</v>
      </c>
      <c r="E218" s="4297">
        <v>26.012920000000005</v>
      </c>
    </row>
    <row r="219" spans="2:5">
      <c r="B219" s="4296" t="s">
        <v>5702</v>
      </c>
      <c r="C219" s="4296" t="s">
        <v>5703</v>
      </c>
      <c r="D219" s="4296" t="s">
        <v>4674</v>
      </c>
      <c r="E219" s="4297">
        <v>25.899114000000001</v>
      </c>
    </row>
    <row r="220" spans="2:5">
      <c r="B220" s="4296" t="s">
        <v>5704</v>
      </c>
      <c r="C220" s="4296" t="s">
        <v>5705</v>
      </c>
      <c r="D220" s="4296" t="s">
        <v>4674</v>
      </c>
      <c r="E220" s="4297">
        <v>25.891352000000005</v>
      </c>
    </row>
    <row r="221" spans="2:5">
      <c r="B221" s="4296" t="s">
        <v>5706</v>
      </c>
      <c r="C221" s="4296" t="s">
        <v>5707</v>
      </c>
      <c r="D221" s="4296" t="s">
        <v>4674</v>
      </c>
      <c r="E221" s="4297">
        <v>25.723741</v>
      </c>
    </row>
    <row r="222" spans="2:5">
      <c r="B222" s="4296" t="s">
        <v>5708</v>
      </c>
      <c r="C222" s="4296" t="s">
        <v>5709</v>
      </c>
      <c r="D222" s="4296" t="s">
        <v>4674</v>
      </c>
      <c r="E222" s="4297">
        <v>25.353543999999999</v>
      </c>
    </row>
    <row r="223" spans="2:5">
      <c r="B223" s="4296" t="s">
        <v>5710</v>
      </c>
      <c r="C223" s="4296" t="s">
        <v>5711</v>
      </c>
      <c r="D223" s="4296" t="s">
        <v>4674</v>
      </c>
      <c r="E223" s="4297">
        <v>25.351454999999998</v>
      </c>
    </row>
    <row r="224" spans="2:5">
      <c r="B224" s="4296" t="s">
        <v>5712</v>
      </c>
      <c r="C224" s="4296" t="s">
        <v>5713</v>
      </c>
      <c r="D224" s="4296" t="s">
        <v>4674</v>
      </c>
      <c r="E224" s="4297">
        <v>25.32</v>
      </c>
    </row>
    <row r="225" spans="2:5">
      <c r="B225" s="4296" t="s">
        <v>5714</v>
      </c>
      <c r="C225" s="4296" t="s">
        <v>5715</v>
      </c>
      <c r="D225" s="4296" t="s">
        <v>4674</v>
      </c>
      <c r="E225" s="4297">
        <v>25.237145000000002</v>
      </c>
    </row>
    <row r="226" spans="2:5">
      <c r="B226" s="4296" t="s">
        <v>5716</v>
      </c>
      <c r="C226" s="4296" t="s">
        <v>5717</v>
      </c>
      <c r="D226" s="4296" t="s">
        <v>5234</v>
      </c>
      <c r="E226" s="4297">
        <v>24.947610000000001</v>
      </c>
    </row>
    <row r="227" spans="2:5">
      <c r="B227" s="4296" t="s">
        <v>5718</v>
      </c>
      <c r="C227" s="4296" t="s">
        <v>5719</v>
      </c>
      <c r="D227" s="4296" t="s">
        <v>4674</v>
      </c>
      <c r="E227" s="4297">
        <v>24.939515000000007</v>
      </c>
    </row>
    <row r="228" spans="2:5">
      <c r="B228" s="4296" t="s">
        <v>5720</v>
      </c>
      <c r="C228" s="4296" t="s">
        <v>5721</v>
      </c>
      <c r="D228" s="4296" t="s">
        <v>4674</v>
      </c>
      <c r="E228" s="4297">
        <v>24.725266000000001</v>
      </c>
    </row>
    <row r="229" spans="2:5">
      <c r="B229" s="4296" t="s">
        <v>5722</v>
      </c>
      <c r="C229" s="4296" t="s">
        <v>5723</v>
      </c>
      <c r="D229" s="4296" t="s">
        <v>4674</v>
      </c>
      <c r="E229" s="4297">
        <v>24.661709999999999</v>
      </c>
    </row>
    <row r="230" spans="2:5">
      <c r="B230" s="4296" t="s">
        <v>5724</v>
      </c>
      <c r="C230" s="4296" t="s">
        <v>5292</v>
      </c>
      <c r="D230" s="4296" t="s">
        <v>4674</v>
      </c>
      <c r="E230" s="4297">
        <v>24.657900000000001</v>
      </c>
    </row>
    <row r="231" spans="2:5">
      <c r="B231" s="4296" t="s">
        <v>5725</v>
      </c>
      <c r="C231" s="4296" t="s">
        <v>5726</v>
      </c>
      <c r="D231" s="4296" t="s">
        <v>4674</v>
      </c>
      <c r="E231" s="4297">
        <v>24.477242999999998</v>
      </c>
    </row>
    <row r="232" spans="2:5">
      <c r="B232" s="4296" t="s">
        <v>5727</v>
      </c>
      <c r="C232" s="4296" t="s">
        <v>5728</v>
      </c>
      <c r="D232" s="4296" t="s">
        <v>4674</v>
      </c>
      <c r="E232" s="4297">
        <v>24.407040000000009</v>
      </c>
    </row>
    <row r="233" spans="2:5">
      <c r="B233" s="4296" t="s">
        <v>5729</v>
      </c>
      <c r="C233" s="4296" t="s">
        <v>5730</v>
      </c>
      <c r="D233" s="4296" t="s">
        <v>4674</v>
      </c>
      <c r="E233" s="4297">
        <v>24.329859999999996</v>
      </c>
    </row>
    <row r="234" spans="2:5">
      <c r="B234" s="4296" t="s">
        <v>5731</v>
      </c>
      <c r="C234" s="4296" t="s">
        <v>5732</v>
      </c>
      <c r="D234" s="4296" t="s">
        <v>4674</v>
      </c>
      <c r="E234" s="4297">
        <v>24.148153999999995</v>
      </c>
    </row>
    <row r="235" spans="2:5">
      <c r="B235" s="4296" t="s">
        <v>5733</v>
      </c>
      <c r="C235" s="4296" t="s">
        <v>5734</v>
      </c>
      <c r="D235" s="4296" t="s">
        <v>4674</v>
      </c>
      <c r="E235" s="4297">
        <v>23.935816000000003</v>
      </c>
    </row>
    <row r="236" spans="2:5">
      <c r="B236" s="4296" t="s">
        <v>5735</v>
      </c>
      <c r="C236" s="4296" t="s">
        <v>5736</v>
      </c>
      <c r="D236" s="4296" t="s">
        <v>4674</v>
      </c>
      <c r="E236" s="4297">
        <v>23.850934999999996</v>
      </c>
    </row>
    <row r="237" spans="2:5">
      <c r="B237" s="4296" t="s">
        <v>5737</v>
      </c>
      <c r="C237" s="4296" t="s">
        <v>5738</v>
      </c>
      <c r="D237" s="4296" t="s">
        <v>4674</v>
      </c>
      <c r="E237" s="4297">
        <v>23.724192000000006</v>
      </c>
    </row>
    <row r="238" spans="2:5">
      <c r="B238" s="4296" t="s">
        <v>5739</v>
      </c>
      <c r="C238" s="4296" t="s">
        <v>5740</v>
      </c>
      <c r="D238" s="4296" t="s">
        <v>4674</v>
      </c>
      <c r="E238" s="4297">
        <v>23.715352000000003</v>
      </c>
    </row>
    <row r="239" spans="2:5">
      <c r="B239" s="4296" t="s">
        <v>5741</v>
      </c>
      <c r="C239" s="4296" t="s">
        <v>5742</v>
      </c>
      <c r="D239" s="4296" t="s">
        <v>4674</v>
      </c>
      <c r="E239" s="4297">
        <v>23.446402999999993</v>
      </c>
    </row>
    <row r="240" spans="2:5">
      <c r="B240" s="4296" t="s">
        <v>5743</v>
      </c>
      <c r="C240" s="4296" t="s">
        <v>5744</v>
      </c>
      <c r="D240" s="4296" t="s">
        <v>4674</v>
      </c>
      <c r="E240" s="4297">
        <v>23.229978999999997</v>
      </c>
    </row>
    <row r="241" spans="2:5">
      <c r="B241" s="4296" t="s">
        <v>5745</v>
      </c>
      <c r="C241" s="4296" t="s">
        <v>5746</v>
      </c>
      <c r="D241" s="4296" t="s">
        <v>4674</v>
      </c>
      <c r="E241" s="4297">
        <v>23.059329999999996</v>
      </c>
    </row>
    <row r="242" spans="2:5">
      <c r="B242" s="4296" t="s">
        <v>5747</v>
      </c>
      <c r="C242" s="4296" t="s">
        <v>5748</v>
      </c>
      <c r="D242" s="4296" t="s">
        <v>4674</v>
      </c>
      <c r="E242" s="4297">
        <v>22.959704999999996</v>
      </c>
    </row>
    <row r="243" spans="2:5">
      <c r="B243" s="4296" t="s">
        <v>5749</v>
      </c>
      <c r="C243" s="4296" t="s">
        <v>5750</v>
      </c>
      <c r="D243" s="4296" t="s">
        <v>4674</v>
      </c>
      <c r="E243" s="4297">
        <v>22.594959000000003</v>
      </c>
    </row>
    <row r="244" spans="2:5">
      <c r="B244" s="4296" t="s">
        <v>5751</v>
      </c>
      <c r="C244" s="4296" t="s">
        <v>5752</v>
      </c>
      <c r="D244" s="4296" t="s">
        <v>5753</v>
      </c>
      <c r="E244" s="4297">
        <v>22.5</v>
      </c>
    </row>
    <row r="245" spans="2:5">
      <c r="B245" s="4296" t="s">
        <v>5754</v>
      </c>
      <c r="C245" s="4296" t="s">
        <v>5755</v>
      </c>
      <c r="D245" s="4296" t="s">
        <v>4674</v>
      </c>
      <c r="E245" s="4297">
        <v>22.493713999999997</v>
      </c>
    </row>
    <row r="246" spans="2:5">
      <c r="B246" s="4296" t="s">
        <v>5756</v>
      </c>
      <c r="C246" s="4296" t="s">
        <v>5757</v>
      </c>
      <c r="D246" s="4296" t="s">
        <v>4674</v>
      </c>
      <c r="E246" s="4297">
        <v>22.449709999999996</v>
      </c>
    </row>
    <row r="247" spans="2:5">
      <c r="B247" s="4296" t="s">
        <v>5758</v>
      </c>
      <c r="C247" s="4296" t="s">
        <v>5759</v>
      </c>
      <c r="D247" s="4296" t="s">
        <v>4674</v>
      </c>
      <c r="E247" s="4297">
        <v>22.274100000000001</v>
      </c>
    </row>
    <row r="248" spans="2:5">
      <c r="B248" s="4296" t="s">
        <v>5760</v>
      </c>
      <c r="C248" s="4296" t="s">
        <v>5761</v>
      </c>
      <c r="D248" s="4296" t="s">
        <v>4674</v>
      </c>
      <c r="E248" s="4297">
        <v>21.902374000000002</v>
      </c>
    </row>
    <row r="249" spans="2:5">
      <c r="B249" s="4296" t="s">
        <v>5762</v>
      </c>
      <c r="C249" s="4296" t="s">
        <v>5763</v>
      </c>
      <c r="D249" s="4296" t="s">
        <v>4674</v>
      </c>
      <c r="E249" s="4297">
        <v>21.811225000000004</v>
      </c>
    </row>
    <row r="250" spans="2:5">
      <c r="B250" s="4296" t="s">
        <v>5764</v>
      </c>
      <c r="C250" s="4296" t="s">
        <v>5765</v>
      </c>
      <c r="D250" s="4296" t="s">
        <v>4674</v>
      </c>
      <c r="E250" s="4297">
        <v>21.376698000000005</v>
      </c>
    </row>
    <row r="251" spans="2:5">
      <c r="B251" s="4296" t="s">
        <v>5766</v>
      </c>
      <c r="C251" s="4296" t="s">
        <v>5767</v>
      </c>
      <c r="D251" s="4296" t="s">
        <v>4674</v>
      </c>
      <c r="E251" s="4297">
        <v>21.24512</v>
      </c>
    </row>
    <row r="252" spans="2:5">
      <c r="B252" s="4296" t="s">
        <v>5768</v>
      </c>
      <c r="C252" s="4296" t="s">
        <v>5769</v>
      </c>
      <c r="D252" s="4296" t="s">
        <v>4674</v>
      </c>
      <c r="E252" s="4297">
        <v>20.804055999999992</v>
      </c>
    </row>
    <row r="253" spans="2:5">
      <c r="B253" s="4296" t="s">
        <v>5770</v>
      </c>
      <c r="C253" s="4296" t="s">
        <v>5771</v>
      </c>
      <c r="D253" s="4296" t="s">
        <v>4674</v>
      </c>
      <c r="E253" s="4297">
        <v>20.729379999999999</v>
      </c>
    </row>
    <row r="254" spans="2:5">
      <c r="B254" s="4296" t="s">
        <v>5772</v>
      </c>
      <c r="C254" s="4296" t="s">
        <v>5773</v>
      </c>
      <c r="D254" s="4296" t="s">
        <v>4897</v>
      </c>
      <c r="E254" s="4297">
        <v>20.57565</v>
      </c>
    </row>
    <row r="255" spans="2:5">
      <c r="B255" s="4296" t="s">
        <v>5774</v>
      </c>
      <c r="C255" s="4296" t="s">
        <v>5775</v>
      </c>
      <c r="D255" s="4296" t="s">
        <v>4674</v>
      </c>
      <c r="E255" s="4297">
        <v>20.378736</v>
      </c>
    </row>
    <row r="256" spans="2:5">
      <c r="B256" s="4296" t="s">
        <v>5776</v>
      </c>
      <c r="C256" s="4296" t="s">
        <v>5777</v>
      </c>
      <c r="D256" s="4296" t="s">
        <v>4674</v>
      </c>
      <c r="E256" s="4297">
        <v>20.367187999999999</v>
      </c>
    </row>
    <row r="257" spans="2:5">
      <c r="B257" s="4296" t="s">
        <v>5778</v>
      </c>
      <c r="C257" s="4296" t="s">
        <v>5779</v>
      </c>
      <c r="D257" s="4296" t="s">
        <v>4674</v>
      </c>
      <c r="E257" s="4297">
        <v>20.152999000000005</v>
      </c>
    </row>
    <row r="258" spans="2:5">
      <c r="B258" s="4296" t="s">
        <v>5780</v>
      </c>
      <c r="C258" s="4296" t="s">
        <v>5781</v>
      </c>
      <c r="D258" s="4296" t="s">
        <v>4674</v>
      </c>
      <c r="E258" s="4297">
        <v>20.139877000000002</v>
      </c>
    </row>
    <row r="259" spans="2:5">
      <c r="B259" s="4296" t="s">
        <v>5782</v>
      </c>
      <c r="C259" s="4296" t="s">
        <v>5783</v>
      </c>
      <c r="D259" s="4296" t="s">
        <v>4674</v>
      </c>
      <c r="E259" s="4297">
        <v>20.138703999999997</v>
      </c>
    </row>
    <row r="260" spans="2:5">
      <c r="B260" s="4296" t="s">
        <v>5784</v>
      </c>
      <c r="C260" s="4296" t="s">
        <v>5785</v>
      </c>
      <c r="D260" s="4296" t="s">
        <v>4674</v>
      </c>
      <c r="E260" s="4297">
        <v>20.133036000000001</v>
      </c>
    </row>
    <row r="261" spans="2:5">
      <c r="B261" s="4296" t="s">
        <v>5786</v>
      </c>
      <c r="C261" s="4296" t="s">
        <v>5787</v>
      </c>
      <c r="D261" s="4296" t="s">
        <v>4674</v>
      </c>
      <c r="E261" s="4297">
        <v>20.127806000000007</v>
      </c>
    </row>
    <row r="262" spans="2:5">
      <c r="B262" s="4296" t="s">
        <v>5788</v>
      </c>
      <c r="C262" s="4296" t="s">
        <v>5789</v>
      </c>
      <c r="D262" s="4296" t="s">
        <v>4674</v>
      </c>
      <c r="E262" s="4297">
        <v>20.075774000000003</v>
      </c>
    </row>
    <row r="263" spans="2:5">
      <c r="B263" s="4296" t="s">
        <v>5790</v>
      </c>
      <c r="C263" s="4296" t="s">
        <v>5791</v>
      </c>
      <c r="D263" s="4296" t="s">
        <v>4897</v>
      </c>
      <c r="E263" s="4297">
        <v>20</v>
      </c>
    </row>
    <row r="264" spans="2:5">
      <c r="B264" s="4296" t="s">
        <v>5792</v>
      </c>
      <c r="C264" s="4296" t="s">
        <v>5793</v>
      </c>
      <c r="D264" s="4296" t="s">
        <v>4674</v>
      </c>
      <c r="E264" s="4297">
        <v>19.698520000000002</v>
      </c>
    </row>
    <row r="265" spans="2:5">
      <c r="B265" s="4296" t="s">
        <v>5794</v>
      </c>
      <c r="C265" s="4296" t="s">
        <v>5795</v>
      </c>
      <c r="D265" s="4296" t="s">
        <v>4674</v>
      </c>
      <c r="E265" s="4297">
        <v>19.407971999999994</v>
      </c>
    </row>
    <row r="266" spans="2:5">
      <c r="B266" s="4296" t="s">
        <v>5796</v>
      </c>
      <c r="C266" s="4296" t="s">
        <v>5797</v>
      </c>
      <c r="D266" s="4296" t="s">
        <v>4674</v>
      </c>
      <c r="E266" s="4297">
        <v>19.202625000000001</v>
      </c>
    </row>
    <row r="267" spans="2:5">
      <c r="B267" s="4296" t="s">
        <v>5798</v>
      </c>
      <c r="C267" s="4296" t="s">
        <v>5799</v>
      </c>
      <c r="D267" s="4296" t="s">
        <v>4674</v>
      </c>
      <c r="E267" s="4297">
        <v>19.133546000000006</v>
      </c>
    </row>
    <row r="268" spans="2:5">
      <c r="B268" s="4296" t="s">
        <v>5800</v>
      </c>
      <c r="C268" s="4296" t="s">
        <v>5801</v>
      </c>
      <c r="D268" s="4296" t="s">
        <v>4674</v>
      </c>
      <c r="E268" s="4297">
        <v>19.041378999999999</v>
      </c>
    </row>
    <row r="269" spans="2:5">
      <c r="B269" s="4296" t="s">
        <v>5802</v>
      </c>
      <c r="C269" s="4296" t="s">
        <v>5803</v>
      </c>
      <c r="D269" s="4296" t="s">
        <v>4674</v>
      </c>
      <c r="E269" s="4297">
        <v>18.844592000000006</v>
      </c>
    </row>
    <row r="270" spans="2:5">
      <c r="B270" s="4296" t="s">
        <v>5804</v>
      </c>
      <c r="C270" s="4296" t="s">
        <v>5805</v>
      </c>
      <c r="D270" s="4296" t="s">
        <v>4674</v>
      </c>
      <c r="E270" s="4297">
        <v>18.731200000000001</v>
      </c>
    </row>
    <row r="271" spans="2:5">
      <c r="B271" s="4296" t="s">
        <v>5806</v>
      </c>
      <c r="C271" s="4296" t="s">
        <v>5807</v>
      </c>
      <c r="D271" s="4296" t="s">
        <v>4674</v>
      </c>
      <c r="E271" s="4297">
        <v>18.616727999999998</v>
      </c>
    </row>
    <row r="272" spans="2:5">
      <c r="B272" s="4296" t="s">
        <v>5808</v>
      </c>
      <c r="C272" s="4296" t="s">
        <v>5809</v>
      </c>
      <c r="D272" s="4296" t="s">
        <v>4674</v>
      </c>
      <c r="E272" s="4297">
        <v>18.602059000000001</v>
      </c>
    </row>
    <row r="273" spans="2:5">
      <c r="B273" s="4296" t="s">
        <v>5810</v>
      </c>
      <c r="C273" s="4296" t="s">
        <v>5811</v>
      </c>
      <c r="D273" s="4296" t="s">
        <v>4674</v>
      </c>
      <c r="E273" s="4297">
        <v>18.555305999999998</v>
      </c>
    </row>
    <row r="274" spans="2:5">
      <c r="B274" s="4296" t="s">
        <v>5812</v>
      </c>
      <c r="C274" s="4296" t="s">
        <v>5813</v>
      </c>
      <c r="D274" s="4296" t="s">
        <v>4674</v>
      </c>
      <c r="E274" s="4297">
        <v>18.532699000000001</v>
      </c>
    </row>
    <row r="275" spans="2:5">
      <c r="B275" s="4296" t="s">
        <v>5814</v>
      </c>
      <c r="C275" s="4296" t="s">
        <v>5815</v>
      </c>
      <c r="D275" s="4296" t="s">
        <v>4674</v>
      </c>
      <c r="E275" s="4297">
        <v>18.322516999999998</v>
      </c>
    </row>
    <row r="276" spans="2:5">
      <c r="B276" s="4296" t="s">
        <v>5816</v>
      </c>
      <c r="C276" s="4296" t="s">
        <v>5817</v>
      </c>
      <c r="D276" s="4296" t="s">
        <v>4674</v>
      </c>
      <c r="E276" s="4297">
        <v>18.32244</v>
      </c>
    </row>
    <row r="277" spans="2:5">
      <c r="B277" s="4296" t="s">
        <v>5818</v>
      </c>
      <c r="C277" s="4296" t="s">
        <v>5819</v>
      </c>
      <c r="D277" s="4296" t="s">
        <v>4674</v>
      </c>
      <c r="E277" s="4297">
        <v>18.060523999999997</v>
      </c>
    </row>
    <row r="278" spans="2:5">
      <c r="B278" s="4296" t="s">
        <v>5820</v>
      </c>
      <c r="C278" s="4296" t="s">
        <v>5821</v>
      </c>
      <c r="D278" s="4296" t="s">
        <v>4674</v>
      </c>
      <c r="E278" s="4297">
        <v>18.004335000000001</v>
      </c>
    </row>
    <row r="279" spans="2:5">
      <c r="B279" s="4296" t="s">
        <v>5822</v>
      </c>
      <c r="C279" s="4296" t="s">
        <v>5823</v>
      </c>
      <c r="D279" s="4296" t="s">
        <v>4674</v>
      </c>
      <c r="E279" s="4297">
        <v>18.003450000000001</v>
      </c>
    </row>
    <row r="280" spans="2:5">
      <c r="B280" s="4296" t="s">
        <v>5824</v>
      </c>
      <c r="C280" s="4296" t="s">
        <v>5825</v>
      </c>
      <c r="D280" s="4296" t="s">
        <v>4674</v>
      </c>
      <c r="E280" s="4297">
        <v>17.764216000000001</v>
      </c>
    </row>
    <row r="281" spans="2:5">
      <c r="B281" s="4296" t="s">
        <v>5826</v>
      </c>
      <c r="C281" s="4296" t="s">
        <v>5827</v>
      </c>
      <c r="D281" s="4296" t="s">
        <v>4674</v>
      </c>
      <c r="E281" s="4297">
        <v>17.624538000000005</v>
      </c>
    </row>
    <row r="282" spans="2:5">
      <c r="B282" s="4296" t="s">
        <v>5828</v>
      </c>
      <c r="C282" s="4296" t="s">
        <v>5829</v>
      </c>
      <c r="D282" s="4296" t="s">
        <v>4674</v>
      </c>
      <c r="E282" s="4297">
        <v>17.520948000000001</v>
      </c>
    </row>
    <row r="283" spans="2:5">
      <c r="B283" s="4296" t="s">
        <v>5830</v>
      </c>
      <c r="C283" s="4296" t="s">
        <v>5831</v>
      </c>
      <c r="D283" s="4296" t="s">
        <v>4674</v>
      </c>
      <c r="E283" s="4297">
        <v>17.379980000000003</v>
      </c>
    </row>
    <row r="284" spans="2:5">
      <c r="B284" s="4296" t="s">
        <v>5832</v>
      </c>
      <c r="C284" s="4296" t="s">
        <v>5833</v>
      </c>
      <c r="D284" s="4296" t="s">
        <v>4674</v>
      </c>
      <c r="E284" s="4297">
        <v>17.355135999999998</v>
      </c>
    </row>
    <row r="285" spans="2:5">
      <c r="B285" s="4296" t="s">
        <v>5834</v>
      </c>
      <c r="C285" s="4296" t="s">
        <v>5835</v>
      </c>
      <c r="D285" s="4296" t="s">
        <v>4674</v>
      </c>
      <c r="E285" s="4297">
        <v>17.278924000000004</v>
      </c>
    </row>
    <row r="286" spans="2:5">
      <c r="B286" s="4296" t="s">
        <v>5836</v>
      </c>
      <c r="C286" s="4296" t="s">
        <v>5837</v>
      </c>
      <c r="D286" s="4296" t="s">
        <v>4674</v>
      </c>
      <c r="E286" s="4297">
        <v>17.199786000000007</v>
      </c>
    </row>
    <row r="287" spans="2:5">
      <c r="B287" s="4296" t="s">
        <v>5838</v>
      </c>
      <c r="C287" s="4296" t="s">
        <v>5839</v>
      </c>
      <c r="D287" s="4296" t="s">
        <v>4674</v>
      </c>
      <c r="E287" s="4297">
        <v>17.037663999999999</v>
      </c>
    </row>
    <row r="288" spans="2:5">
      <c r="B288" s="4296" t="s">
        <v>5840</v>
      </c>
      <c r="C288" s="4296" t="s">
        <v>5841</v>
      </c>
      <c r="D288" s="4296" t="s">
        <v>4674</v>
      </c>
      <c r="E288" s="4297">
        <v>16.881559999999997</v>
      </c>
    </row>
    <row r="289" spans="2:5">
      <c r="B289" s="4296" t="s">
        <v>5842</v>
      </c>
      <c r="C289" s="4296" t="s">
        <v>5843</v>
      </c>
      <c r="D289" s="4296" t="s">
        <v>4674</v>
      </c>
      <c r="E289" s="4297">
        <v>16.724561000000001</v>
      </c>
    </row>
    <row r="290" spans="2:5">
      <c r="B290" s="4296" t="s">
        <v>5844</v>
      </c>
      <c r="C290" s="4296" t="s">
        <v>5845</v>
      </c>
      <c r="D290" s="4296" t="s">
        <v>4674</v>
      </c>
      <c r="E290" s="4297">
        <v>16.632846999999998</v>
      </c>
    </row>
    <row r="291" spans="2:5">
      <c r="B291" s="4296" t="s">
        <v>5846</v>
      </c>
      <c r="C291" s="4296" t="s">
        <v>5847</v>
      </c>
      <c r="D291" s="4296" t="s">
        <v>4674</v>
      </c>
      <c r="E291" s="4297">
        <v>16.610659999999999</v>
      </c>
    </row>
    <row r="292" spans="2:5">
      <c r="B292" s="4296" t="s">
        <v>5848</v>
      </c>
      <c r="C292" s="4296" t="s">
        <v>5849</v>
      </c>
      <c r="D292" s="4296" t="s">
        <v>4674</v>
      </c>
      <c r="E292" s="4297">
        <v>16.450522999999997</v>
      </c>
    </row>
    <row r="293" spans="2:5">
      <c r="B293" s="4296" t="s">
        <v>5850</v>
      </c>
      <c r="C293" s="4296" t="s">
        <v>5851</v>
      </c>
      <c r="D293" s="4296" t="s">
        <v>4674</v>
      </c>
      <c r="E293" s="4297">
        <v>16.299833000000003</v>
      </c>
    </row>
    <row r="294" spans="2:5">
      <c r="B294" s="4296" t="s">
        <v>5852</v>
      </c>
      <c r="C294" s="4296" t="s">
        <v>5853</v>
      </c>
      <c r="D294" s="4296" t="s">
        <v>4674</v>
      </c>
      <c r="E294" s="4297">
        <v>15.93384</v>
      </c>
    </row>
    <row r="295" spans="2:5">
      <c r="B295" s="4296" t="s">
        <v>5854</v>
      </c>
      <c r="C295" s="4296" t="s">
        <v>5855</v>
      </c>
      <c r="D295" s="4296" t="s">
        <v>4674</v>
      </c>
      <c r="E295" s="4297">
        <v>15.778301000000001</v>
      </c>
    </row>
    <row r="296" spans="2:5">
      <c r="B296" s="4296" t="s">
        <v>5856</v>
      </c>
      <c r="C296" s="4296" t="s">
        <v>5857</v>
      </c>
      <c r="D296" s="4296" t="s">
        <v>4674</v>
      </c>
      <c r="E296" s="4297">
        <v>15.423373000000003</v>
      </c>
    </row>
    <row r="297" spans="2:5">
      <c r="B297" s="4296" t="s">
        <v>5858</v>
      </c>
      <c r="C297" s="4296" t="s">
        <v>5859</v>
      </c>
      <c r="D297" s="4296" t="s">
        <v>4674</v>
      </c>
      <c r="E297" s="4297">
        <v>15.136182000000003</v>
      </c>
    </row>
    <row r="298" spans="2:5">
      <c r="B298" s="4296" t="s">
        <v>5860</v>
      </c>
      <c r="C298" s="4296" t="s">
        <v>5861</v>
      </c>
      <c r="D298" s="4296" t="s">
        <v>4674</v>
      </c>
      <c r="E298" s="4297">
        <v>14.900355000000001</v>
      </c>
    </row>
    <row r="299" spans="2:5">
      <c r="B299" s="4296" t="s">
        <v>5862</v>
      </c>
      <c r="C299" s="4296" t="s">
        <v>5863</v>
      </c>
      <c r="D299" s="4296" t="s">
        <v>4674</v>
      </c>
      <c r="E299" s="4297">
        <v>14.580180000000004</v>
      </c>
    </row>
    <row r="300" spans="2:5">
      <c r="B300" s="4296" t="s">
        <v>5864</v>
      </c>
      <c r="C300" s="4296" t="s">
        <v>5865</v>
      </c>
      <c r="D300" s="4296" t="s">
        <v>4674</v>
      </c>
      <c r="E300" s="4297">
        <v>14.580179999999997</v>
      </c>
    </row>
    <row r="301" spans="2:5">
      <c r="B301" s="4296" t="s">
        <v>5866</v>
      </c>
      <c r="C301" s="4296" t="s">
        <v>5867</v>
      </c>
      <c r="D301" s="4296" t="s">
        <v>4674</v>
      </c>
      <c r="E301" s="4297">
        <v>14.401892000000002</v>
      </c>
    </row>
    <row r="302" spans="2:5">
      <c r="B302" s="4296" t="s">
        <v>5868</v>
      </c>
      <c r="C302" s="4296" t="s">
        <v>5869</v>
      </c>
      <c r="D302" s="4296" t="s">
        <v>5222</v>
      </c>
      <c r="E302" s="4297">
        <v>14.4</v>
      </c>
    </row>
    <row r="303" spans="2:5">
      <c r="B303" s="4296" t="s">
        <v>5870</v>
      </c>
      <c r="C303" s="4296" t="s">
        <v>5871</v>
      </c>
      <c r="D303" s="4296" t="s">
        <v>4674</v>
      </c>
      <c r="E303" s="4297">
        <v>14.387360000000001</v>
      </c>
    </row>
    <row r="304" spans="2:5">
      <c r="B304" s="4296" t="s">
        <v>5872</v>
      </c>
      <c r="C304" s="4296" t="s">
        <v>5873</v>
      </c>
      <c r="D304" s="4296" t="s">
        <v>4674</v>
      </c>
      <c r="E304" s="4297">
        <v>14.316845000000001</v>
      </c>
    </row>
    <row r="305" spans="2:5">
      <c r="B305" s="4296" t="s">
        <v>5874</v>
      </c>
      <c r="C305" s="4296" t="s">
        <v>5875</v>
      </c>
      <c r="D305" s="4296" t="s">
        <v>4674</v>
      </c>
      <c r="E305" s="4297">
        <v>14.29266</v>
      </c>
    </row>
    <row r="306" spans="2:5">
      <c r="B306" s="4296" t="s">
        <v>5876</v>
      </c>
      <c r="C306" s="4296" t="s">
        <v>5877</v>
      </c>
      <c r="D306" s="4296" t="s">
        <v>4674</v>
      </c>
      <c r="E306" s="4297">
        <v>14.226724000000003</v>
      </c>
    </row>
    <row r="307" spans="2:5">
      <c r="B307" s="4296" t="s">
        <v>5878</v>
      </c>
      <c r="C307" s="4296" t="s">
        <v>5879</v>
      </c>
      <c r="D307" s="4296" t="s">
        <v>4674</v>
      </c>
      <c r="E307" s="4297">
        <v>14.065846000000002</v>
      </c>
    </row>
    <row r="308" spans="2:5">
      <c r="B308" s="4296" t="s">
        <v>5880</v>
      </c>
      <c r="C308" s="4296" t="s">
        <v>5881</v>
      </c>
      <c r="D308" s="4296" t="s">
        <v>4674</v>
      </c>
      <c r="E308" s="4297">
        <v>14.039965000000002</v>
      </c>
    </row>
    <row r="309" spans="2:5">
      <c r="B309" s="4296" t="s">
        <v>5882</v>
      </c>
      <c r="C309" s="4296" t="s">
        <v>5883</v>
      </c>
      <c r="D309" s="4296" t="s">
        <v>4674</v>
      </c>
      <c r="E309" s="4297">
        <v>13.821136000000001</v>
      </c>
    </row>
    <row r="310" spans="2:5">
      <c r="B310" s="4296" t="s">
        <v>5884</v>
      </c>
      <c r="C310" s="4296" t="s">
        <v>5885</v>
      </c>
      <c r="D310" s="4296" t="s">
        <v>4674</v>
      </c>
      <c r="E310" s="4297">
        <v>13.702983999999999</v>
      </c>
    </row>
    <row r="311" spans="2:5">
      <c r="B311" s="4296" t="s">
        <v>5886</v>
      </c>
      <c r="C311" s="4296" t="s">
        <v>5887</v>
      </c>
      <c r="D311" s="4296" t="s">
        <v>4674</v>
      </c>
      <c r="E311" s="4297">
        <v>13.585823999999999</v>
      </c>
    </row>
    <row r="312" spans="2:5">
      <c r="B312" s="4296" t="s">
        <v>5888</v>
      </c>
      <c r="C312" s="4296" t="s">
        <v>5889</v>
      </c>
      <c r="D312" s="4296" t="s">
        <v>4674</v>
      </c>
      <c r="E312" s="4297">
        <v>13.404774</v>
      </c>
    </row>
    <row r="313" spans="2:5">
      <c r="B313" s="4296" t="s">
        <v>5890</v>
      </c>
      <c r="C313" s="4296" t="s">
        <v>5891</v>
      </c>
      <c r="D313" s="4296" t="s">
        <v>4674</v>
      </c>
      <c r="E313" s="4297">
        <v>13.353175</v>
      </c>
    </row>
    <row r="314" spans="2:5">
      <c r="B314" s="4296" t="s">
        <v>5892</v>
      </c>
      <c r="C314" s="4296" t="s">
        <v>5893</v>
      </c>
      <c r="D314" s="4296" t="s">
        <v>4674</v>
      </c>
      <c r="E314" s="4297">
        <v>13.1934</v>
      </c>
    </row>
    <row r="315" spans="2:5">
      <c r="B315" s="4296" t="s">
        <v>5894</v>
      </c>
      <c r="C315" s="4296" t="s">
        <v>5895</v>
      </c>
      <c r="D315" s="4296" t="s">
        <v>4674</v>
      </c>
      <c r="E315" s="4297">
        <v>13.170299999999999</v>
      </c>
    </row>
    <row r="316" spans="2:5">
      <c r="B316" s="4296" t="s">
        <v>5896</v>
      </c>
      <c r="C316" s="4296" t="s">
        <v>5897</v>
      </c>
      <c r="D316" s="4296" t="s">
        <v>4674</v>
      </c>
      <c r="E316" s="4297">
        <v>13.117458000000001</v>
      </c>
    </row>
    <row r="317" spans="2:5">
      <c r="B317" s="4296" t="s">
        <v>5898</v>
      </c>
      <c r="C317" s="4296" t="s">
        <v>5899</v>
      </c>
      <c r="D317" s="4296" t="s">
        <v>4674</v>
      </c>
      <c r="E317" s="4297">
        <v>13.095072999999998</v>
      </c>
    </row>
    <row r="318" spans="2:5">
      <c r="B318" s="4296" t="s">
        <v>5900</v>
      </c>
      <c r="C318" s="4296" t="s">
        <v>5901</v>
      </c>
      <c r="D318" s="4296" t="s">
        <v>4674</v>
      </c>
      <c r="E318" s="4297">
        <v>13.094619999999999</v>
      </c>
    </row>
    <row r="319" spans="2:5">
      <c r="B319" s="4296" t="s">
        <v>5902</v>
      </c>
      <c r="C319" s="4296" t="s">
        <v>5903</v>
      </c>
      <c r="D319" s="4296" t="s">
        <v>4674</v>
      </c>
      <c r="E319" s="4297">
        <v>13.034985000000001</v>
      </c>
    </row>
    <row r="320" spans="2:5">
      <c r="B320" s="4296" t="s">
        <v>5904</v>
      </c>
      <c r="C320" s="4296" t="s">
        <v>5905</v>
      </c>
      <c r="D320" s="4296" t="s">
        <v>5222</v>
      </c>
      <c r="E320" s="4297">
        <v>12.89315</v>
      </c>
    </row>
    <row r="321" spans="2:5">
      <c r="B321" s="4296" t="s">
        <v>5906</v>
      </c>
      <c r="C321" s="4296" t="s">
        <v>5907</v>
      </c>
      <c r="D321" s="4296" t="s">
        <v>4674</v>
      </c>
      <c r="E321" s="4297">
        <v>12.883802000000003</v>
      </c>
    </row>
    <row r="322" spans="2:5">
      <c r="B322" s="4296" t="s">
        <v>5908</v>
      </c>
      <c r="C322" s="4296" t="s">
        <v>5909</v>
      </c>
      <c r="D322" s="4296" t="s">
        <v>4674</v>
      </c>
      <c r="E322" s="4297">
        <v>12.751055999999997</v>
      </c>
    </row>
    <row r="323" spans="2:5">
      <c r="B323" s="4296" t="s">
        <v>5910</v>
      </c>
      <c r="C323" s="4296" t="s">
        <v>5911</v>
      </c>
      <c r="D323" s="4296" t="s">
        <v>4674</v>
      </c>
      <c r="E323" s="4297">
        <v>12.564</v>
      </c>
    </row>
    <row r="324" spans="2:5">
      <c r="B324" s="4296" t="s">
        <v>5912</v>
      </c>
      <c r="C324" s="4296" t="s">
        <v>5913</v>
      </c>
      <c r="D324" s="4296" t="s">
        <v>5222</v>
      </c>
      <c r="E324" s="4297">
        <v>12.55</v>
      </c>
    </row>
    <row r="325" spans="2:5">
      <c r="B325" s="4296" t="s">
        <v>5914</v>
      </c>
      <c r="C325" s="4296" t="s">
        <v>5915</v>
      </c>
      <c r="D325" s="4296" t="s">
        <v>4674</v>
      </c>
      <c r="E325" s="4297">
        <v>12.542999999999997</v>
      </c>
    </row>
    <row r="326" spans="2:5">
      <c r="B326" s="4296" t="s">
        <v>5916</v>
      </c>
      <c r="C326" s="4296" t="s">
        <v>5917</v>
      </c>
      <c r="D326" s="4296" t="s">
        <v>4674</v>
      </c>
      <c r="E326" s="4297">
        <v>12.517685999999999</v>
      </c>
    </row>
    <row r="327" spans="2:5">
      <c r="B327" s="4296" t="s">
        <v>5918</v>
      </c>
      <c r="C327" s="4296" t="s">
        <v>5919</v>
      </c>
      <c r="D327" s="4296" t="s">
        <v>4674</v>
      </c>
      <c r="E327" s="4297">
        <v>12.456</v>
      </c>
    </row>
    <row r="328" spans="2:5">
      <c r="B328" s="4296" t="s">
        <v>5920</v>
      </c>
      <c r="C328" s="4296" t="s">
        <v>5921</v>
      </c>
      <c r="D328" s="4296" t="s">
        <v>4674</v>
      </c>
      <c r="E328" s="4297">
        <v>12.428333</v>
      </c>
    </row>
    <row r="329" spans="2:5">
      <c r="B329" s="4296" t="s">
        <v>5922</v>
      </c>
      <c r="C329" s="4296" t="s">
        <v>5923</v>
      </c>
      <c r="D329" s="4296" t="s">
        <v>4674</v>
      </c>
      <c r="E329" s="4297">
        <v>12.306761</v>
      </c>
    </row>
    <row r="330" spans="2:5">
      <c r="B330" s="4296" t="s">
        <v>5924</v>
      </c>
      <c r="C330" s="4296" t="s">
        <v>5925</v>
      </c>
      <c r="D330" s="4296" t="s">
        <v>4674</v>
      </c>
      <c r="E330" s="4297">
        <v>12.288</v>
      </c>
    </row>
    <row r="331" spans="2:5">
      <c r="B331" s="4296" t="s">
        <v>5926</v>
      </c>
      <c r="C331" s="4296" t="s">
        <v>5927</v>
      </c>
      <c r="D331" s="4296" t="s">
        <v>4674</v>
      </c>
      <c r="E331" s="4297">
        <v>12.095541000000001</v>
      </c>
    </row>
    <row r="332" spans="2:5">
      <c r="B332" s="4296" t="s">
        <v>5928</v>
      </c>
      <c r="C332" s="4296" t="s">
        <v>5929</v>
      </c>
      <c r="D332" s="4296" t="s">
        <v>4674</v>
      </c>
      <c r="E332" s="4297">
        <v>12.074348000000002</v>
      </c>
    </row>
    <row r="333" spans="2:5">
      <c r="B333" s="4296" t="s">
        <v>5930</v>
      </c>
      <c r="C333" s="4296" t="s">
        <v>5931</v>
      </c>
      <c r="D333" s="4296" t="s">
        <v>4897</v>
      </c>
      <c r="E333" s="4297">
        <v>12</v>
      </c>
    </row>
    <row r="334" spans="2:5">
      <c r="B334" s="4296" t="s">
        <v>5932</v>
      </c>
      <c r="C334" s="4296" t="s">
        <v>5933</v>
      </c>
      <c r="D334" s="4296" t="s">
        <v>4897</v>
      </c>
      <c r="E334" s="4297">
        <v>12</v>
      </c>
    </row>
    <row r="335" spans="2:5">
      <c r="B335" s="4296" t="s">
        <v>5934</v>
      </c>
      <c r="C335" s="4296" t="s">
        <v>5935</v>
      </c>
      <c r="D335" s="4296" t="s">
        <v>4897</v>
      </c>
      <c r="E335" s="4297">
        <v>12</v>
      </c>
    </row>
    <row r="336" spans="2:5">
      <c r="B336" s="4296" t="s">
        <v>5936</v>
      </c>
      <c r="C336" s="4296" t="s">
        <v>5937</v>
      </c>
      <c r="D336" s="4296" t="s">
        <v>4897</v>
      </c>
      <c r="E336" s="4297">
        <v>12</v>
      </c>
    </row>
    <row r="337" spans="2:5">
      <c r="B337" s="4296" t="s">
        <v>5938</v>
      </c>
      <c r="C337" s="4296" t="s">
        <v>5939</v>
      </c>
      <c r="D337" s="4296" t="s">
        <v>4897</v>
      </c>
      <c r="E337" s="4297">
        <v>12</v>
      </c>
    </row>
    <row r="338" spans="2:5">
      <c r="B338" s="4296" t="s">
        <v>5940</v>
      </c>
      <c r="C338" s="4296" t="s">
        <v>5941</v>
      </c>
      <c r="D338" s="4296" t="s">
        <v>4897</v>
      </c>
      <c r="E338" s="4297">
        <v>12</v>
      </c>
    </row>
    <row r="339" spans="2:5">
      <c r="B339" s="4296" t="s">
        <v>5942</v>
      </c>
      <c r="C339" s="4296" t="s">
        <v>5943</v>
      </c>
      <c r="D339" s="4296" t="s">
        <v>4674</v>
      </c>
      <c r="E339" s="4297">
        <v>11.632361999999999</v>
      </c>
    </row>
    <row r="340" spans="2:5">
      <c r="B340" s="4296" t="s">
        <v>5944</v>
      </c>
      <c r="C340" s="4296" t="s">
        <v>5945</v>
      </c>
      <c r="D340" s="4296" t="s">
        <v>4897</v>
      </c>
      <c r="E340" s="4297">
        <v>11.612903999999999</v>
      </c>
    </row>
    <row r="341" spans="2:5">
      <c r="B341" s="4296" t="s">
        <v>5946</v>
      </c>
      <c r="C341" s="4296" t="s">
        <v>5947</v>
      </c>
      <c r="D341" s="4296" t="s">
        <v>4674</v>
      </c>
      <c r="E341" s="4297">
        <v>11.543347000000001</v>
      </c>
    </row>
    <row r="342" spans="2:5">
      <c r="B342" s="4296" t="s">
        <v>5948</v>
      </c>
      <c r="C342" s="4296" t="s">
        <v>5949</v>
      </c>
      <c r="D342" s="4296" t="s">
        <v>4674</v>
      </c>
      <c r="E342" s="4297">
        <v>11.494159000000002</v>
      </c>
    </row>
    <row r="343" spans="2:5">
      <c r="B343" s="4296" t="s">
        <v>5950</v>
      </c>
      <c r="C343" s="4296" t="s">
        <v>5951</v>
      </c>
      <c r="D343" s="4296" t="s">
        <v>5222</v>
      </c>
      <c r="E343" s="4297">
        <v>11.451613</v>
      </c>
    </row>
    <row r="344" spans="2:5">
      <c r="B344" s="4296" t="s">
        <v>5952</v>
      </c>
      <c r="C344" s="4296" t="s">
        <v>5953</v>
      </c>
      <c r="D344" s="4296" t="s">
        <v>4674</v>
      </c>
      <c r="E344" s="4297">
        <v>11.402873999999999</v>
      </c>
    </row>
    <row r="345" spans="2:5">
      <c r="B345" s="4296" t="s">
        <v>5954</v>
      </c>
      <c r="C345" s="4296" t="s">
        <v>5955</v>
      </c>
      <c r="D345" s="4296" t="s">
        <v>5149</v>
      </c>
      <c r="E345" s="4297">
        <v>11.219520000000003</v>
      </c>
    </row>
    <row r="346" spans="2:5">
      <c r="B346" s="4296" t="s">
        <v>5956</v>
      </c>
      <c r="C346" s="4296" t="s">
        <v>5957</v>
      </c>
      <c r="D346" s="4296" t="s">
        <v>4674</v>
      </c>
      <c r="E346" s="4297">
        <v>11.174724000000001</v>
      </c>
    </row>
    <row r="347" spans="2:5">
      <c r="B347" s="4296" t="s">
        <v>5958</v>
      </c>
      <c r="C347" s="4296" t="s">
        <v>5959</v>
      </c>
      <c r="D347" s="4296" t="s">
        <v>4897</v>
      </c>
      <c r="E347" s="4297">
        <v>11.058282</v>
      </c>
    </row>
    <row r="348" spans="2:5">
      <c r="B348" s="4296" t="s">
        <v>5960</v>
      </c>
      <c r="C348" s="4296" t="s">
        <v>5961</v>
      </c>
      <c r="D348" s="4296" t="s">
        <v>4897</v>
      </c>
      <c r="E348" s="4297">
        <v>11</v>
      </c>
    </row>
    <row r="349" spans="2:5">
      <c r="B349" s="4296" t="s">
        <v>5962</v>
      </c>
      <c r="C349" s="4296" t="s">
        <v>5963</v>
      </c>
      <c r="D349" s="4296" t="s">
        <v>4674</v>
      </c>
      <c r="E349" s="4297">
        <v>10.992939999999999</v>
      </c>
    </row>
    <row r="350" spans="2:5">
      <c r="B350" s="4296" t="s">
        <v>5964</v>
      </c>
      <c r="C350" s="4296" t="s">
        <v>5965</v>
      </c>
      <c r="D350" s="4296" t="s">
        <v>4674</v>
      </c>
      <c r="E350" s="4297">
        <v>10.989348</v>
      </c>
    </row>
    <row r="351" spans="2:5">
      <c r="B351" s="4296" t="s">
        <v>5966</v>
      </c>
      <c r="C351" s="4296" t="s">
        <v>5967</v>
      </c>
      <c r="D351" s="4296" t="s">
        <v>4987</v>
      </c>
      <c r="E351" s="4297">
        <v>10.964160000000001</v>
      </c>
    </row>
    <row r="352" spans="2:5">
      <c r="B352" s="4296" t="s">
        <v>5968</v>
      </c>
      <c r="C352" s="4296" t="s">
        <v>5969</v>
      </c>
      <c r="D352" s="4296" t="s">
        <v>4674</v>
      </c>
      <c r="E352" s="4297">
        <v>10.863123999999999</v>
      </c>
    </row>
    <row r="353" spans="2:5">
      <c r="B353" s="4296" t="s">
        <v>5970</v>
      </c>
      <c r="C353" s="4296" t="s">
        <v>5971</v>
      </c>
      <c r="D353" s="4296" t="s">
        <v>4897</v>
      </c>
      <c r="E353" s="4297">
        <v>10.8</v>
      </c>
    </row>
    <row r="354" spans="2:5">
      <c r="B354" s="4296" t="s">
        <v>5972</v>
      </c>
      <c r="C354" s="4296" t="s">
        <v>5973</v>
      </c>
      <c r="D354" s="4296" t="s">
        <v>5222</v>
      </c>
      <c r="E354" s="4297">
        <v>10.8</v>
      </c>
    </row>
    <row r="355" spans="2:5">
      <c r="B355" s="4296" t="s">
        <v>5974</v>
      </c>
      <c r="C355" s="4296" t="s">
        <v>5975</v>
      </c>
      <c r="D355" s="4296" t="s">
        <v>4674</v>
      </c>
      <c r="E355" s="4297">
        <v>10.75446</v>
      </c>
    </row>
    <row r="356" spans="2:5">
      <c r="B356" s="4296" t="s">
        <v>5976</v>
      </c>
      <c r="C356" s="4296" t="s">
        <v>5977</v>
      </c>
      <c r="D356" s="4296" t="s">
        <v>4674</v>
      </c>
      <c r="E356" s="4297">
        <v>10.718279999999998</v>
      </c>
    </row>
    <row r="357" spans="2:5">
      <c r="B357" s="4296" t="s">
        <v>5978</v>
      </c>
      <c r="C357" s="4296" t="s">
        <v>5979</v>
      </c>
      <c r="D357" s="4296" t="s">
        <v>4674</v>
      </c>
      <c r="E357" s="4297">
        <v>10.718088999999999</v>
      </c>
    </row>
    <row r="358" spans="2:5">
      <c r="B358" s="4296" t="s">
        <v>5980</v>
      </c>
      <c r="C358" s="4296" t="s">
        <v>5981</v>
      </c>
      <c r="D358" s="4296" t="s">
        <v>4674</v>
      </c>
      <c r="E358" s="4297">
        <v>10.672153999999999</v>
      </c>
    </row>
    <row r="359" spans="2:5">
      <c r="B359" s="4296" t="s">
        <v>5982</v>
      </c>
      <c r="C359" s="4296" t="s">
        <v>5983</v>
      </c>
      <c r="D359" s="4296" t="s">
        <v>4674</v>
      </c>
      <c r="E359" s="4297">
        <v>10.631480999999999</v>
      </c>
    </row>
    <row r="360" spans="2:5">
      <c r="B360" s="4296" t="s">
        <v>5984</v>
      </c>
      <c r="C360" s="4296" t="s">
        <v>5985</v>
      </c>
      <c r="D360" s="4296" t="s">
        <v>4674</v>
      </c>
      <c r="E360" s="4297">
        <v>10.622346999999998</v>
      </c>
    </row>
    <row r="361" spans="2:5">
      <c r="B361" s="4296" t="s">
        <v>5986</v>
      </c>
      <c r="C361" s="4296" t="s">
        <v>5987</v>
      </c>
      <c r="D361" s="4296" t="s">
        <v>4674</v>
      </c>
      <c r="E361" s="4297">
        <v>10.584450000000002</v>
      </c>
    </row>
    <row r="362" spans="2:5">
      <c r="B362" s="4296" t="s">
        <v>5988</v>
      </c>
      <c r="C362" s="4296" t="s">
        <v>5989</v>
      </c>
      <c r="D362" s="4296" t="s">
        <v>4897</v>
      </c>
      <c r="E362" s="4297">
        <v>10.442466</v>
      </c>
    </row>
    <row r="363" spans="2:5">
      <c r="B363" s="4296" t="s">
        <v>5990</v>
      </c>
      <c r="C363" s="4296" t="s">
        <v>5991</v>
      </c>
      <c r="D363" s="4296" t="s">
        <v>4674</v>
      </c>
      <c r="E363" s="4297">
        <v>10.439921</v>
      </c>
    </row>
    <row r="364" spans="2:5">
      <c r="B364" s="4296" t="s">
        <v>5992</v>
      </c>
      <c r="C364" s="4296" t="s">
        <v>5993</v>
      </c>
      <c r="D364" s="4296" t="s">
        <v>4674</v>
      </c>
      <c r="E364" s="4297">
        <v>10.298049000000001</v>
      </c>
    </row>
    <row r="365" spans="2:5">
      <c r="B365" s="4296" t="s">
        <v>5994</v>
      </c>
      <c r="C365" s="4296" t="s">
        <v>5995</v>
      </c>
      <c r="D365" s="4296" t="s">
        <v>4674</v>
      </c>
      <c r="E365" s="4297">
        <v>10.238669</v>
      </c>
    </row>
    <row r="366" spans="2:5">
      <c r="B366" s="4296" t="s">
        <v>5996</v>
      </c>
      <c r="C366" s="4296" t="s">
        <v>5997</v>
      </c>
      <c r="D366" s="4296" t="s">
        <v>5149</v>
      </c>
      <c r="E366" s="4297">
        <v>10.1136</v>
      </c>
    </row>
    <row r="367" spans="2:5">
      <c r="B367" s="4296" t="s">
        <v>5998</v>
      </c>
      <c r="C367" s="4296" t="s">
        <v>5999</v>
      </c>
      <c r="D367" s="4296" t="s">
        <v>4674</v>
      </c>
      <c r="E367" s="4297">
        <v>9.9648419999999991</v>
      </c>
    </row>
    <row r="368" spans="2:5">
      <c r="B368" s="4296" t="s">
        <v>6000</v>
      </c>
      <c r="C368" s="4296" t="s">
        <v>6001</v>
      </c>
      <c r="D368" s="4296" t="s">
        <v>4897</v>
      </c>
      <c r="E368" s="4297">
        <v>9.9</v>
      </c>
    </row>
    <row r="369" spans="2:5">
      <c r="B369" s="4296" t="s">
        <v>6002</v>
      </c>
      <c r="C369" s="4296" t="s">
        <v>6003</v>
      </c>
      <c r="D369" s="4296" t="s">
        <v>4897</v>
      </c>
      <c r="E369" s="4297">
        <v>9.7762199999999986</v>
      </c>
    </row>
    <row r="370" spans="2:5">
      <c r="B370" s="4296" t="s">
        <v>6004</v>
      </c>
      <c r="C370" s="4296" t="s">
        <v>6005</v>
      </c>
      <c r="D370" s="4296" t="s">
        <v>4674</v>
      </c>
      <c r="E370" s="4297">
        <v>9.7128960000000006</v>
      </c>
    </row>
    <row r="371" spans="2:5">
      <c r="B371" s="4296" t="s">
        <v>6006</v>
      </c>
      <c r="C371" s="4296" t="s">
        <v>6007</v>
      </c>
      <c r="D371" s="4296" t="s">
        <v>4674</v>
      </c>
      <c r="E371" s="4297">
        <v>9.6653400000000005</v>
      </c>
    </row>
    <row r="372" spans="2:5">
      <c r="B372" s="4296" t="s">
        <v>6008</v>
      </c>
      <c r="C372" s="4296" t="s">
        <v>6009</v>
      </c>
      <c r="D372" s="4296" t="s">
        <v>4674</v>
      </c>
      <c r="E372" s="4297">
        <v>9.6316260000000007</v>
      </c>
    </row>
    <row r="373" spans="2:5">
      <c r="B373" s="4296" t="s">
        <v>6010</v>
      </c>
      <c r="C373" s="4296" t="s">
        <v>6011</v>
      </c>
      <c r="D373" s="4296" t="s">
        <v>4674</v>
      </c>
      <c r="E373" s="4297">
        <v>9.425139999999999</v>
      </c>
    </row>
    <row r="374" spans="2:5">
      <c r="B374" s="4296" t="s">
        <v>6012</v>
      </c>
      <c r="C374" s="4296" t="s">
        <v>6013</v>
      </c>
      <c r="D374" s="4296" t="s">
        <v>5222</v>
      </c>
      <c r="E374" s="4297">
        <v>9.4001999999999999</v>
      </c>
    </row>
    <row r="375" spans="2:5">
      <c r="B375" s="4296" t="s">
        <v>6014</v>
      </c>
      <c r="C375" s="4296" t="s">
        <v>6015</v>
      </c>
      <c r="D375" s="4296" t="s">
        <v>4674</v>
      </c>
      <c r="E375" s="4297">
        <v>9.3656000000000006</v>
      </c>
    </row>
    <row r="376" spans="2:5">
      <c r="B376" s="4296" t="s">
        <v>6016</v>
      </c>
      <c r="C376" s="4296" t="s">
        <v>6017</v>
      </c>
      <c r="D376" s="4296" t="s">
        <v>5222</v>
      </c>
      <c r="E376" s="4297">
        <v>9.1849310000000006</v>
      </c>
    </row>
    <row r="377" spans="2:5">
      <c r="B377" s="4296" t="s">
        <v>6018</v>
      </c>
      <c r="C377" s="4296" t="s">
        <v>6019</v>
      </c>
      <c r="D377" s="4296" t="s">
        <v>4674</v>
      </c>
      <c r="E377" s="4297">
        <v>9.1492500000000003</v>
      </c>
    </row>
    <row r="378" spans="2:5">
      <c r="B378" s="4296" t="s">
        <v>6020</v>
      </c>
      <c r="C378" s="4296" t="s">
        <v>6021</v>
      </c>
      <c r="D378" s="4296" t="s">
        <v>4674</v>
      </c>
      <c r="E378" s="4297">
        <v>9.0580990000000003</v>
      </c>
    </row>
    <row r="379" spans="2:5">
      <c r="B379" s="4296" t="s">
        <v>6022</v>
      </c>
      <c r="C379" s="4296" t="s">
        <v>6023</v>
      </c>
      <c r="D379" s="4296" t="s">
        <v>4674</v>
      </c>
      <c r="E379" s="4297">
        <v>8.9702320000000011</v>
      </c>
    </row>
    <row r="380" spans="2:5">
      <c r="B380" s="4296" t="s">
        <v>6024</v>
      </c>
      <c r="C380" s="4296" t="s">
        <v>6025</v>
      </c>
      <c r="D380" s="4296" t="s">
        <v>4674</v>
      </c>
      <c r="E380" s="4297">
        <v>8.9522940000000002</v>
      </c>
    </row>
    <row r="381" spans="2:5">
      <c r="B381" s="4296" t="s">
        <v>6026</v>
      </c>
      <c r="C381" s="4296" t="s">
        <v>6027</v>
      </c>
      <c r="D381" s="4296" t="s">
        <v>4674</v>
      </c>
      <c r="E381" s="4297">
        <v>8.8897999999999993</v>
      </c>
    </row>
    <row r="382" spans="2:5">
      <c r="B382" s="4296" t="s">
        <v>6028</v>
      </c>
      <c r="C382" s="4296" t="s">
        <v>6029</v>
      </c>
      <c r="D382" s="4296" t="s">
        <v>4674</v>
      </c>
      <c r="E382" s="4297">
        <v>8.8495019999999993</v>
      </c>
    </row>
    <row r="383" spans="2:5">
      <c r="B383" s="4296" t="s">
        <v>6030</v>
      </c>
      <c r="C383" s="4296" t="s">
        <v>6031</v>
      </c>
      <c r="D383" s="4296" t="s">
        <v>4897</v>
      </c>
      <c r="E383" s="4297">
        <v>8.8000000000000007</v>
      </c>
    </row>
    <row r="384" spans="2:5">
      <c r="B384" s="4296" t="s">
        <v>6032</v>
      </c>
      <c r="C384" s="4296" t="s">
        <v>6033</v>
      </c>
      <c r="D384" s="4296" t="s">
        <v>4674</v>
      </c>
      <c r="E384" s="4297">
        <v>8.5865869999999997</v>
      </c>
    </row>
    <row r="385" spans="2:5">
      <c r="B385" s="4296" t="s">
        <v>6034</v>
      </c>
      <c r="C385" s="4296" t="s">
        <v>6035</v>
      </c>
      <c r="D385" s="4296" t="s">
        <v>4674</v>
      </c>
      <c r="E385" s="4297">
        <v>8.4157060000000019</v>
      </c>
    </row>
    <row r="386" spans="2:5">
      <c r="B386" s="4296" t="s">
        <v>6036</v>
      </c>
      <c r="C386" s="4296" t="s">
        <v>6037</v>
      </c>
      <c r="D386" s="4296" t="s">
        <v>4897</v>
      </c>
      <c r="E386" s="4297">
        <v>8.4</v>
      </c>
    </row>
    <row r="387" spans="2:5">
      <c r="B387" s="4296" t="s">
        <v>6038</v>
      </c>
      <c r="C387" s="4296" t="s">
        <v>6039</v>
      </c>
      <c r="D387" s="4296" t="s">
        <v>4674</v>
      </c>
      <c r="E387" s="4297">
        <v>8.3626799999999992</v>
      </c>
    </row>
    <row r="388" spans="2:5">
      <c r="B388" s="4296" t="s">
        <v>6040</v>
      </c>
      <c r="C388" s="4296" t="s">
        <v>6041</v>
      </c>
      <c r="D388" s="4296" t="s">
        <v>4674</v>
      </c>
      <c r="E388" s="4297">
        <v>8.2840959999999999</v>
      </c>
    </row>
    <row r="389" spans="2:5">
      <c r="B389" s="4296" t="s">
        <v>6042</v>
      </c>
      <c r="C389" s="4296" t="s">
        <v>6043</v>
      </c>
      <c r="D389" s="4296" t="s">
        <v>6044</v>
      </c>
      <c r="E389" s="4297">
        <v>8.2330290000000002</v>
      </c>
    </row>
    <row r="390" spans="2:5">
      <c r="B390" s="4296" t="s">
        <v>6045</v>
      </c>
      <c r="C390" s="4296" t="s">
        <v>6046</v>
      </c>
      <c r="D390" s="4296" t="s">
        <v>4674</v>
      </c>
      <c r="E390" s="4297">
        <v>8.0211959999999998</v>
      </c>
    </row>
    <row r="391" spans="2:5">
      <c r="B391" s="4296" t="s">
        <v>6047</v>
      </c>
      <c r="C391" s="4296" t="s">
        <v>6048</v>
      </c>
      <c r="D391" s="4296" t="s">
        <v>4674</v>
      </c>
      <c r="E391" s="4297">
        <v>8.0139600000000009</v>
      </c>
    </row>
    <row r="392" spans="2:5">
      <c r="B392" s="4296" t="s">
        <v>6049</v>
      </c>
      <c r="C392" s="4296" t="s">
        <v>6050</v>
      </c>
      <c r="D392" s="4296" t="s">
        <v>4674</v>
      </c>
      <c r="E392" s="4297">
        <v>7.9502940000000004</v>
      </c>
    </row>
    <row r="393" spans="2:5">
      <c r="B393" s="4296" t="s">
        <v>6051</v>
      </c>
      <c r="C393" s="4296" t="s">
        <v>6052</v>
      </c>
      <c r="D393" s="4296" t="s">
        <v>4674</v>
      </c>
      <c r="E393" s="4297">
        <v>7.8849480000000014</v>
      </c>
    </row>
    <row r="394" spans="2:5">
      <c r="B394" s="4296" t="s">
        <v>6053</v>
      </c>
      <c r="C394" s="4296" t="s">
        <v>6054</v>
      </c>
      <c r="D394" s="4296" t="s">
        <v>4674</v>
      </c>
      <c r="E394" s="4297">
        <v>7.8806190000000003</v>
      </c>
    </row>
    <row r="395" spans="2:5">
      <c r="B395" s="4296" t="s">
        <v>6055</v>
      </c>
      <c r="C395" s="4296" t="s">
        <v>6056</v>
      </c>
      <c r="D395" s="4296" t="s">
        <v>4674</v>
      </c>
      <c r="E395" s="4297">
        <v>7.8090400000000013</v>
      </c>
    </row>
    <row r="396" spans="2:5">
      <c r="B396" s="4296" t="s">
        <v>6057</v>
      </c>
      <c r="C396" s="4296" t="s">
        <v>6058</v>
      </c>
      <c r="D396" s="4296" t="s">
        <v>4674</v>
      </c>
      <c r="E396" s="4297">
        <v>7.7779679999999995</v>
      </c>
    </row>
    <row r="397" spans="2:5">
      <c r="B397" s="4296" t="s">
        <v>6059</v>
      </c>
      <c r="C397" s="4296" t="s">
        <v>6060</v>
      </c>
      <c r="D397" s="4296" t="s">
        <v>4674</v>
      </c>
      <c r="E397" s="4297">
        <v>7.6560160000000002</v>
      </c>
    </row>
    <row r="398" spans="2:5">
      <c r="B398" s="4296" t="s">
        <v>6061</v>
      </c>
      <c r="C398" s="4296" t="s">
        <v>6062</v>
      </c>
      <c r="D398" s="4296" t="s">
        <v>4674</v>
      </c>
      <c r="E398" s="4297">
        <v>7.6027680000000011</v>
      </c>
    </row>
    <row r="399" spans="2:5">
      <c r="B399" s="4296" t="s">
        <v>6063</v>
      </c>
      <c r="C399" s="4296" t="s">
        <v>6064</v>
      </c>
      <c r="D399" s="4296" t="s">
        <v>4674</v>
      </c>
      <c r="E399" s="4297">
        <v>7.58718</v>
      </c>
    </row>
    <row r="400" spans="2:5">
      <c r="B400" s="4296" t="s">
        <v>6065</v>
      </c>
      <c r="C400" s="4296" t="s">
        <v>6066</v>
      </c>
      <c r="D400" s="4296" t="s">
        <v>5222</v>
      </c>
      <c r="E400" s="4297">
        <v>7.5154839999999998</v>
      </c>
    </row>
    <row r="401" spans="2:5">
      <c r="B401" s="4296" t="s">
        <v>6067</v>
      </c>
      <c r="C401" s="4296" t="s">
        <v>6068</v>
      </c>
      <c r="D401" s="4296" t="s">
        <v>4897</v>
      </c>
      <c r="E401" s="4297">
        <v>7.5102040000000008</v>
      </c>
    </row>
    <row r="402" spans="2:5">
      <c r="B402" s="4296" t="s">
        <v>6069</v>
      </c>
      <c r="C402" s="4296" t="s">
        <v>6070</v>
      </c>
      <c r="D402" s="4296" t="s">
        <v>4897</v>
      </c>
      <c r="E402" s="4297">
        <v>7.5</v>
      </c>
    </row>
    <row r="403" spans="2:5">
      <c r="B403" s="4296" t="s">
        <v>6071</v>
      </c>
      <c r="C403" s="4296" t="s">
        <v>6072</v>
      </c>
      <c r="D403" s="4296" t="s">
        <v>4897</v>
      </c>
      <c r="E403" s="4297">
        <v>7.5</v>
      </c>
    </row>
    <row r="404" spans="2:5">
      <c r="B404" s="4296" t="s">
        <v>6073</v>
      </c>
      <c r="C404" s="4296" t="s">
        <v>6074</v>
      </c>
      <c r="D404" s="4296" t="s">
        <v>4897</v>
      </c>
      <c r="E404" s="4297">
        <v>7.5</v>
      </c>
    </row>
    <row r="405" spans="2:5">
      <c r="B405" s="4296" t="s">
        <v>6075</v>
      </c>
      <c r="C405" s="4296" t="s">
        <v>6076</v>
      </c>
      <c r="D405" s="4296" t="s">
        <v>4987</v>
      </c>
      <c r="E405" s="4297">
        <v>7.3727999999999998</v>
      </c>
    </row>
    <row r="406" spans="2:5">
      <c r="B406" s="4296" t="s">
        <v>6077</v>
      </c>
      <c r="C406" s="4296" t="s">
        <v>6078</v>
      </c>
      <c r="D406" s="4296" t="s">
        <v>4987</v>
      </c>
      <c r="E406" s="4297">
        <v>7.3286399999999983</v>
      </c>
    </row>
    <row r="407" spans="2:5">
      <c r="B407" s="4296" t="s">
        <v>6079</v>
      </c>
      <c r="C407" s="4296" t="s">
        <v>6080</v>
      </c>
      <c r="D407" s="4296" t="s">
        <v>4674</v>
      </c>
      <c r="E407" s="4297">
        <v>7.2912739999999987</v>
      </c>
    </row>
    <row r="408" spans="2:5">
      <c r="B408" s="4296" t="s">
        <v>6081</v>
      </c>
      <c r="C408" s="4296" t="s">
        <v>6082</v>
      </c>
      <c r="D408" s="4296" t="s">
        <v>4674</v>
      </c>
      <c r="E408" s="4297">
        <v>7.2580269999999993</v>
      </c>
    </row>
    <row r="409" spans="2:5">
      <c r="B409" s="4296" t="s">
        <v>6083</v>
      </c>
      <c r="C409" s="4296" t="s">
        <v>6084</v>
      </c>
      <c r="D409" s="4296" t="s">
        <v>5234</v>
      </c>
      <c r="E409" s="4297">
        <v>7.2343620000000053</v>
      </c>
    </row>
    <row r="410" spans="2:5">
      <c r="B410" s="4296" t="s">
        <v>6085</v>
      </c>
      <c r="C410" s="4296" t="s">
        <v>6086</v>
      </c>
      <c r="D410" s="4296" t="s">
        <v>5149</v>
      </c>
      <c r="E410" s="4297">
        <v>7.2240000000000002</v>
      </c>
    </row>
    <row r="411" spans="2:5">
      <c r="B411" s="4296" t="s">
        <v>6087</v>
      </c>
      <c r="C411" s="4296" t="s">
        <v>6088</v>
      </c>
      <c r="D411" s="4296" t="s">
        <v>4674</v>
      </c>
      <c r="E411" s="4297">
        <v>7.2183080000000004</v>
      </c>
    </row>
    <row r="412" spans="2:5">
      <c r="B412" s="4296" t="s">
        <v>6089</v>
      </c>
      <c r="C412" s="4296" t="s">
        <v>6090</v>
      </c>
      <c r="D412" s="4296" t="s">
        <v>4674</v>
      </c>
      <c r="E412" s="4297">
        <v>7.214039999999998</v>
      </c>
    </row>
    <row r="413" spans="2:5">
      <c r="B413" s="4296" t="s">
        <v>6091</v>
      </c>
      <c r="C413" s="4296" t="s">
        <v>6092</v>
      </c>
      <c r="D413" s="4296" t="s">
        <v>4897</v>
      </c>
      <c r="E413" s="4297">
        <v>7.2</v>
      </c>
    </row>
    <row r="414" spans="2:5">
      <c r="B414" s="4296" t="s">
        <v>6093</v>
      </c>
      <c r="C414" s="4296" t="s">
        <v>6094</v>
      </c>
      <c r="D414" s="4296" t="s">
        <v>4674</v>
      </c>
      <c r="E414" s="4297">
        <v>7.1098999999999997</v>
      </c>
    </row>
    <row r="415" spans="2:5">
      <c r="B415" s="4296" t="s">
        <v>6095</v>
      </c>
      <c r="C415" s="4296" t="s">
        <v>6096</v>
      </c>
      <c r="D415" s="4296" t="s">
        <v>4674</v>
      </c>
      <c r="E415" s="4297">
        <v>6.9017660000000003</v>
      </c>
    </row>
    <row r="416" spans="2:5">
      <c r="B416" s="4296" t="s">
        <v>6097</v>
      </c>
      <c r="C416" s="4296" t="s">
        <v>6098</v>
      </c>
      <c r="D416" s="4296" t="s">
        <v>4897</v>
      </c>
      <c r="E416" s="4297">
        <v>6.9</v>
      </c>
    </row>
    <row r="417" spans="2:5">
      <c r="B417" s="4296" t="s">
        <v>6099</v>
      </c>
      <c r="C417" s="4296" t="s">
        <v>6100</v>
      </c>
      <c r="D417" s="4296" t="s">
        <v>4897</v>
      </c>
      <c r="E417" s="4297">
        <v>6.9</v>
      </c>
    </row>
    <row r="418" spans="2:5">
      <c r="B418" s="4296" t="s">
        <v>6101</v>
      </c>
      <c r="C418" s="4296" t="s">
        <v>6102</v>
      </c>
      <c r="D418" s="4296" t="s">
        <v>4674</v>
      </c>
      <c r="E418" s="4297">
        <v>6.8398709999999996</v>
      </c>
    </row>
    <row r="419" spans="2:5">
      <c r="B419" s="4296" t="s">
        <v>6103</v>
      </c>
      <c r="C419" s="4296" t="s">
        <v>6104</v>
      </c>
      <c r="D419" s="4296" t="s">
        <v>4674</v>
      </c>
      <c r="E419" s="4297">
        <v>6.8192049999999984</v>
      </c>
    </row>
    <row r="420" spans="2:5">
      <c r="B420" s="4296" t="s">
        <v>6105</v>
      </c>
      <c r="C420" s="4296" t="s">
        <v>6106</v>
      </c>
      <c r="D420" s="4296" t="s">
        <v>5234</v>
      </c>
      <c r="E420" s="4297">
        <v>6.6162300000000007</v>
      </c>
    </row>
    <row r="421" spans="2:5">
      <c r="B421" s="4296" t="s">
        <v>6107</v>
      </c>
      <c r="C421" s="4296" t="s">
        <v>6108</v>
      </c>
      <c r="D421" s="4296" t="s">
        <v>4674</v>
      </c>
      <c r="E421" s="4297">
        <v>6.6003659999999975</v>
      </c>
    </row>
    <row r="422" spans="2:5">
      <c r="B422" s="4296" t="s">
        <v>6109</v>
      </c>
      <c r="C422" s="4296" t="s">
        <v>6110</v>
      </c>
      <c r="D422" s="4296" t="s">
        <v>5222</v>
      </c>
      <c r="E422" s="4297">
        <v>6.6</v>
      </c>
    </row>
    <row r="423" spans="2:5">
      <c r="B423" s="4296" t="s">
        <v>6111</v>
      </c>
      <c r="C423" s="4296" t="s">
        <v>6112</v>
      </c>
      <c r="D423" s="4296" t="s">
        <v>4674</v>
      </c>
      <c r="E423" s="4297">
        <v>6.5924820000000004</v>
      </c>
    </row>
    <row r="424" spans="2:5">
      <c r="B424" s="4296" t="s">
        <v>6113</v>
      </c>
      <c r="C424" s="4296" t="s">
        <v>6114</v>
      </c>
      <c r="D424" s="4296" t="s">
        <v>4674</v>
      </c>
      <c r="E424" s="4297">
        <v>6.4004399999999997</v>
      </c>
    </row>
    <row r="425" spans="2:5">
      <c r="B425" s="4296" t="s">
        <v>6115</v>
      </c>
      <c r="C425" s="4296" t="s">
        <v>6116</v>
      </c>
      <c r="D425" s="4296" t="s">
        <v>5222</v>
      </c>
      <c r="E425" s="4297">
        <v>6.38</v>
      </c>
    </row>
    <row r="426" spans="2:5">
      <c r="B426" s="4296" t="s">
        <v>6117</v>
      </c>
      <c r="C426" s="4296" t="s">
        <v>6118</v>
      </c>
      <c r="D426" s="4296" t="s">
        <v>4674</v>
      </c>
      <c r="E426" s="4297">
        <v>6.3755280000000001</v>
      </c>
    </row>
    <row r="427" spans="2:5">
      <c r="B427" s="4296" t="s">
        <v>6119</v>
      </c>
      <c r="C427" s="4296" t="s">
        <v>6120</v>
      </c>
      <c r="D427" s="4296" t="s">
        <v>4674</v>
      </c>
      <c r="E427" s="4297">
        <v>6.3072499999999989</v>
      </c>
    </row>
    <row r="428" spans="2:5">
      <c r="B428" s="4296" t="s">
        <v>6121</v>
      </c>
      <c r="C428" s="4296" t="s">
        <v>6122</v>
      </c>
      <c r="D428" s="4296" t="s">
        <v>4897</v>
      </c>
      <c r="E428" s="4297">
        <v>6.2999999999999989</v>
      </c>
    </row>
    <row r="429" spans="2:5">
      <c r="B429" s="4296" t="s">
        <v>6123</v>
      </c>
      <c r="C429" s="4296" t="s">
        <v>6124</v>
      </c>
      <c r="D429" s="4296" t="s">
        <v>4674</v>
      </c>
      <c r="E429" s="4297">
        <v>6.2404039999999998</v>
      </c>
    </row>
    <row r="430" spans="2:5">
      <c r="B430" s="4296" t="s">
        <v>6125</v>
      </c>
      <c r="C430" s="4296" t="s">
        <v>6126</v>
      </c>
      <c r="D430" s="4296" t="s">
        <v>4674</v>
      </c>
      <c r="E430" s="4297">
        <v>6.2334389999999997</v>
      </c>
    </row>
    <row r="431" spans="2:5">
      <c r="B431" s="4296" t="s">
        <v>6127</v>
      </c>
      <c r="C431" s="4296" t="s">
        <v>6128</v>
      </c>
      <c r="D431" s="4296" t="s">
        <v>4674</v>
      </c>
      <c r="E431" s="4297">
        <v>6.2202329999999995</v>
      </c>
    </row>
    <row r="432" spans="2:5">
      <c r="B432" s="4296" t="s">
        <v>6129</v>
      </c>
      <c r="C432" s="4296" t="s">
        <v>6130</v>
      </c>
      <c r="D432" s="4296" t="s">
        <v>4674</v>
      </c>
      <c r="E432" s="4297">
        <v>6.1248089999999999</v>
      </c>
    </row>
    <row r="433" spans="2:5">
      <c r="B433" s="4296" t="s">
        <v>6131</v>
      </c>
      <c r="C433" s="4296" t="s">
        <v>6132</v>
      </c>
      <c r="D433" s="4296" t="s">
        <v>4674</v>
      </c>
      <c r="E433" s="4297">
        <v>6.0780000000000003</v>
      </c>
    </row>
    <row r="434" spans="2:5">
      <c r="B434" s="4296" t="s">
        <v>6133</v>
      </c>
      <c r="C434" s="4296" t="s">
        <v>6134</v>
      </c>
      <c r="D434" s="4296" t="s">
        <v>4674</v>
      </c>
      <c r="E434" s="4297">
        <v>6.0363860000000003</v>
      </c>
    </row>
    <row r="435" spans="2:5">
      <c r="B435" s="4296" t="s">
        <v>6135</v>
      </c>
      <c r="C435" s="4296" t="s">
        <v>6136</v>
      </c>
      <c r="D435" s="4296" t="s">
        <v>4897</v>
      </c>
      <c r="E435" s="4297">
        <v>6</v>
      </c>
    </row>
    <row r="436" spans="2:5">
      <c r="B436" s="4296" t="s">
        <v>6137</v>
      </c>
      <c r="C436" s="4296" t="s">
        <v>6138</v>
      </c>
      <c r="D436" s="4296" t="s">
        <v>4674</v>
      </c>
      <c r="E436" s="4297">
        <v>5.9288379999999998</v>
      </c>
    </row>
    <row r="437" spans="2:5">
      <c r="B437" s="4296" t="s">
        <v>6139</v>
      </c>
      <c r="C437" s="4296" t="s">
        <v>6140</v>
      </c>
      <c r="D437" s="4296" t="s">
        <v>4674</v>
      </c>
      <c r="E437" s="4297">
        <v>5.9288379999999998</v>
      </c>
    </row>
    <row r="438" spans="2:5">
      <c r="B438" s="4296" t="s">
        <v>6141</v>
      </c>
      <c r="C438" s="4296" t="s">
        <v>6142</v>
      </c>
      <c r="D438" s="4296" t="s">
        <v>4897</v>
      </c>
      <c r="E438" s="4297">
        <v>5.9</v>
      </c>
    </row>
    <row r="439" spans="2:5">
      <c r="B439" s="4296" t="s">
        <v>6143</v>
      </c>
      <c r="C439" s="4296" t="s">
        <v>6144</v>
      </c>
      <c r="D439" s="4296" t="s">
        <v>4897</v>
      </c>
      <c r="E439" s="4297">
        <v>5.88</v>
      </c>
    </row>
    <row r="440" spans="2:5">
      <c r="B440" s="4296" t="s">
        <v>6145</v>
      </c>
      <c r="C440" s="4296" t="s">
        <v>6146</v>
      </c>
      <c r="D440" s="4296" t="s">
        <v>4674</v>
      </c>
      <c r="E440" s="4297">
        <v>5.8514600000000003</v>
      </c>
    </row>
    <row r="441" spans="2:5">
      <c r="B441" s="4296" t="s">
        <v>6147</v>
      </c>
      <c r="C441" s="4296" t="s">
        <v>6148</v>
      </c>
      <c r="D441" s="4296" t="s">
        <v>4674</v>
      </c>
      <c r="E441" s="4297">
        <v>5.8139900000000004</v>
      </c>
    </row>
    <row r="442" spans="2:5">
      <c r="B442" s="4296" t="s">
        <v>6149</v>
      </c>
      <c r="C442" s="4296" t="s">
        <v>6150</v>
      </c>
      <c r="D442" s="4296" t="s">
        <v>4674</v>
      </c>
      <c r="E442" s="4297">
        <v>5.8139900000000004</v>
      </c>
    </row>
    <row r="443" spans="2:5">
      <c r="B443" s="4296" t="s">
        <v>6151</v>
      </c>
      <c r="C443" s="4296" t="s">
        <v>6152</v>
      </c>
      <c r="D443" s="4296" t="s">
        <v>4674</v>
      </c>
      <c r="E443" s="4297">
        <v>5.767739999999999</v>
      </c>
    </row>
    <row r="444" spans="2:5">
      <c r="B444" s="4296" t="s">
        <v>6153</v>
      </c>
      <c r="C444" s="4296" t="s">
        <v>6154</v>
      </c>
      <c r="D444" s="4296" t="s">
        <v>5222</v>
      </c>
      <c r="E444" s="4297">
        <v>5.7216479999999992</v>
      </c>
    </row>
    <row r="445" spans="2:5">
      <c r="B445" s="4296" t="s">
        <v>6155</v>
      </c>
      <c r="C445" s="4296" t="s">
        <v>6156</v>
      </c>
      <c r="D445" s="4296" t="s">
        <v>4674</v>
      </c>
      <c r="E445" s="4297">
        <v>5.6866420000000009</v>
      </c>
    </row>
    <row r="446" spans="2:5">
      <c r="B446" s="4296" t="s">
        <v>6157</v>
      </c>
      <c r="C446" s="4296" t="s">
        <v>6158</v>
      </c>
      <c r="D446" s="4296" t="s">
        <v>4674</v>
      </c>
      <c r="E446" s="4297">
        <v>5.6069319999999996</v>
      </c>
    </row>
    <row r="447" spans="2:5">
      <c r="B447" s="4296" t="s">
        <v>6159</v>
      </c>
      <c r="C447" s="4296" t="s">
        <v>6160</v>
      </c>
      <c r="D447" s="4296" t="s">
        <v>4674</v>
      </c>
      <c r="E447" s="4297">
        <v>5.5751200000000001</v>
      </c>
    </row>
    <row r="448" spans="2:5">
      <c r="B448" s="4296" t="s">
        <v>6161</v>
      </c>
      <c r="C448" s="4296" t="s">
        <v>6162</v>
      </c>
      <c r="D448" s="4296" t="s">
        <v>4897</v>
      </c>
      <c r="E448" s="4297">
        <v>5.5553239999999997</v>
      </c>
    </row>
    <row r="449" spans="2:5">
      <c r="B449" s="4296" t="s">
        <v>6163</v>
      </c>
      <c r="C449" s="4296" t="s">
        <v>6164</v>
      </c>
      <c r="D449" s="4296" t="s">
        <v>5234</v>
      </c>
      <c r="E449" s="4297">
        <v>5.4990949999999996</v>
      </c>
    </row>
    <row r="450" spans="2:5">
      <c r="B450" s="4296" t="s">
        <v>6165</v>
      </c>
      <c r="C450" s="4296" t="s">
        <v>6166</v>
      </c>
      <c r="D450" s="4296" t="s">
        <v>5149</v>
      </c>
      <c r="E450" s="4297">
        <v>5.4374190000000002</v>
      </c>
    </row>
    <row r="451" spans="2:5">
      <c r="B451" s="4296" t="s">
        <v>6167</v>
      </c>
      <c r="C451" s="4296" t="s">
        <v>6168</v>
      </c>
      <c r="D451" s="4296" t="s">
        <v>4674</v>
      </c>
      <c r="E451" s="4297">
        <v>5.4340420000000007</v>
      </c>
    </row>
    <row r="452" spans="2:5">
      <c r="B452" s="4296" t="s">
        <v>6169</v>
      </c>
      <c r="C452" s="4296" t="s">
        <v>6170</v>
      </c>
      <c r="D452" s="4296" t="s">
        <v>4897</v>
      </c>
      <c r="E452" s="4297">
        <v>5.4</v>
      </c>
    </row>
    <row r="453" spans="2:5">
      <c r="B453" s="4296" t="s">
        <v>6171</v>
      </c>
      <c r="C453" s="4296" t="s">
        <v>6172</v>
      </c>
      <c r="D453" s="4296" t="s">
        <v>5222</v>
      </c>
      <c r="E453" s="4297">
        <v>5.4</v>
      </c>
    </row>
    <row r="454" spans="2:5">
      <c r="B454" s="4296" t="s">
        <v>6173</v>
      </c>
      <c r="C454" s="4296" t="s">
        <v>6174</v>
      </c>
      <c r="D454" s="4296" t="s">
        <v>4987</v>
      </c>
      <c r="E454" s="4297">
        <v>5.3760000000000003</v>
      </c>
    </row>
    <row r="455" spans="2:5">
      <c r="B455" s="4296" t="s">
        <v>6175</v>
      </c>
      <c r="C455" s="4296" t="s">
        <v>6176</v>
      </c>
      <c r="D455" s="4296" t="s">
        <v>5222</v>
      </c>
      <c r="E455" s="4297">
        <v>5.3644069999999999</v>
      </c>
    </row>
    <row r="456" spans="2:5">
      <c r="B456" s="4296" t="s">
        <v>6177</v>
      </c>
      <c r="C456" s="4296" t="s">
        <v>6178</v>
      </c>
      <c r="D456" s="4296" t="s">
        <v>4674</v>
      </c>
      <c r="E456" s="4297">
        <v>5.3591399999999991</v>
      </c>
    </row>
    <row r="457" spans="2:5">
      <c r="B457" s="4296" t="s">
        <v>6179</v>
      </c>
      <c r="C457" s="4296" t="s">
        <v>6180</v>
      </c>
      <c r="D457" s="4296" t="s">
        <v>4897</v>
      </c>
      <c r="E457" s="4297">
        <v>5.3437799999999998</v>
      </c>
    </row>
    <row r="458" spans="2:5">
      <c r="B458" s="4296" t="s">
        <v>6181</v>
      </c>
      <c r="C458" s="4296" t="s">
        <v>6182</v>
      </c>
      <c r="D458" s="4296" t="s">
        <v>4897</v>
      </c>
      <c r="E458" s="4297">
        <v>5.3</v>
      </c>
    </row>
    <row r="459" spans="2:5">
      <c r="B459" s="4296" t="s">
        <v>6183</v>
      </c>
      <c r="C459" s="4296" t="s">
        <v>6184</v>
      </c>
      <c r="D459" s="4296" t="s">
        <v>5234</v>
      </c>
      <c r="E459" s="4297">
        <v>5.2993180000000004</v>
      </c>
    </row>
    <row r="460" spans="2:5">
      <c r="B460" s="4296" t="s">
        <v>6185</v>
      </c>
      <c r="C460" s="4296" t="s">
        <v>6186</v>
      </c>
      <c r="D460" s="4296" t="s">
        <v>4674</v>
      </c>
      <c r="E460" s="4297">
        <v>5.261946</v>
      </c>
    </row>
    <row r="461" spans="2:5">
      <c r="B461" s="4296" t="s">
        <v>6187</v>
      </c>
      <c r="C461" s="4296" t="s">
        <v>6188</v>
      </c>
      <c r="D461" s="4296" t="s">
        <v>4897</v>
      </c>
      <c r="E461" s="4297">
        <v>5.2602739999999999</v>
      </c>
    </row>
    <row r="462" spans="2:5">
      <c r="B462" s="4296" t="s">
        <v>6189</v>
      </c>
      <c r="C462" s="4296" t="s">
        <v>6190</v>
      </c>
      <c r="D462" s="4296" t="s">
        <v>4897</v>
      </c>
      <c r="E462" s="4297">
        <v>5.25</v>
      </c>
    </row>
    <row r="463" spans="2:5">
      <c r="B463" s="4296" t="s">
        <v>6191</v>
      </c>
      <c r="C463" s="4296" t="s">
        <v>6192</v>
      </c>
      <c r="D463" s="4296" t="s">
        <v>4674</v>
      </c>
      <c r="E463" s="4297">
        <v>5.18133</v>
      </c>
    </row>
    <row r="464" spans="2:5">
      <c r="B464" s="4296" t="s">
        <v>6193</v>
      </c>
      <c r="C464" s="4296" t="s">
        <v>6194</v>
      </c>
      <c r="D464" s="4296" t="s">
        <v>4897</v>
      </c>
      <c r="E464" s="4297">
        <v>5.15</v>
      </c>
    </row>
    <row r="465" spans="2:5">
      <c r="B465" s="4296" t="s">
        <v>6195</v>
      </c>
      <c r="C465" s="4296" t="s">
        <v>6196</v>
      </c>
      <c r="D465" s="4296" t="s">
        <v>4674</v>
      </c>
      <c r="E465" s="4297">
        <v>5.1258849999999994</v>
      </c>
    </row>
    <row r="466" spans="2:5">
      <c r="B466" s="4296" t="s">
        <v>6197</v>
      </c>
      <c r="C466" s="4296" t="s">
        <v>6198</v>
      </c>
      <c r="D466" s="4296" t="s">
        <v>4674</v>
      </c>
      <c r="E466" s="4297">
        <v>5.0966849999999999</v>
      </c>
    </row>
    <row r="467" spans="2:5">
      <c r="B467" s="4296" t="s">
        <v>6199</v>
      </c>
      <c r="C467" s="4296" t="s">
        <v>6200</v>
      </c>
      <c r="D467" s="4296" t="s">
        <v>5222</v>
      </c>
      <c r="E467" s="4297">
        <v>5.0761639999999995</v>
      </c>
    </row>
    <row r="468" spans="2:5">
      <c r="B468" s="4296" t="s">
        <v>6201</v>
      </c>
      <c r="C468" s="4296" t="s">
        <v>6202</v>
      </c>
      <c r="D468" s="4296" t="s">
        <v>4674</v>
      </c>
      <c r="E468" s="4297">
        <v>5.0336130000000008</v>
      </c>
    </row>
    <row r="469" spans="2:5">
      <c r="B469" s="4296" t="s">
        <v>6203</v>
      </c>
      <c r="C469" s="4296" t="s">
        <v>6204</v>
      </c>
      <c r="D469" s="4296" t="s">
        <v>5222</v>
      </c>
      <c r="E469" s="4297">
        <v>5</v>
      </c>
    </row>
    <row r="470" spans="2:5">
      <c r="B470" s="4296" t="s">
        <v>6205</v>
      </c>
      <c r="C470" s="4296" t="s">
        <v>6206</v>
      </c>
      <c r="D470" s="4296" t="s">
        <v>4987</v>
      </c>
      <c r="E470" s="4297">
        <v>4.9816800000000008</v>
      </c>
    </row>
    <row r="471" spans="2:5">
      <c r="B471" s="4296" t="s">
        <v>6207</v>
      </c>
      <c r="C471" s="4296" t="s">
        <v>6208</v>
      </c>
      <c r="D471" s="4296" t="s">
        <v>4674</v>
      </c>
      <c r="E471" s="4297">
        <v>4.972397</v>
      </c>
    </row>
    <row r="472" spans="2:5">
      <c r="B472" s="4296" t="s">
        <v>6209</v>
      </c>
      <c r="C472" s="4296" t="s">
        <v>6210</v>
      </c>
      <c r="D472" s="4296" t="s">
        <v>4897</v>
      </c>
      <c r="E472" s="4297">
        <v>4.8099999999999996</v>
      </c>
    </row>
    <row r="473" spans="2:5">
      <c r="B473" s="4296" t="s">
        <v>6211</v>
      </c>
      <c r="C473" s="4296" t="s">
        <v>6212</v>
      </c>
      <c r="D473" s="4296" t="s">
        <v>5222</v>
      </c>
      <c r="E473" s="4297">
        <v>4.8035190000000005</v>
      </c>
    </row>
    <row r="474" spans="2:5">
      <c r="B474" s="4296" t="s">
        <v>6213</v>
      </c>
      <c r="C474" s="4296" t="s">
        <v>6214</v>
      </c>
      <c r="D474" s="4296" t="s">
        <v>4674</v>
      </c>
      <c r="E474" s="4297">
        <v>4.7912000000000008</v>
      </c>
    </row>
    <row r="475" spans="2:5">
      <c r="B475" s="4296" t="s">
        <v>6215</v>
      </c>
      <c r="C475" s="4296" t="s">
        <v>6216</v>
      </c>
      <c r="D475" s="4296" t="s">
        <v>4897</v>
      </c>
      <c r="E475" s="4297">
        <v>4.7736979999999996</v>
      </c>
    </row>
    <row r="476" spans="2:5">
      <c r="B476" s="4296" t="s">
        <v>6217</v>
      </c>
      <c r="C476" s="4296" t="s">
        <v>6218</v>
      </c>
      <c r="D476" s="4296" t="s">
        <v>4897</v>
      </c>
      <c r="E476" s="4297">
        <v>4.76</v>
      </c>
    </row>
    <row r="477" spans="2:5">
      <c r="B477" s="4296" t="s">
        <v>6219</v>
      </c>
      <c r="C477" s="4296" t="s">
        <v>6220</v>
      </c>
      <c r="D477" s="4296" t="s">
        <v>4897</v>
      </c>
      <c r="E477" s="4297">
        <v>4.76</v>
      </c>
    </row>
    <row r="478" spans="2:5">
      <c r="B478" s="4296" t="s">
        <v>6221</v>
      </c>
      <c r="C478" s="4296" t="s">
        <v>6222</v>
      </c>
      <c r="D478" s="4296" t="s">
        <v>4674</v>
      </c>
      <c r="E478" s="4297">
        <v>4.6548690000000006</v>
      </c>
    </row>
    <row r="479" spans="2:5">
      <c r="B479" s="4296" t="s">
        <v>6223</v>
      </c>
      <c r="C479" s="4296" t="s">
        <v>6224</v>
      </c>
      <c r="D479" s="4296" t="s">
        <v>4674</v>
      </c>
      <c r="E479" s="4297">
        <v>4.6045530000000001</v>
      </c>
    </row>
    <row r="480" spans="2:5">
      <c r="B480" s="4296" t="s">
        <v>6225</v>
      </c>
      <c r="C480" s="4296" t="s">
        <v>6226</v>
      </c>
      <c r="D480" s="4296" t="s">
        <v>4674</v>
      </c>
      <c r="E480" s="4297">
        <v>4.6045249999999989</v>
      </c>
    </row>
    <row r="481" spans="2:5">
      <c r="B481" s="4296" t="s">
        <v>6227</v>
      </c>
      <c r="C481" s="4296" t="s">
        <v>6228</v>
      </c>
      <c r="D481" s="4296" t="s">
        <v>4897</v>
      </c>
      <c r="E481" s="4297">
        <v>4.5999999999999996</v>
      </c>
    </row>
    <row r="482" spans="2:5">
      <c r="B482" s="4296" t="s">
        <v>6229</v>
      </c>
      <c r="C482" s="4296" t="s">
        <v>6230</v>
      </c>
      <c r="D482" s="4296" t="s">
        <v>4897</v>
      </c>
      <c r="E482" s="4297">
        <v>4.5</v>
      </c>
    </row>
    <row r="483" spans="2:5">
      <c r="B483" s="4296" t="s">
        <v>6231</v>
      </c>
      <c r="C483" s="4296" t="s">
        <v>6232</v>
      </c>
      <c r="D483" s="4296" t="s">
        <v>4897</v>
      </c>
      <c r="E483" s="4297">
        <v>4.5</v>
      </c>
    </row>
    <row r="484" spans="2:5">
      <c r="B484" s="4296" t="s">
        <v>6233</v>
      </c>
      <c r="C484" s="4296" t="s">
        <v>6234</v>
      </c>
      <c r="D484" s="4296" t="s">
        <v>5222</v>
      </c>
      <c r="E484" s="4297">
        <v>4.4903229999999992</v>
      </c>
    </row>
    <row r="485" spans="2:5">
      <c r="B485" s="4296" t="s">
        <v>6235</v>
      </c>
      <c r="C485" s="4296" t="s">
        <v>6236</v>
      </c>
      <c r="D485" s="4296" t="s">
        <v>4897</v>
      </c>
      <c r="E485" s="4297">
        <v>4.4654999999999996</v>
      </c>
    </row>
    <row r="486" spans="2:5">
      <c r="B486" s="4296" t="s">
        <v>6237</v>
      </c>
      <c r="C486" s="4296" t="s">
        <v>6238</v>
      </c>
      <c r="D486" s="4296" t="s">
        <v>4674</v>
      </c>
      <c r="E486" s="4297">
        <v>4.4156319999999996</v>
      </c>
    </row>
    <row r="487" spans="2:5">
      <c r="B487" s="4296" t="s">
        <v>6239</v>
      </c>
      <c r="C487" s="4296" t="s">
        <v>6240</v>
      </c>
      <c r="D487" s="4296" t="s">
        <v>4897</v>
      </c>
      <c r="E487" s="4297">
        <v>4.4000000000000004</v>
      </c>
    </row>
    <row r="488" spans="2:5">
      <c r="B488" s="4296" t="s">
        <v>6241</v>
      </c>
      <c r="C488" s="4296" t="s">
        <v>6242</v>
      </c>
      <c r="D488" s="4296" t="s">
        <v>4897</v>
      </c>
      <c r="E488" s="4297">
        <v>4.4000000000000004</v>
      </c>
    </row>
    <row r="489" spans="2:5">
      <c r="B489" s="4296" t="s">
        <v>6243</v>
      </c>
      <c r="C489" s="4296" t="s">
        <v>6244</v>
      </c>
      <c r="D489" s="4296" t="s">
        <v>4987</v>
      </c>
      <c r="E489" s="4297">
        <v>4.3941599999999994</v>
      </c>
    </row>
    <row r="490" spans="2:5">
      <c r="B490" s="4296" t="s">
        <v>6245</v>
      </c>
      <c r="C490" s="4296" t="s">
        <v>6246</v>
      </c>
      <c r="D490" s="4296" t="s">
        <v>5222</v>
      </c>
      <c r="E490" s="4297">
        <v>4.3437999999999999</v>
      </c>
    </row>
    <row r="491" spans="2:5">
      <c r="B491" s="4296" t="s">
        <v>6247</v>
      </c>
      <c r="C491" s="4296" t="s">
        <v>6248</v>
      </c>
      <c r="D491" s="4296" t="s">
        <v>4897</v>
      </c>
      <c r="E491" s="4297">
        <v>4.3</v>
      </c>
    </row>
    <row r="492" spans="2:5">
      <c r="B492" s="4296" t="s">
        <v>6249</v>
      </c>
      <c r="C492" s="4296" t="s">
        <v>6250</v>
      </c>
      <c r="D492" s="4296" t="s">
        <v>4674</v>
      </c>
      <c r="E492" s="4297">
        <v>4.2585940000000004</v>
      </c>
    </row>
    <row r="493" spans="2:5">
      <c r="B493" s="4296" t="s">
        <v>6251</v>
      </c>
      <c r="C493" s="4296" t="s">
        <v>6252</v>
      </c>
      <c r="D493" s="4296" t="s">
        <v>4897</v>
      </c>
      <c r="E493" s="4297">
        <v>4.25</v>
      </c>
    </row>
    <row r="494" spans="2:5">
      <c r="B494" s="4296" t="s">
        <v>6253</v>
      </c>
      <c r="C494" s="4296" t="s">
        <v>6254</v>
      </c>
      <c r="D494" s="4296" t="s">
        <v>4674</v>
      </c>
      <c r="E494" s="4297">
        <v>4.2403580000000005</v>
      </c>
    </row>
    <row r="495" spans="2:5">
      <c r="B495" s="4296" t="s">
        <v>6255</v>
      </c>
      <c r="C495" s="4296" t="s">
        <v>6256</v>
      </c>
      <c r="D495" s="4296" t="s">
        <v>4674</v>
      </c>
      <c r="E495" s="4297">
        <v>4.2198709999999995</v>
      </c>
    </row>
    <row r="496" spans="2:5">
      <c r="B496" s="4296" t="s">
        <v>6257</v>
      </c>
      <c r="C496" s="4296" t="s">
        <v>6258</v>
      </c>
      <c r="D496" s="4296" t="s">
        <v>4897</v>
      </c>
      <c r="E496" s="4297">
        <v>4.2160640000000003</v>
      </c>
    </row>
    <row r="497" spans="2:5">
      <c r="B497" s="4296" t="s">
        <v>6259</v>
      </c>
      <c r="C497" s="4296" t="s">
        <v>6260</v>
      </c>
      <c r="D497" s="4296" t="s">
        <v>4897</v>
      </c>
      <c r="E497" s="4297">
        <v>4.2</v>
      </c>
    </row>
    <row r="498" spans="2:5">
      <c r="B498" s="4296" t="s">
        <v>6261</v>
      </c>
      <c r="C498" s="4296" t="s">
        <v>6262</v>
      </c>
      <c r="D498" s="4296" t="s">
        <v>4674</v>
      </c>
      <c r="E498" s="4297">
        <v>4.1606129999999997</v>
      </c>
    </row>
    <row r="499" spans="2:5">
      <c r="B499" s="4296" t="s">
        <v>6263</v>
      </c>
      <c r="C499" s="4296" t="s">
        <v>6264</v>
      </c>
      <c r="D499" s="4296" t="s">
        <v>4674</v>
      </c>
      <c r="E499" s="4297">
        <v>4.139113</v>
      </c>
    </row>
    <row r="500" spans="2:5">
      <c r="B500" s="4296" t="s">
        <v>6265</v>
      </c>
      <c r="C500" s="4296" t="s">
        <v>6266</v>
      </c>
      <c r="D500" s="4296" t="s">
        <v>4674</v>
      </c>
      <c r="E500" s="4297">
        <v>4.0739780000000003</v>
      </c>
    </row>
    <row r="501" spans="2:5">
      <c r="B501" s="4296" t="s">
        <v>6267</v>
      </c>
      <c r="C501" s="4296" t="s">
        <v>6268</v>
      </c>
      <c r="D501" s="4296" t="s">
        <v>4897</v>
      </c>
      <c r="E501" s="4297">
        <v>4.0000000000000009</v>
      </c>
    </row>
    <row r="502" spans="2:5">
      <c r="B502" s="4296" t="s">
        <v>6269</v>
      </c>
      <c r="C502" s="4296" t="s">
        <v>6270</v>
      </c>
      <c r="D502" s="4296" t="s">
        <v>4897</v>
      </c>
      <c r="E502" s="4297">
        <v>4</v>
      </c>
    </row>
    <row r="503" spans="2:5">
      <c r="B503" s="4296" t="s">
        <v>6271</v>
      </c>
      <c r="C503" s="4296" t="s">
        <v>6272</v>
      </c>
      <c r="D503" s="4296" t="s">
        <v>4897</v>
      </c>
      <c r="E503" s="4297">
        <v>3.9897959999999992</v>
      </c>
    </row>
    <row r="504" spans="2:5">
      <c r="B504" s="4296" t="s">
        <v>6273</v>
      </c>
      <c r="C504" s="4296" t="s">
        <v>6274</v>
      </c>
      <c r="D504" s="4296" t="s">
        <v>4897</v>
      </c>
      <c r="E504" s="4297">
        <v>3.9760879999999998</v>
      </c>
    </row>
    <row r="505" spans="2:5">
      <c r="B505" s="4296" t="s">
        <v>6275</v>
      </c>
      <c r="C505" s="4296" t="s">
        <v>6276</v>
      </c>
      <c r="D505" s="4296" t="s">
        <v>4674</v>
      </c>
      <c r="E505" s="4297">
        <v>3.9744000000000002</v>
      </c>
    </row>
    <row r="506" spans="2:5">
      <c r="B506" s="4296" t="s">
        <v>6277</v>
      </c>
      <c r="C506" s="4296" t="s">
        <v>6278</v>
      </c>
      <c r="D506" s="4296" t="s">
        <v>4987</v>
      </c>
      <c r="E506" s="4297">
        <v>3.9260080000000004</v>
      </c>
    </row>
    <row r="507" spans="2:5">
      <c r="B507" s="4296" t="s">
        <v>6279</v>
      </c>
      <c r="C507" s="4296" t="s">
        <v>6280</v>
      </c>
      <c r="D507" s="4296" t="s">
        <v>4897</v>
      </c>
      <c r="E507" s="4297">
        <v>3.9</v>
      </c>
    </row>
    <row r="508" spans="2:5">
      <c r="B508" s="4296" t="s">
        <v>6281</v>
      </c>
      <c r="C508" s="4296" t="s">
        <v>6282</v>
      </c>
      <c r="D508" s="4296" t="s">
        <v>4897</v>
      </c>
      <c r="E508" s="4297">
        <v>3.9</v>
      </c>
    </row>
    <row r="509" spans="2:5">
      <c r="B509" s="4296" t="s">
        <v>6283</v>
      </c>
      <c r="C509" s="4296" t="s">
        <v>6284</v>
      </c>
      <c r="D509" s="4296" t="s">
        <v>4897</v>
      </c>
      <c r="E509" s="4297">
        <v>3.9</v>
      </c>
    </row>
    <row r="510" spans="2:5">
      <c r="B510" s="4296" t="s">
        <v>6285</v>
      </c>
      <c r="C510" s="4296" t="s">
        <v>6286</v>
      </c>
      <c r="D510" s="4296" t="s">
        <v>4674</v>
      </c>
      <c r="E510" s="4297">
        <v>3.8952479999999996</v>
      </c>
    </row>
    <row r="511" spans="2:5">
      <c r="B511" s="4296" t="s">
        <v>6287</v>
      </c>
      <c r="C511" s="4296" t="s">
        <v>6288</v>
      </c>
      <c r="D511" s="4296" t="s">
        <v>5234</v>
      </c>
      <c r="E511" s="4297">
        <v>3.8429049999999996</v>
      </c>
    </row>
    <row r="512" spans="2:5">
      <c r="B512" s="4296" t="s">
        <v>6289</v>
      </c>
      <c r="C512" s="4296" t="s">
        <v>6290</v>
      </c>
      <c r="D512" s="4296" t="s">
        <v>4897</v>
      </c>
      <c r="E512" s="4297">
        <v>3.8152180000000002</v>
      </c>
    </row>
    <row r="513" spans="2:5">
      <c r="B513" s="4296" t="s">
        <v>6291</v>
      </c>
      <c r="C513" s="4296" t="s">
        <v>6292</v>
      </c>
      <c r="D513" s="4296" t="s">
        <v>4987</v>
      </c>
      <c r="E513" s="4297">
        <v>3.8123999999999998</v>
      </c>
    </row>
    <row r="514" spans="2:5">
      <c r="B514" s="4296" t="s">
        <v>6293</v>
      </c>
      <c r="C514" s="4296" t="s">
        <v>6294</v>
      </c>
      <c r="D514" s="4296" t="s">
        <v>5231</v>
      </c>
      <c r="E514" s="4297">
        <v>3.7941790000000002</v>
      </c>
    </row>
    <row r="515" spans="2:5">
      <c r="B515" s="4296" t="s">
        <v>6295</v>
      </c>
      <c r="C515" s="4296" t="s">
        <v>6296</v>
      </c>
      <c r="D515" s="4296" t="s">
        <v>4674</v>
      </c>
      <c r="E515" s="4297">
        <v>3.7764000000000002</v>
      </c>
    </row>
    <row r="516" spans="2:5">
      <c r="B516" s="4296" t="s">
        <v>6297</v>
      </c>
      <c r="C516" s="4296" t="s">
        <v>6298</v>
      </c>
      <c r="D516" s="4296" t="s">
        <v>4897</v>
      </c>
      <c r="E516" s="4297">
        <v>3.75</v>
      </c>
    </row>
    <row r="517" spans="2:5">
      <c r="B517" s="4296" t="s">
        <v>6299</v>
      </c>
      <c r="C517" s="4296" t="s">
        <v>6300</v>
      </c>
      <c r="D517" s="4296" t="s">
        <v>4897</v>
      </c>
      <c r="E517" s="4297">
        <v>3.7393539999999992</v>
      </c>
    </row>
    <row r="518" spans="2:5">
      <c r="B518" s="4296" t="s">
        <v>6301</v>
      </c>
      <c r="C518" s="4296" t="s">
        <v>6302</v>
      </c>
      <c r="D518" s="4296" t="s">
        <v>4897</v>
      </c>
      <c r="E518" s="4297">
        <v>3.7332160000000005</v>
      </c>
    </row>
    <row r="519" spans="2:5">
      <c r="B519" s="4296" t="s">
        <v>6303</v>
      </c>
      <c r="C519" s="4296" t="s">
        <v>6304</v>
      </c>
      <c r="D519" s="4296" t="s">
        <v>5149</v>
      </c>
      <c r="E519" s="4297">
        <v>3.7258499999999999</v>
      </c>
    </row>
    <row r="520" spans="2:5">
      <c r="B520" s="4296" t="s">
        <v>6305</v>
      </c>
      <c r="C520" s="4296" t="s">
        <v>6306</v>
      </c>
      <c r="D520" s="4296" t="s">
        <v>4897</v>
      </c>
      <c r="E520" s="4297">
        <v>3.6</v>
      </c>
    </row>
    <row r="521" spans="2:5">
      <c r="B521" s="4296" t="s">
        <v>6307</v>
      </c>
      <c r="C521" s="4296" t="s">
        <v>6308</v>
      </c>
      <c r="D521" s="4296" t="s">
        <v>5222</v>
      </c>
      <c r="E521" s="4297">
        <v>3.6</v>
      </c>
    </row>
    <row r="522" spans="2:5">
      <c r="B522" s="4296" t="s">
        <v>6309</v>
      </c>
      <c r="C522" s="4296" t="s">
        <v>6310</v>
      </c>
      <c r="D522" s="4296" t="s">
        <v>5222</v>
      </c>
      <c r="E522" s="4297">
        <v>3.6</v>
      </c>
    </row>
    <row r="523" spans="2:5">
      <c r="B523" s="4296" t="s">
        <v>6311</v>
      </c>
      <c r="C523" s="4296" t="s">
        <v>6312</v>
      </c>
      <c r="D523" s="4296" t="s">
        <v>4897</v>
      </c>
      <c r="E523" s="4297">
        <v>3.5999999999999992</v>
      </c>
    </row>
    <row r="524" spans="2:5">
      <c r="B524" s="4296" t="s">
        <v>6313</v>
      </c>
      <c r="C524" s="4296" t="s">
        <v>6314</v>
      </c>
      <c r="D524" s="4296" t="s">
        <v>4897</v>
      </c>
      <c r="E524" s="4297">
        <v>3.5804360000000002</v>
      </c>
    </row>
    <row r="525" spans="2:5">
      <c r="B525" s="4296" t="s">
        <v>6315</v>
      </c>
      <c r="C525" s="4296" t="s">
        <v>6316</v>
      </c>
      <c r="D525" s="4296" t="s">
        <v>4897</v>
      </c>
      <c r="E525" s="4297">
        <v>3.553979</v>
      </c>
    </row>
    <row r="526" spans="2:5">
      <c r="B526" s="4296" t="s">
        <v>6317</v>
      </c>
      <c r="C526" s="4296" t="s">
        <v>6318</v>
      </c>
      <c r="D526" s="4296" t="s">
        <v>4897</v>
      </c>
      <c r="E526" s="4297">
        <v>3.5368760000000008</v>
      </c>
    </row>
    <row r="527" spans="2:5">
      <c r="B527" s="4296" t="s">
        <v>6319</v>
      </c>
      <c r="C527" s="4296" t="s">
        <v>6320</v>
      </c>
      <c r="D527" s="4296" t="s">
        <v>5222</v>
      </c>
      <c r="E527" s="4297">
        <v>3.5</v>
      </c>
    </row>
    <row r="528" spans="2:5">
      <c r="B528" s="4296" t="s">
        <v>6321</v>
      </c>
      <c r="C528" s="4296" t="s">
        <v>6322</v>
      </c>
      <c r="D528" s="4296" t="s">
        <v>5222</v>
      </c>
      <c r="E528" s="4297">
        <v>3.5</v>
      </c>
    </row>
    <row r="529" spans="2:5">
      <c r="B529" s="4296" t="s">
        <v>6323</v>
      </c>
      <c r="C529" s="4296" t="s">
        <v>6324</v>
      </c>
      <c r="D529" s="4296" t="s">
        <v>4674</v>
      </c>
      <c r="E529" s="4297">
        <v>3.4963260000000003</v>
      </c>
    </row>
    <row r="530" spans="2:5">
      <c r="B530" s="4296" t="s">
        <v>6325</v>
      </c>
      <c r="C530" s="4296" t="s">
        <v>6326</v>
      </c>
      <c r="D530" s="4296" t="s">
        <v>4674</v>
      </c>
      <c r="E530" s="4297">
        <v>3.4805910000000004</v>
      </c>
    </row>
    <row r="531" spans="2:5">
      <c r="B531" s="4296" t="s">
        <v>6327</v>
      </c>
      <c r="C531" s="4296" t="s">
        <v>6328</v>
      </c>
      <c r="D531" s="4296" t="s">
        <v>4897</v>
      </c>
      <c r="E531" s="4297">
        <v>3.4280819999999999</v>
      </c>
    </row>
    <row r="532" spans="2:5">
      <c r="B532" s="4296" t="s">
        <v>6329</v>
      </c>
      <c r="C532" s="4296" t="s">
        <v>6330</v>
      </c>
      <c r="D532" s="4296" t="s">
        <v>4674</v>
      </c>
      <c r="E532" s="4297">
        <v>3.4013009999999997</v>
      </c>
    </row>
    <row r="533" spans="2:5">
      <c r="B533" s="4296" t="s">
        <v>6331</v>
      </c>
      <c r="C533" s="4296" t="s">
        <v>6332</v>
      </c>
      <c r="D533" s="4296" t="s">
        <v>4897</v>
      </c>
      <c r="E533" s="4297">
        <v>3.375</v>
      </c>
    </row>
    <row r="534" spans="2:5">
      <c r="B534" s="4296" t="s">
        <v>6333</v>
      </c>
      <c r="C534" s="4296" t="s">
        <v>6334</v>
      </c>
      <c r="D534" s="4296" t="s">
        <v>4987</v>
      </c>
      <c r="E534" s="4297">
        <v>3.3639600000000001</v>
      </c>
    </row>
    <row r="535" spans="2:5">
      <c r="B535" s="4296" t="s">
        <v>6335</v>
      </c>
      <c r="C535" s="4296" t="s">
        <v>6336</v>
      </c>
      <c r="D535" s="4296" t="s">
        <v>4987</v>
      </c>
      <c r="E535" s="4297">
        <v>3.3301800000000008</v>
      </c>
    </row>
    <row r="536" spans="2:5">
      <c r="B536" s="4296" t="s">
        <v>6337</v>
      </c>
      <c r="C536" s="4296" t="s">
        <v>6338</v>
      </c>
      <c r="D536" s="4296" t="s">
        <v>4897</v>
      </c>
      <c r="E536" s="4297">
        <v>3.254794</v>
      </c>
    </row>
    <row r="537" spans="2:5">
      <c r="B537" s="4296" t="s">
        <v>6339</v>
      </c>
      <c r="C537" s="4296" t="s">
        <v>6340</v>
      </c>
      <c r="D537" s="4296" t="s">
        <v>4897</v>
      </c>
      <c r="E537" s="4297">
        <v>3.24</v>
      </c>
    </row>
    <row r="538" spans="2:5">
      <c r="B538" s="4296" t="s">
        <v>6341</v>
      </c>
      <c r="C538" s="4296" t="s">
        <v>6342</v>
      </c>
      <c r="D538" s="4296" t="s">
        <v>4897</v>
      </c>
      <c r="E538" s="4297">
        <v>3.24</v>
      </c>
    </row>
    <row r="539" spans="2:5">
      <c r="B539" s="4296" t="s">
        <v>6343</v>
      </c>
      <c r="C539" s="4296" t="s">
        <v>6344</v>
      </c>
      <c r="D539" s="4296" t="s">
        <v>4897</v>
      </c>
      <c r="E539" s="4297">
        <v>3.2</v>
      </c>
    </row>
    <row r="540" spans="2:5">
      <c r="B540" s="4296" t="s">
        <v>6345</v>
      </c>
      <c r="C540" s="4296" t="s">
        <v>6346</v>
      </c>
      <c r="D540" s="4296" t="s">
        <v>4897</v>
      </c>
      <c r="E540" s="4297">
        <v>3.2</v>
      </c>
    </row>
    <row r="541" spans="2:5">
      <c r="B541" s="4296" t="s">
        <v>6347</v>
      </c>
      <c r="C541" s="4296" t="s">
        <v>6348</v>
      </c>
      <c r="D541" s="4296" t="s">
        <v>4674</v>
      </c>
      <c r="E541" s="4297">
        <v>3.1890800000000001</v>
      </c>
    </row>
    <row r="542" spans="2:5">
      <c r="B542" s="4296" t="s">
        <v>6349</v>
      </c>
      <c r="C542" s="4296" t="s">
        <v>6350</v>
      </c>
      <c r="D542" s="4296" t="s">
        <v>5234</v>
      </c>
      <c r="E542" s="4297">
        <v>3.1848430000000092</v>
      </c>
    </row>
    <row r="543" spans="2:5">
      <c r="B543" s="4296" t="s">
        <v>6351</v>
      </c>
      <c r="C543" s="4296" t="s">
        <v>6352</v>
      </c>
      <c r="D543" s="4296" t="s">
        <v>4674</v>
      </c>
      <c r="E543" s="4297">
        <v>3.1727189999999998</v>
      </c>
    </row>
    <row r="544" spans="2:5">
      <c r="B544" s="4296" t="s">
        <v>6353</v>
      </c>
      <c r="C544" s="4296" t="s">
        <v>6354</v>
      </c>
      <c r="D544" s="4296" t="s">
        <v>4897</v>
      </c>
      <c r="E544" s="4297">
        <v>3.15</v>
      </c>
    </row>
    <row r="545" spans="2:5">
      <c r="B545" s="4296" t="s">
        <v>6355</v>
      </c>
      <c r="C545" s="4296" t="s">
        <v>6356</v>
      </c>
      <c r="D545" s="4296" t="s">
        <v>4897</v>
      </c>
      <c r="E545" s="4297">
        <v>3.15</v>
      </c>
    </row>
    <row r="546" spans="2:5">
      <c r="B546" s="4296" t="s">
        <v>6357</v>
      </c>
      <c r="C546" s="4296" t="s">
        <v>6358</v>
      </c>
      <c r="D546" s="4296" t="s">
        <v>5222</v>
      </c>
      <c r="E546" s="4297">
        <v>3.15</v>
      </c>
    </row>
    <row r="547" spans="2:5">
      <c r="B547" s="4296" t="s">
        <v>6359</v>
      </c>
      <c r="C547" s="4296" t="s">
        <v>6360</v>
      </c>
      <c r="D547" s="4296" t="s">
        <v>4987</v>
      </c>
      <c r="E547" s="4297">
        <v>3.1392000000000002</v>
      </c>
    </row>
    <row r="548" spans="2:5">
      <c r="B548" s="4296" t="s">
        <v>6361</v>
      </c>
      <c r="C548" s="4296" t="s">
        <v>6362</v>
      </c>
      <c r="D548" s="4296" t="s">
        <v>4987</v>
      </c>
      <c r="E548" s="4297">
        <v>3.1152000000000002</v>
      </c>
    </row>
    <row r="549" spans="2:5">
      <c r="B549" s="4296" t="s">
        <v>6363</v>
      </c>
      <c r="C549" s="4296" t="s">
        <v>6364</v>
      </c>
      <c r="D549" s="4296" t="s">
        <v>4674</v>
      </c>
      <c r="E549" s="4297">
        <v>3.0697019999999995</v>
      </c>
    </row>
    <row r="550" spans="2:5">
      <c r="B550" s="4296" t="s">
        <v>6365</v>
      </c>
      <c r="C550" s="4296" t="s">
        <v>6366</v>
      </c>
      <c r="D550" s="4296" t="s">
        <v>4987</v>
      </c>
      <c r="E550" s="4297">
        <v>3.0514349999999997</v>
      </c>
    </row>
    <row r="551" spans="2:5">
      <c r="B551" s="4296" t="s">
        <v>6367</v>
      </c>
      <c r="C551" s="4296" t="s">
        <v>6368</v>
      </c>
      <c r="D551" s="4296" t="s">
        <v>4897</v>
      </c>
      <c r="E551" s="4297">
        <v>3.0337080000000003</v>
      </c>
    </row>
    <row r="552" spans="2:5">
      <c r="B552" s="4296" t="s">
        <v>6369</v>
      </c>
      <c r="C552" s="4296" t="s">
        <v>6370</v>
      </c>
      <c r="D552" s="4296" t="s">
        <v>4674</v>
      </c>
      <c r="E552" s="4297">
        <v>3.0216930000000004</v>
      </c>
    </row>
    <row r="553" spans="2:5">
      <c r="B553" s="4296" t="s">
        <v>6371</v>
      </c>
      <c r="C553" s="4296" t="s">
        <v>6372</v>
      </c>
      <c r="D553" s="4296" t="s">
        <v>5222</v>
      </c>
      <c r="E553" s="4297">
        <v>3.019355</v>
      </c>
    </row>
    <row r="554" spans="2:5">
      <c r="B554" s="4296" t="s">
        <v>6373</v>
      </c>
      <c r="C554" s="4296" t="s">
        <v>6374</v>
      </c>
      <c r="D554" s="4296" t="s">
        <v>4897</v>
      </c>
      <c r="E554" s="4297">
        <v>3</v>
      </c>
    </row>
    <row r="555" spans="2:5">
      <c r="B555" s="4296" t="s">
        <v>6375</v>
      </c>
      <c r="C555" s="4296" t="s">
        <v>6376</v>
      </c>
      <c r="D555" s="4296" t="s">
        <v>4897</v>
      </c>
      <c r="E555" s="4297">
        <v>3</v>
      </c>
    </row>
    <row r="556" spans="2:5">
      <c r="B556" s="4296" t="s">
        <v>6377</v>
      </c>
      <c r="C556" s="4296" t="s">
        <v>6378</v>
      </c>
      <c r="D556" s="4296" t="s">
        <v>4897</v>
      </c>
      <c r="E556" s="4297">
        <v>3</v>
      </c>
    </row>
    <row r="557" spans="2:5">
      <c r="B557" s="4296" t="s">
        <v>6379</v>
      </c>
      <c r="C557" s="4296" t="s">
        <v>6380</v>
      </c>
      <c r="D557" s="4296" t="s">
        <v>4897</v>
      </c>
      <c r="E557" s="4297">
        <v>3</v>
      </c>
    </row>
    <row r="558" spans="2:5">
      <c r="B558" s="4296" t="s">
        <v>6381</v>
      </c>
      <c r="C558" s="4296" t="s">
        <v>6382</v>
      </c>
      <c r="D558" s="4296" t="s">
        <v>4897</v>
      </c>
      <c r="E558" s="4297">
        <v>3</v>
      </c>
    </row>
    <row r="559" spans="2:5">
      <c r="B559" s="4296" t="s">
        <v>6383</v>
      </c>
      <c r="C559" s="4296" t="s">
        <v>6384</v>
      </c>
      <c r="D559" s="4296" t="s">
        <v>4897</v>
      </c>
      <c r="E559" s="4297">
        <v>3</v>
      </c>
    </row>
    <row r="560" spans="2:5">
      <c r="B560" s="4296" t="s">
        <v>6385</v>
      </c>
      <c r="C560" s="4296" t="s">
        <v>6386</v>
      </c>
      <c r="D560" s="4296" t="s">
        <v>4897</v>
      </c>
      <c r="E560" s="4297">
        <v>3</v>
      </c>
    </row>
    <row r="561" spans="2:5">
      <c r="B561" s="4296" t="s">
        <v>6387</v>
      </c>
      <c r="C561" s="4296" t="s">
        <v>6388</v>
      </c>
      <c r="D561" s="4296" t="s">
        <v>5222</v>
      </c>
      <c r="E561" s="4297">
        <v>3</v>
      </c>
    </row>
    <row r="562" spans="2:5">
      <c r="B562" s="4296" t="s">
        <v>6389</v>
      </c>
      <c r="C562" s="4296" t="s">
        <v>6390</v>
      </c>
      <c r="D562" s="4296" t="s">
        <v>5222</v>
      </c>
      <c r="E562" s="4297">
        <v>3</v>
      </c>
    </row>
    <row r="563" spans="2:5">
      <c r="B563" s="4296" t="s">
        <v>6391</v>
      </c>
      <c r="C563" s="4296" t="s">
        <v>6392</v>
      </c>
      <c r="D563" s="4296" t="s">
        <v>4897</v>
      </c>
      <c r="E563" s="4297">
        <v>2.9662920000000002</v>
      </c>
    </row>
    <row r="564" spans="2:5">
      <c r="B564" s="4296" t="s">
        <v>6393</v>
      </c>
      <c r="C564" s="4296" t="s">
        <v>6394</v>
      </c>
      <c r="D564" s="4296" t="s">
        <v>4674</v>
      </c>
      <c r="E564" s="4297">
        <v>2.9611029999999996</v>
      </c>
    </row>
    <row r="565" spans="2:5">
      <c r="B565" s="4296" t="s">
        <v>6395</v>
      </c>
      <c r="C565" s="4296" t="s">
        <v>6396</v>
      </c>
      <c r="D565" s="4296" t="s">
        <v>5222</v>
      </c>
      <c r="E565" s="4297">
        <v>2.9249999999999998</v>
      </c>
    </row>
    <row r="566" spans="2:5">
      <c r="B566" s="4296" t="s">
        <v>6397</v>
      </c>
      <c r="C566" s="4296" t="s">
        <v>6398</v>
      </c>
      <c r="D566" s="4296" t="s">
        <v>4897</v>
      </c>
      <c r="E566" s="4297">
        <v>2.8933339999999999</v>
      </c>
    </row>
    <row r="567" spans="2:5">
      <c r="B567" s="4296" t="s">
        <v>6399</v>
      </c>
      <c r="C567" s="4296" t="s">
        <v>6400</v>
      </c>
      <c r="D567" s="4296" t="s">
        <v>4987</v>
      </c>
      <c r="E567" s="4297">
        <v>2.8697200000000005</v>
      </c>
    </row>
    <row r="568" spans="2:5">
      <c r="B568" s="4296" t="s">
        <v>6401</v>
      </c>
      <c r="C568" s="4296" t="s">
        <v>6402</v>
      </c>
      <c r="D568" s="4296" t="s">
        <v>4897</v>
      </c>
      <c r="E568" s="4297">
        <v>2.8536980000000001</v>
      </c>
    </row>
    <row r="569" spans="2:5">
      <c r="B569" s="4296" t="s">
        <v>6403</v>
      </c>
      <c r="C569" s="4296" t="s">
        <v>6404</v>
      </c>
      <c r="D569" s="4296" t="s">
        <v>4897</v>
      </c>
      <c r="E569" s="4297">
        <v>2.85</v>
      </c>
    </row>
    <row r="570" spans="2:5">
      <c r="B570" s="4296" t="s">
        <v>6405</v>
      </c>
      <c r="C570" s="4296" t="s">
        <v>6406</v>
      </c>
      <c r="D570" s="4296" t="s">
        <v>4674</v>
      </c>
      <c r="E570" s="4297">
        <v>2.8132200000000003</v>
      </c>
    </row>
    <row r="571" spans="2:5">
      <c r="B571" s="4296" t="s">
        <v>6407</v>
      </c>
      <c r="C571" s="4296" t="s">
        <v>6408</v>
      </c>
      <c r="D571" s="4296" t="s">
        <v>4897</v>
      </c>
      <c r="E571" s="4297">
        <v>2.8</v>
      </c>
    </row>
    <row r="572" spans="2:5">
      <c r="B572" s="4296" t="s">
        <v>6409</v>
      </c>
      <c r="C572" s="4296" t="s">
        <v>6410</v>
      </c>
      <c r="D572" s="4296" t="s">
        <v>5222</v>
      </c>
      <c r="E572" s="4297">
        <v>2.786667</v>
      </c>
    </row>
    <row r="573" spans="2:5">
      <c r="B573" s="4296" t="s">
        <v>6411</v>
      </c>
      <c r="C573" s="4296" t="s">
        <v>6412</v>
      </c>
      <c r="D573" s="4296" t="s">
        <v>4987</v>
      </c>
      <c r="E573" s="4297">
        <v>2.769765</v>
      </c>
    </row>
    <row r="574" spans="2:5">
      <c r="B574" s="4296" t="s">
        <v>6413</v>
      </c>
      <c r="C574" s="4296" t="s">
        <v>6414</v>
      </c>
      <c r="D574" s="4296" t="s">
        <v>4897</v>
      </c>
      <c r="E574" s="4297">
        <v>2.7555999999999998</v>
      </c>
    </row>
    <row r="575" spans="2:5">
      <c r="B575" s="4296" t="s">
        <v>6415</v>
      </c>
      <c r="C575" s="4296" t="s">
        <v>6416</v>
      </c>
      <c r="D575" s="4296" t="s">
        <v>4897</v>
      </c>
      <c r="E575" s="4297">
        <v>2.7360000000000002</v>
      </c>
    </row>
    <row r="576" spans="2:5">
      <c r="B576" s="4296" t="s">
        <v>6417</v>
      </c>
      <c r="C576" s="4296" t="s">
        <v>6418</v>
      </c>
      <c r="D576" s="4296" t="s">
        <v>5222</v>
      </c>
      <c r="E576" s="4297">
        <v>2.7101000000000002</v>
      </c>
    </row>
    <row r="577" spans="2:5">
      <c r="B577" s="4296" t="s">
        <v>6419</v>
      </c>
      <c r="C577" s="4296" t="s">
        <v>6420</v>
      </c>
      <c r="D577" s="4296" t="s">
        <v>4897</v>
      </c>
      <c r="E577" s="4297">
        <v>2.7</v>
      </c>
    </row>
    <row r="578" spans="2:5">
      <c r="B578" s="4296" t="s">
        <v>6421</v>
      </c>
      <c r="C578" s="4296" t="s">
        <v>6422</v>
      </c>
      <c r="D578" s="4296" t="s">
        <v>4897</v>
      </c>
      <c r="E578" s="4297">
        <v>2.7</v>
      </c>
    </row>
    <row r="579" spans="2:5">
      <c r="B579" s="4296" t="s">
        <v>6423</v>
      </c>
      <c r="C579" s="4296" t="s">
        <v>6424</v>
      </c>
      <c r="D579" s="4296" t="s">
        <v>4897</v>
      </c>
      <c r="E579" s="4297">
        <v>2.7</v>
      </c>
    </row>
    <row r="580" spans="2:5">
      <c r="B580" s="4296" t="s">
        <v>6425</v>
      </c>
      <c r="C580" s="4296" t="s">
        <v>6426</v>
      </c>
      <c r="D580" s="4296" t="s">
        <v>4897</v>
      </c>
      <c r="E580" s="4297">
        <v>2.64</v>
      </c>
    </row>
    <row r="581" spans="2:5">
      <c r="B581" s="4296" t="s">
        <v>6427</v>
      </c>
      <c r="C581" s="4296" t="s">
        <v>6428</v>
      </c>
      <c r="D581" s="4296" t="s">
        <v>4897</v>
      </c>
      <c r="E581" s="4297">
        <v>2.64</v>
      </c>
    </row>
    <row r="582" spans="2:5">
      <c r="B582" s="4296" t="s">
        <v>6429</v>
      </c>
      <c r="C582" s="4296" t="s">
        <v>6430</v>
      </c>
      <c r="D582" s="4296" t="s">
        <v>4897</v>
      </c>
      <c r="E582" s="4297">
        <v>2.64</v>
      </c>
    </row>
    <row r="583" spans="2:5">
      <c r="B583" s="4296" t="s">
        <v>6431</v>
      </c>
      <c r="C583" s="4296" t="s">
        <v>6432</v>
      </c>
      <c r="D583" s="4296" t="s">
        <v>4897</v>
      </c>
      <c r="E583" s="4297">
        <v>2.64</v>
      </c>
    </row>
    <row r="584" spans="2:5">
      <c r="B584" s="4296" t="s">
        <v>6433</v>
      </c>
      <c r="C584" s="4296" t="s">
        <v>6434</v>
      </c>
      <c r="D584" s="4296" t="s">
        <v>4897</v>
      </c>
      <c r="E584" s="4297">
        <v>2.5499999999999998</v>
      </c>
    </row>
    <row r="585" spans="2:5">
      <c r="B585" s="4296" t="s">
        <v>6435</v>
      </c>
      <c r="C585" s="4296" t="s">
        <v>6436</v>
      </c>
      <c r="D585" s="4296" t="s">
        <v>4897</v>
      </c>
      <c r="E585" s="4297">
        <v>2.5499999999999998</v>
      </c>
    </row>
    <row r="586" spans="2:5">
      <c r="B586" s="4296" t="s">
        <v>6437</v>
      </c>
      <c r="C586" s="4296" t="s">
        <v>6438</v>
      </c>
      <c r="D586" s="4296" t="s">
        <v>5222</v>
      </c>
      <c r="E586" s="4297">
        <v>2.5354839999999998</v>
      </c>
    </row>
    <row r="587" spans="2:5">
      <c r="B587" s="4296" t="s">
        <v>6439</v>
      </c>
      <c r="C587" s="4296" t="s">
        <v>6440</v>
      </c>
      <c r="D587" s="4296" t="s">
        <v>4674</v>
      </c>
      <c r="E587" s="4297">
        <v>2.5342560000000001</v>
      </c>
    </row>
    <row r="588" spans="2:5">
      <c r="B588" s="4296" t="s">
        <v>6441</v>
      </c>
      <c r="C588" s="4296" t="s">
        <v>6442</v>
      </c>
      <c r="D588" s="4296" t="s">
        <v>5222</v>
      </c>
      <c r="E588" s="4297">
        <v>2.5290319999999999</v>
      </c>
    </row>
    <row r="589" spans="2:5">
      <c r="B589" s="4296" t="s">
        <v>6443</v>
      </c>
      <c r="C589" s="4296" t="s">
        <v>6444</v>
      </c>
      <c r="D589" s="4296" t="s">
        <v>4897</v>
      </c>
      <c r="E589" s="4297">
        <v>2.52</v>
      </c>
    </row>
    <row r="590" spans="2:5">
      <c r="B590" s="4296" t="s">
        <v>6445</v>
      </c>
      <c r="C590" s="4296" t="s">
        <v>6446</v>
      </c>
      <c r="D590" s="4296" t="s">
        <v>4897</v>
      </c>
      <c r="E590" s="4297">
        <v>2.52</v>
      </c>
    </row>
    <row r="591" spans="2:5">
      <c r="B591" s="4296" t="s">
        <v>6447</v>
      </c>
      <c r="C591" s="4296" t="s">
        <v>6448</v>
      </c>
      <c r="D591" s="4296" t="s">
        <v>4897</v>
      </c>
      <c r="E591" s="4297">
        <v>2.52</v>
      </c>
    </row>
    <row r="592" spans="2:5">
      <c r="B592" s="4296" t="s">
        <v>6449</v>
      </c>
      <c r="C592" s="4296" t="s">
        <v>6450</v>
      </c>
      <c r="D592" s="4296" t="s">
        <v>5222</v>
      </c>
      <c r="E592" s="4297">
        <v>2.500194</v>
      </c>
    </row>
    <row r="593" spans="2:5">
      <c r="B593" s="4296" t="s">
        <v>6451</v>
      </c>
      <c r="C593" s="4296" t="s">
        <v>6452</v>
      </c>
      <c r="D593" s="4296" t="s">
        <v>4897</v>
      </c>
      <c r="E593" s="4297">
        <v>2.5000000000000004</v>
      </c>
    </row>
    <row r="594" spans="2:5">
      <c r="B594" s="4296" t="s">
        <v>6453</v>
      </c>
      <c r="C594" s="4296" t="s">
        <v>6454</v>
      </c>
      <c r="D594" s="4296" t="s">
        <v>4897</v>
      </c>
      <c r="E594" s="4297">
        <v>2.5000000000000004</v>
      </c>
    </row>
    <row r="595" spans="2:5">
      <c r="B595" s="4296" t="s">
        <v>6455</v>
      </c>
      <c r="C595" s="4296" t="s">
        <v>6456</v>
      </c>
      <c r="D595" s="4296" t="s">
        <v>4897</v>
      </c>
      <c r="E595" s="4297">
        <v>2.5000000000000004</v>
      </c>
    </row>
    <row r="596" spans="2:5">
      <c r="B596" s="4296" t="s">
        <v>6457</v>
      </c>
      <c r="C596" s="4296" t="s">
        <v>6458</v>
      </c>
      <c r="D596" s="4296" t="s">
        <v>4897</v>
      </c>
      <c r="E596" s="4297">
        <v>2.5</v>
      </c>
    </row>
    <row r="597" spans="2:5">
      <c r="B597" s="4296" t="s">
        <v>6459</v>
      </c>
      <c r="C597" s="4296" t="s">
        <v>6460</v>
      </c>
      <c r="D597" s="4296" t="s">
        <v>4897</v>
      </c>
      <c r="E597" s="4297">
        <v>2.5</v>
      </c>
    </row>
    <row r="598" spans="2:5">
      <c r="B598" s="4296" t="s">
        <v>6461</v>
      </c>
      <c r="C598" s="4296" t="s">
        <v>6462</v>
      </c>
      <c r="D598" s="4296" t="s">
        <v>4897</v>
      </c>
      <c r="E598" s="4297">
        <v>2.5</v>
      </c>
    </row>
    <row r="599" spans="2:5">
      <c r="B599" s="4296" t="s">
        <v>6463</v>
      </c>
      <c r="C599" s="4296" t="s">
        <v>6464</v>
      </c>
      <c r="D599" s="4296" t="s">
        <v>4897</v>
      </c>
      <c r="E599" s="4297">
        <v>2.5</v>
      </c>
    </row>
    <row r="600" spans="2:5">
      <c r="B600" s="4296" t="s">
        <v>6465</v>
      </c>
      <c r="C600" s="4296" t="s">
        <v>6466</v>
      </c>
      <c r="D600" s="4296" t="s">
        <v>5222</v>
      </c>
      <c r="E600" s="4297">
        <v>2.5</v>
      </c>
    </row>
    <row r="601" spans="2:5">
      <c r="B601" s="4296" t="s">
        <v>6467</v>
      </c>
      <c r="C601" s="4296" t="s">
        <v>6468</v>
      </c>
      <c r="D601" s="4296" t="s">
        <v>4674</v>
      </c>
      <c r="E601" s="4297">
        <v>2.497363</v>
      </c>
    </row>
    <row r="602" spans="2:5">
      <c r="B602" s="4296" t="s">
        <v>6469</v>
      </c>
      <c r="C602" s="4296" t="s">
        <v>6470</v>
      </c>
      <c r="D602" s="4296" t="s">
        <v>4674</v>
      </c>
      <c r="E602" s="4297">
        <v>2.4907080000000001</v>
      </c>
    </row>
    <row r="603" spans="2:5">
      <c r="B603" s="4296" t="s">
        <v>6471</v>
      </c>
      <c r="C603" s="4296" t="s">
        <v>6472</v>
      </c>
      <c r="D603" s="4296" t="s">
        <v>4897</v>
      </c>
      <c r="E603" s="4297">
        <v>2.4742999999999999</v>
      </c>
    </row>
    <row r="604" spans="2:5">
      <c r="B604" s="4296" t="s">
        <v>6473</v>
      </c>
      <c r="C604" s="4296" t="s">
        <v>6474</v>
      </c>
      <c r="D604" s="4296" t="s">
        <v>4987</v>
      </c>
      <c r="E604" s="4297">
        <v>2.4665400000000002</v>
      </c>
    </row>
    <row r="605" spans="2:5">
      <c r="B605" s="4296" t="s">
        <v>6475</v>
      </c>
      <c r="C605" s="4296" t="s">
        <v>6476</v>
      </c>
      <c r="D605" s="4296" t="s">
        <v>5222</v>
      </c>
      <c r="E605" s="4297">
        <v>2.4547929999999996</v>
      </c>
    </row>
    <row r="606" spans="2:5">
      <c r="B606" s="4296" t="s">
        <v>6477</v>
      </c>
      <c r="C606" s="4296" t="s">
        <v>6478</v>
      </c>
      <c r="D606" s="4296" t="s">
        <v>4987</v>
      </c>
      <c r="E606" s="4297">
        <v>2.4370669999999999</v>
      </c>
    </row>
    <row r="607" spans="2:5">
      <c r="B607" s="4296" t="s">
        <v>6479</v>
      </c>
      <c r="C607" s="4296" t="s">
        <v>6480</v>
      </c>
      <c r="D607" s="4296" t="s">
        <v>4897</v>
      </c>
      <c r="E607" s="4297">
        <v>2.4161299999999999</v>
      </c>
    </row>
    <row r="608" spans="2:5">
      <c r="B608" s="4296" t="s">
        <v>6481</v>
      </c>
      <c r="C608" s="4296" t="s">
        <v>6482</v>
      </c>
      <c r="D608" s="4296" t="s">
        <v>4897</v>
      </c>
      <c r="E608" s="4297">
        <v>2.4</v>
      </c>
    </row>
    <row r="609" spans="2:5">
      <c r="B609" s="4296" t="s">
        <v>6483</v>
      </c>
      <c r="C609" s="4296" t="s">
        <v>6484</v>
      </c>
      <c r="D609" s="4296" t="s">
        <v>4897</v>
      </c>
      <c r="E609" s="4297">
        <v>2.4</v>
      </c>
    </row>
    <row r="610" spans="2:5">
      <c r="B610" s="4296" t="s">
        <v>6485</v>
      </c>
      <c r="C610" s="4296" t="s">
        <v>6486</v>
      </c>
      <c r="D610" s="4296" t="s">
        <v>4897</v>
      </c>
      <c r="E610" s="4297">
        <v>2.4</v>
      </c>
    </row>
    <row r="611" spans="2:5">
      <c r="B611" s="4296" t="s">
        <v>6487</v>
      </c>
      <c r="C611" s="4296" t="s">
        <v>6488</v>
      </c>
      <c r="D611" s="4296" t="s">
        <v>5222</v>
      </c>
      <c r="E611" s="4297">
        <v>2.4</v>
      </c>
    </row>
    <row r="612" spans="2:5">
      <c r="B612" s="4296" t="s">
        <v>6489</v>
      </c>
      <c r="C612" s="4296" t="s">
        <v>6490</v>
      </c>
      <c r="D612" s="4296" t="s">
        <v>5222</v>
      </c>
      <c r="E612" s="4297">
        <v>2.4</v>
      </c>
    </row>
    <row r="613" spans="2:5">
      <c r="B613" s="4296" t="s">
        <v>6491</v>
      </c>
      <c r="C613" s="4296" t="s">
        <v>6492</v>
      </c>
      <c r="D613" s="4296" t="s">
        <v>5222</v>
      </c>
      <c r="E613" s="4297">
        <v>2.4</v>
      </c>
    </row>
    <row r="614" spans="2:5">
      <c r="B614" s="4296" t="s">
        <v>6493</v>
      </c>
      <c r="C614" s="4296" t="s">
        <v>6494</v>
      </c>
      <c r="D614" s="4296" t="s">
        <v>4674</v>
      </c>
      <c r="E614" s="4297">
        <v>2.3975239999999993</v>
      </c>
    </row>
    <row r="615" spans="2:5">
      <c r="B615" s="4296" t="s">
        <v>6495</v>
      </c>
      <c r="C615" s="4296" t="s">
        <v>6496</v>
      </c>
      <c r="D615" s="4296" t="s">
        <v>5222</v>
      </c>
      <c r="E615" s="4297">
        <v>2.3870970000000002</v>
      </c>
    </row>
    <row r="616" spans="2:5">
      <c r="B616" s="4296" t="s">
        <v>6497</v>
      </c>
      <c r="C616" s="4296" t="s">
        <v>6498</v>
      </c>
      <c r="D616" s="4296" t="s">
        <v>4674</v>
      </c>
      <c r="E616" s="4297">
        <v>2.3707600000000002</v>
      </c>
    </row>
    <row r="617" spans="2:5">
      <c r="B617" s="4296" t="s">
        <v>6499</v>
      </c>
      <c r="C617" s="4296" t="s">
        <v>6500</v>
      </c>
      <c r="D617" s="4296" t="s">
        <v>4674</v>
      </c>
      <c r="E617" s="4297">
        <v>2.3298400000000004</v>
      </c>
    </row>
    <row r="618" spans="2:5">
      <c r="B618" s="4296" t="s">
        <v>6501</v>
      </c>
      <c r="C618" s="4296" t="s">
        <v>6502</v>
      </c>
      <c r="D618" s="4296" t="s">
        <v>4987</v>
      </c>
      <c r="E618" s="4297">
        <v>2.3114520000000001</v>
      </c>
    </row>
    <row r="619" spans="2:5">
      <c r="B619" s="4296" t="s">
        <v>6503</v>
      </c>
      <c r="C619" s="4296" t="s">
        <v>6504</v>
      </c>
      <c r="D619" s="4296" t="s">
        <v>4897</v>
      </c>
      <c r="E619" s="4297">
        <v>2.2999999999999998</v>
      </c>
    </row>
    <row r="620" spans="2:5">
      <c r="B620" s="4296" t="s">
        <v>6505</v>
      </c>
      <c r="C620" s="4296" t="s">
        <v>6506</v>
      </c>
      <c r="D620" s="4296" t="s">
        <v>4897</v>
      </c>
      <c r="E620" s="4297">
        <v>2.2999999999999998</v>
      </c>
    </row>
    <row r="621" spans="2:5">
      <c r="B621" s="4296" t="s">
        <v>6507</v>
      </c>
      <c r="C621" s="4296" t="s">
        <v>6508</v>
      </c>
      <c r="D621" s="4296" t="s">
        <v>4897</v>
      </c>
      <c r="E621" s="4297">
        <v>2.2191759999999996</v>
      </c>
    </row>
    <row r="622" spans="2:5">
      <c r="B622" s="4296" t="s">
        <v>6509</v>
      </c>
      <c r="C622" s="4296" t="s">
        <v>6510</v>
      </c>
      <c r="D622" s="4296" t="s">
        <v>4897</v>
      </c>
      <c r="E622" s="4297">
        <v>2.2160000000000002</v>
      </c>
    </row>
    <row r="623" spans="2:5">
      <c r="B623" s="4296" t="s">
        <v>6511</v>
      </c>
      <c r="C623" s="4296" t="s">
        <v>6512</v>
      </c>
      <c r="D623" s="4296" t="s">
        <v>4897</v>
      </c>
      <c r="E623" s="4297">
        <v>2.2000000000000002</v>
      </c>
    </row>
    <row r="624" spans="2:5">
      <c r="B624" s="4296" t="s">
        <v>6513</v>
      </c>
      <c r="C624" s="4296" t="s">
        <v>6514</v>
      </c>
      <c r="D624" s="4296" t="s">
        <v>4897</v>
      </c>
      <c r="E624" s="4297">
        <v>2.1929179999999997</v>
      </c>
    </row>
    <row r="625" spans="2:5">
      <c r="B625" s="4296" t="s">
        <v>6515</v>
      </c>
      <c r="C625" s="4296" t="s">
        <v>6516</v>
      </c>
      <c r="D625" s="4296" t="s">
        <v>4987</v>
      </c>
      <c r="E625" s="4297">
        <v>2.18404</v>
      </c>
    </row>
    <row r="626" spans="2:5">
      <c r="B626" s="4296" t="s">
        <v>6517</v>
      </c>
      <c r="C626" s="4296" t="s">
        <v>6518</v>
      </c>
      <c r="D626" s="4296" t="s">
        <v>4897</v>
      </c>
      <c r="E626" s="4297">
        <v>2.1639140000000001</v>
      </c>
    </row>
    <row r="627" spans="2:5">
      <c r="B627" s="4296" t="s">
        <v>6519</v>
      </c>
      <c r="C627" s="4296" t="s">
        <v>6520</v>
      </c>
      <c r="D627" s="4296" t="s">
        <v>5149</v>
      </c>
      <c r="E627" s="4297">
        <v>2.1608639999999997</v>
      </c>
    </row>
    <row r="628" spans="2:5">
      <c r="B628" s="4296" t="s">
        <v>6521</v>
      </c>
      <c r="C628" s="4296" t="s">
        <v>6522</v>
      </c>
      <c r="D628" s="4296" t="s">
        <v>4674</v>
      </c>
      <c r="E628" s="4297">
        <v>2.1374469999999999</v>
      </c>
    </row>
    <row r="629" spans="2:5">
      <c r="B629" s="4296" t="s">
        <v>6523</v>
      </c>
      <c r="C629" s="4296" t="s">
        <v>6524</v>
      </c>
      <c r="D629" s="4296" t="s">
        <v>4987</v>
      </c>
      <c r="E629" s="4297">
        <v>2.13246</v>
      </c>
    </row>
    <row r="630" spans="2:5">
      <c r="B630" s="4296" t="s">
        <v>6525</v>
      </c>
      <c r="C630" s="4296" t="s">
        <v>6526</v>
      </c>
      <c r="D630" s="4296" t="s">
        <v>4897</v>
      </c>
      <c r="E630" s="4297">
        <v>2.1</v>
      </c>
    </row>
    <row r="631" spans="2:5">
      <c r="B631" s="4296" t="s">
        <v>6527</v>
      </c>
      <c r="C631" s="4296" t="s">
        <v>6528</v>
      </c>
      <c r="D631" s="4296" t="s">
        <v>4897</v>
      </c>
      <c r="E631" s="4297">
        <v>2.1</v>
      </c>
    </row>
    <row r="632" spans="2:5">
      <c r="B632" s="4296" t="s">
        <v>6529</v>
      </c>
      <c r="C632" s="4296" t="s">
        <v>6530</v>
      </c>
      <c r="D632" s="4296" t="s">
        <v>4897</v>
      </c>
      <c r="E632" s="4297">
        <v>2.0499999999999998</v>
      </c>
    </row>
    <row r="633" spans="2:5">
      <c r="B633" s="4296" t="s">
        <v>6531</v>
      </c>
      <c r="C633" s="4296" t="s">
        <v>6532</v>
      </c>
      <c r="D633" s="4296" t="s">
        <v>4897</v>
      </c>
      <c r="E633" s="4297">
        <v>2.0436160000000001</v>
      </c>
    </row>
    <row r="634" spans="2:5">
      <c r="B634" s="4296" t="s">
        <v>6533</v>
      </c>
      <c r="C634" s="4296" t="s">
        <v>6534</v>
      </c>
      <c r="D634" s="4296" t="s">
        <v>5222</v>
      </c>
      <c r="E634" s="4297">
        <v>2.0277099999999999</v>
      </c>
    </row>
    <row r="635" spans="2:5">
      <c r="B635" s="4296" t="s">
        <v>6535</v>
      </c>
      <c r="C635" s="4296" t="s">
        <v>6536</v>
      </c>
      <c r="D635" s="4296" t="s">
        <v>4674</v>
      </c>
      <c r="E635" s="4297">
        <v>2.02684</v>
      </c>
    </row>
    <row r="636" spans="2:5">
      <c r="B636" s="4296" t="s">
        <v>6537</v>
      </c>
      <c r="C636" s="4296" t="s">
        <v>6538</v>
      </c>
      <c r="D636" s="4296" t="s">
        <v>4897</v>
      </c>
      <c r="E636" s="4297">
        <v>2.021738</v>
      </c>
    </row>
    <row r="637" spans="2:5">
      <c r="B637" s="4296" t="s">
        <v>6539</v>
      </c>
      <c r="C637" s="4296" t="s">
        <v>6540</v>
      </c>
      <c r="D637" s="4296" t="s">
        <v>5234</v>
      </c>
      <c r="E637" s="4297">
        <v>2.0008300000000001</v>
      </c>
    </row>
    <row r="638" spans="2:5">
      <c r="B638" s="4296" t="s">
        <v>6541</v>
      </c>
      <c r="C638" s="4296" t="s">
        <v>6542</v>
      </c>
      <c r="D638" s="4296" t="s">
        <v>4897</v>
      </c>
      <c r="E638" s="4297">
        <v>2.0000000000000004</v>
      </c>
    </row>
    <row r="639" spans="2:5">
      <c r="B639" s="4296" t="s">
        <v>6543</v>
      </c>
      <c r="C639" s="4296" t="s">
        <v>6544</v>
      </c>
      <c r="D639" s="4296" t="s">
        <v>4897</v>
      </c>
      <c r="E639" s="4297">
        <v>2</v>
      </c>
    </row>
    <row r="640" spans="2:5">
      <c r="B640" s="4296" t="s">
        <v>6545</v>
      </c>
      <c r="C640" s="4296" t="s">
        <v>6546</v>
      </c>
      <c r="D640" s="4296" t="s">
        <v>4897</v>
      </c>
      <c r="E640" s="4297">
        <v>2</v>
      </c>
    </row>
    <row r="641" spans="2:5">
      <c r="B641" s="4296" t="s">
        <v>6547</v>
      </c>
      <c r="C641" s="4296" t="s">
        <v>6548</v>
      </c>
      <c r="D641" s="4296" t="s">
        <v>4897</v>
      </c>
      <c r="E641" s="4297">
        <v>2</v>
      </c>
    </row>
    <row r="642" spans="2:5">
      <c r="B642" s="4296" t="s">
        <v>6549</v>
      </c>
      <c r="C642" s="4296" t="s">
        <v>6550</v>
      </c>
      <c r="D642" s="4296" t="s">
        <v>4897</v>
      </c>
      <c r="E642" s="4297">
        <v>2</v>
      </c>
    </row>
    <row r="643" spans="2:5">
      <c r="B643" s="4296" t="s">
        <v>6551</v>
      </c>
      <c r="C643" s="4296" t="s">
        <v>6552</v>
      </c>
      <c r="D643" s="4296" t="s">
        <v>4897</v>
      </c>
      <c r="E643" s="4297">
        <v>2</v>
      </c>
    </row>
    <row r="644" spans="2:5">
      <c r="B644" s="4296" t="s">
        <v>6553</v>
      </c>
      <c r="C644" s="4296" t="s">
        <v>6554</v>
      </c>
      <c r="D644" s="4296" t="s">
        <v>4897</v>
      </c>
      <c r="E644" s="4297">
        <v>2</v>
      </c>
    </row>
    <row r="645" spans="2:5">
      <c r="B645" s="4296" t="s">
        <v>6555</v>
      </c>
      <c r="C645" s="4296" t="s">
        <v>6556</v>
      </c>
      <c r="D645" s="4296" t="s">
        <v>4897</v>
      </c>
      <c r="E645" s="4297">
        <v>2</v>
      </c>
    </row>
    <row r="646" spans="2:5">
      <c r="B646" s="4296" t="s">
        <v>6557</v>
      </c>
      <c r="C646" s="4296" t="s">
        <v>6558</v>
      </c>
      <c r="D646" s="4296" t="s">
        <v>5222</v>
      </c>
      <c r="E646" s="4297">
        <v>2</v>
      </c>
    </row>
    <row r="647" spans="2:5">
      <c r="B647" s="4296" t="s">
        <v>6559</v>
      </c>
      <c r="C647" s="4296" t="s">
        <v>6560</v>
      </c>
      <c r="D647" s="4296" t="s">
        <v>5222</v>
      </c>
      <c r="E647" s="4297">
        <v>2</v>
      </c>
    </row>
    <row r="648" spans="2:5">
      <c r="B648" s="4296" t="s">
        <v>6561</v>
      </c>
      <c r="C648" s="4296" t="s">
        <v>6562</v>
      </c>
      <c r="D648" s="4296" t="s">
        <v>5222</v>
      </c>
      <c r="E648" s="4297">
        <v>2</v>
      </c>
    </row>
    <row r="649" spans="2:5">
      <c r="B649" s="4296" t="s">
        <v>6563</v>
      </c>
      <c r="C649" s="4296" t="s">
        <v>6564</v>
      </c>
      <c r="D649" s="4296" t="s">
        <v>5222</v>
      </c>
      <c r="E649" s="4297">
        <v>2</v>
      </c>
    </row>
    <row r="650" spans="2:5">
      <c r="B650" s="4296" t="s">
        <v>6565</v>
      </c>
      <c r="C650" s="4296" t="s">
        <v>6566</v>
      </c>
      <c r="D650" s="4296" t="s">
        <v>5149</v>
      </c>
      <c r="E650" s="4297">
        <v>1.9813499999999999</v>
      </c>
    </row>
    <row r="651" spans="2:5">
      <c r="B651" s="4296" t="s">
        <v>6567</v>
      </c>
      <c r="C651" s="4296" t="s">
        <v>6568</v>
      </c>
      <c r="D651" s="4296" t="s">
        <v>4897</v>
      </c>
      <c r="E651" s="4297">
        <v>1.9689860000000001</v>
      </c>
    </row>
    <row r="652" spans="2:5">
      <c r="B652" s="4296" t="s">
        <v>6569</v>
      </c>
      <c r="C652" s="4296" t="s">
        <v>6570</v>
      </c>
      <c r="D652" s="4296" t="s">
        <v>4897</v>
      </c>
      <c r="E652" s="4297">
        <v>1.95</v>
      </c>
    </row>
    <row r="653" spans="2:5">
      <c r="B653" s="4296" t="s">
        <v>6571</v>
      </c>
      <c r="C653" s="4296" t="s">
        <v>6572</v>
      </c>
      <c r="D653" s="4296" t="s">
        <v>4897</v>
      </c>
      <c r="E653" s="4297">
        <v>1.9</v>
      </c>
    </row>
    <row r="654" spans="2:5">
      <c r="B654" s="4296" t="s">
        <v>6573</v>
      </c>
      <c r="C654" s="4296" t="s">
        <v>6574</v>
      </c>
      <c r="D654" s="4296" t="s">
        <v>4674</v>
      </c>
      <c r="E654" s="4297">
        <v>1.891364</v>
      </c>
    </row>
    <row r="655" spans="2:5">
      <c r="B655" s="4296" t="s">
        <v>6575</v>
      </c>
      <c r="C655" s="4296" t="s">
        <v>6576</v>
      </c>
      <c r="D655" s="4296" t="s">
        <v>4897</v>
      </c>
      <c r="E655" s="4297">
        <v>1.89</v>
      </c>
    </row>
    <row r="656" spans="2:5">
      <c r="B656" s="4296" t="s">
        <v>6577</v>
      </c>
      <c r="C656" s="4296" t="s">
        <v>6578</v>
      </c>
      <c r="D656" s="4296" t="s">
        <v>5222</v>
      </c>
      <c r="E656" s="4297">
        <v>1.8849490000000002</v>
      </c>
    </row>
    <row r="657" spans="2:5">
      <c r="B657" s="4296" t="s">
        <v>6579</v>
      </c>
      <c r="C657" s="4296" t="s">
        <v>6580</v>
      </c>
      <c r="D657" s="4296" t="s">
        <v>4897</v>
      </c>
      <c r="E657" s="4297">
        <v>1.84</v>
      </c>
    </row>
    <row r="658" spans="2:5">
      <c r="B658" s="4296" t="s">
        <v>6581</v>
      </c>
      <c r="C658" s="4296" t="s">
        <v>6582</v>
      </c>
      <c r="D658" s="4296" t="s">
        <v>5222</v>
      </c>
      <c r="E658" s="4297">
        <v>1.8151999999999999</v>
      </c>
    </row>
    <row r="659" spans="2:5">
      <c r="B659" s="4296" t="s">
        <v>6583</v>
      </c>
      <c r="C659" s="4296" t="s">
        <v>6584</v>
      </c>
      <c r="D659" s="4296" t="s">
        <v>4897</v>
      </c>
      <c r="E659" s="4297">
        <v>1.8</v>
      </c>
    </row>
    <row r="660" spans="2:5">
      <c r="B660" s="4296" t="s">
        <v>6585</v>
      </c>
      <c r="C660" s="4296" t="s">
        <v>6586</v>
      </c>
      <c r="D660" s="4296" t="s">
        <v>4897</v>
      </c>
      <c r="E660" s="4297">
        <v>1.8</v>
      </c>
    </row>
    <row r="661" spans="2:5">
      <c r="B661" s="4296" t="s">
        <v>6587</v>
      </c>
      <c r="C661" s="4296" t="s">
        <v>6588</v>
      </c>
      <c r="D661" s="4296" t="s">
        <v>5222</v>
      </c>
      <c r="E661" s="4297">
        <v>1.8</v>
      </c>
    </row>
    <row r="662" spans="2:5">
      <c r="B662" s="4296" t="s">
        <v>6589</v>
      </c>
      <c r="C662" s="4296" t="s">
        <v>6590</v>
      </c>
      <c r="D662" s="4296" t="s">
        <v>5222</v>
      </c>
      <c r="E662" s="4297">
        <v>1.8</v>
      </c>
    </row>
    <row r="663" spans="2:5">
      <c r="B663" s="4296" t="s">
        <v>6591</v>
      </c>
      <c r="C663" s="4296" t="s">
        <v>6592</v>
      </c>
      <c r="D663" s="4296" t="s">
        <v>4897</v>
      </c>
      <c r="E663" s="4297">
        <v>1.7989999999999999</v>
      </c>
    </row>
    <row r="664" spans="2:5">
      <c r="B664" s="4296" t="s">
        <v>6593</v>
      </c>
      <c r="C664" s="4296" t="s">
        <v>6594</v>
      </c>
      <c r="D664" s="4296" t="s">
        <v>6044</v>
      </c>
      <c r="E664" s="4297">
        <v>1.7957130000000001</v>
      </c>
    </row>
    <row r="665" spans="2:5">
      <c r="B665" s="4296" t="s">
        <v>6595</v>
      </c>
      <c r="C665" s="4296" t="s">
        <v>6596</v>
      </c>
      <c r="D665" s="4296" t="s">
        <v>4897</v>
      </c>
      <c r="E665" s="4297">
        <v>1.725652</v>
      </c>
    </row>
    <row r="666" spans="2:5">
      <c r="B666" s="4296" t="s">
        <v>6597</v>
      </c>
      <c r="C666" s="4296" t="s">
        <v>6598</v>
      </c>
      <c r="D666" s="4296" t="s">
        <v>4897</v>
      </c>
      <c r="E666" s="4297">
        <v>1.7</v>
      </c>
    </row>
    <row r="667" spans="2:5">
      <c r="B667" s="4296" t="s">
        <v>6599</v>
      </c>
      <c r="C667" s="4296" t="s">
        <v>6600</v>
      </c>
      <c r="D667" s="4296" t="s">
        <v>4987</v>
      </c>
      <c r="E667" s="4297">
        <v>1.6763070000000004</v>
      </c>
    </row>
    <row r="668" spans="2:5">
      <c r="B668" s="4296" t="s">
        <v>6601</v>
      </c>
      <c r="C668" s="4296" t="s">
        <v>6602</v>
      </c>
      <c r="D668" s="4296" t="s">
        <v>4987</v>
      </c>
      <c r="E668" s="4297">
        <v>1.6655400000000002</v>
      </c>
    </row>
    <row r="669" spans="2:5">
      <c r="B669" s="4296" t="s">
        <v>6603</v>
      </c>
      <c r="C669" s="4296" t="s">
        <v>6604</v>
      </c>
      <c r="D669" s="4296" t="s">
        <v>4674</v>
      </c>
      <c r="E669" s="4297">
        <v>1.6321940000000001</v>
      </c>
    </row>
    <row r="670" spans="2:5">
      <c r="B670" s="4296" t="s">
        <v>6605</v>
      </c>
      <c r="C670" s="4296" t="s">
        <v>6606</v>
      </c>
      <c r="D670" s="4296" t="s">
        <v>4987</v>
      </c>
      <c r="E670" s="4297">
        <v>1.62171</v>
      </c>
    </row>
    <row r="671" spans="2:5">
      <c r="B671" s="4296" t="s">
        <v>6607</v>
      </c>
      <c r="C671" s="4296" t="s">
        <v>6608</v>
      </c>
      <c r="D671" s="4296" t="s">
        <v>4897</v>
      </c>
      <c r="E671" s="4297">
        <v>1.6086960000000001</v>
      </c>
    </row>
    <row r="672" spans="2:5">
      <c r="B672" s="4296" t="s">
        <v>6609</v>
      </c>
      <c r="C672" s="4296" t="s">
        <v>6610</v>
      </c>
      <c r="D672" s="4296" t="s">
        <v>4987</v>
      </c>
      <c r="E672" s="4297">
        <v>1.6080539999999999</v>
      </c>
    </row>
    <row r="673" spans="2:5">
      <c r="B673" s="4296" t="s">
        <v>6611</v>
      </c>
      <c r="C673" s="4296" t="s">
        <v>6612</v>
      </c>
      <c r="D673" s="4296" t="s">
        <v>4897</v>
      </c>
      <c r="E673" s="4297">
        <v>1.6</v>
      </c>
    </row>
    <row r="674" spans="2:5">
      <c r="B674" s="4296" t="s">
        <v>6613</v>
      </c>
      <c r="C674" s="4296" t="s">
        <v>6614</v>
      </c>
      <c r="D674" s="4296" t="s">
        <v>4897</v>
      </c>
      <c r="E674" s="4297">
        <v>1.6</v>
      </c>
    </row>
    <row r="675" spans="2:5">
      <c r="B675" s="4296" t="s">
        <v>6615</v>
      </c>
      <c r="C675" s="4296" t="s">
        <v>6616</v>
      </c>
      <c r="D675" s="4296" t="s">
        <v>4674</v>
      </c>
      <c r="E675" s="4297">
        <v>1.590624</v>
      </c>
    </row>
    <row r="676" spans="2:5">
      <c r="B676" s="4296" t="s">
        <v>6617</v>
      </c>
      <c r="C676" s="4296" t="s">
        <v>6618</v>
      </c>
      <c r="D676" s="4296" t="s">
        <v>5222</v>
      </c>
      <c r="E676" s="4297">
        <v>1.56</v>
      </c>
    </row>
    <row r="677" spans="2:5">
      <c r="B677" s="4296" t="s">
        <v>6619</v>
      </c>
      <c r="C677" s="4296" t="s">
        <v>6620</v>
      </c>
      <c r="D677" s="4296" t="s">
        <v>4897</v>
      </c>
      <c r="E677" s="4297">
        <v>1.5</v>
      </c>
    </row>
    <row r="678" spans="2:5">
      <c r="B678" s="4296" t="s">
        <v>6621</v>
      </c>
      <c r="C678" s="4296" t="s">
        <v>6622</v>
      </c>
      <c r="D678" s="4296" t="s">
        <v>4897</v>
      </c>
      <c r="E678" s="4297">
        <v>1.5</v>
      </c>
    </row>
    <row r="679" spans="2:5">
      <c r="B679" s="4296" t="s">
        <v>6623</v>
      </c>
      <c r="C679" s="4296" t="s">
        <v>6624</v>
      </c>
      <c r="D679" s="4296" t="s">
        <v>5222</v>
      </c>
      <c r="E679" s="4297">
        <v>1.5</v>
      </c>
    </row>
    <row r="680" spans="2:5">
      <c r="B680" s="4296" t="s">
        <v>6625</v>
      </c>
      <c r="C680" s="4296" t="s">
        <v>6626</v>
      </c>
      <c r="D680" s="4296" t="s">
        <v>5222</v>
      </c>
      <c r="E680" s="4297">
        <v>1.5</v>
      </c>
    </row>
    <row r="681" spans="2:5">
      <c r="B681" s="4296" t="s">
        <v>6627</v>
      </c>
      <c r="C681" s="4296" t="s">
        <v>6628</v>
      </c>
      <c r="D681" s="4296" t="s">
        <v>5222</v>
      </c>
      <c r="E681" s="4297">
        <v>1.5</v>
      </c>
    </row>
    <row r="682" spans="2:5">
      <c r="B682" s="4296" t="s">
        <v>6629</v>
      </c>
      <c r="C682" s="4296" t="s">
        <v>6630</v>
      </c>
      <c r="D682" s="4296" t="s">
        <v>5222</v>
      </c>
      <c r="E682" s="4297">
        <v>1.5</v>
      </c>
    </row>
    <row r="683" spans="2:5">
      <c r="B683" s="4296" t="s">
        <v>6631</v>
      </c>
      <c r="C683" s="4296" t="s">
        <v>6632</v>
      </c>
      <c r="D683" s="4296" t="s">
        <v>5222</v>
      </c>
      <c r="E683" s="4297">
        <v>1.5</v>
      </c>
    </row>
    <row r="684" spans="2:5">
      <c r="B684" s="4296" t="s">
        <v>6633</v>
      </c>
      <c r="C684" s="4296" t="s">
        <v>6634</v>
      </c>
      <c r="D684" s="4296" t="s">
        <v>5222</v>
      </c>
      <c r="E684" s="4297">
        <v>1.5</v>
      </c>
    </row>
    <row r="685" spans="2:5">
      <c r="B685" s="4296" t="s">
        <v>6635</v>
      </c>
      <c r="C685" s="4296" t="s">
        <v>6636</v>
      </c>
      <c r="D685" s="4296" t="s">
        <v>4674</v>
      </c>
      <c r="E685" s="4297">
        <v>1.496</v>
      </c>
    </row>
    <row r="686" spans="2:5">
      <c r="B686" s="4296" t="s">
        <v>6637</v>
      </c>
      <c r="C686" s="4296" t="s">
        <v>6638</v>
      </c>
      <c r="D686" s="4296" t="s">
        <v>4674</v>
      </c>
      <c r="E686" s="4297">
        <v>1.4750840000000001</v>
      </c>
    </row>
    <row r="687" spans="2:5">
      <c r="B687" s="4296" t="s">
        <v>6639</v>
      </c>
      <c r="C687" s="4296" t="s">
        <v>6640</v>
      </c>
      <c r="D687" s="4296" t="s">
        <v>4987</v>
      </c>
      <c r="E687" s="4297">
        <v>1.4345000000000001</v>
      </c>
    </row>
    <row r="688" spans="2:5">
      <c r="B688" s="4296" t="s">
        <v>6641</v>
      </c>
      <c r="C688" s="4296" t="s">
        <v>6642</v>
      </c>
      <c r="D688" s="4296" t="s">
        <v>5149</v>
      </c>
      <c r="E688" s="4297">
        <v>1.4152499999999999</v>
      </c>
    </row>
    <row r="689" spans="2:5">
      <c r="B689" s="4296" t="s">
        <v>6643</v>
      </c>
      <c r="C689" s="4296" t="s">
        <v>6644</v>
      </c>
      <c r="D689" s="4296" t="s">
        <v>5149</v>
      </c>
      <c r="E689" s="4297">
        <v>1.40448</v>
      </c>
    </row>
    <row r="690" spans="2:5">
      <c r="B690" s="4296" t="s">
        <v>6645</v>
      </c>
      <c r="C690" s="4296" t="s">
        <v>6646</v>
      </c>
      <c r="D690" s="4296" t="s">
        <v>4897</v>
      </c>
      <c r="E690" s="4297">
        <v>1.4</v>
      </c>
    </row>
    <row r="691" spans="2:5">
      <c r="B691" s="4296" t="s">
        <v>6647</v>
      </c>
      <c r="C691" s="4296" t="s">
        <v>6648</v>
      </c>
      <c r="D691" s="4296" t="s">
        <v>4897</v>
      </c>
      <c r="E691" s="4297">
        <v>1.393548</v>
      </c>
    </row>
    <row r="692" spans="2:5">
      <c r="B692" s="4296" t="s">
        <v>6649</v>
      </c>
      <c r="C692" s="4296" t="s">
        <v>6650</v>
      </c>
      <c r="D692" s="4296" t="s">
        <v>4987</v>
      </c>
      <c r="E692" s="4297">
        <v>1.392495</v>
      </c>
    </row>
    <row r="693" spans="2:5">
      <c r="B693" s="4296" t="s">
        <v>6651</v>
      </c>
      <c r="C693" s="4296" t="s">
        <v>6652</v>
      </c>
      <c r="D693" s="4296" t="s">
        <v>5149</v>
      </c>
      <c r="E693" s="4297">
        <v>1.3906079999999998</v>
      </c>
    </row>
    <row r="694" spans="2:5">
      <c r="B694" s="4296" t="s">
        <v>6653</v>
      </c>
      <c r="C694" s="4296" t="s">
        <v>6654</v>
      </c>
      <c r="D694" s="4296" t="s">
        <v>4674</v>
      </c>
      <c r="E694" s="4297">
        <v>1.3851770000000001</v>
      </c>
    </row>
    <row r="695" spans="2:5">
      <c r="B695" s="4296" t="s">
        <v>6655</v>
      </c>
      <c r="C695" s="4296" t="s">
        <v>6656</v>
      </c>
      <c r="D695" s="4296" t="s">
        <v>5234</v>
      </c>
      <c r="E695" s="4297">
        <v>1.3626989999999999</v>
      </c>
    </row>
    <row r="696" spans="2:5">
      <c r="B696" s="4296" t="s">
        <v>6657</v>
      </c>
      <c r="C696" s="4296" t="s">
        <v>6658</v>
      </c>
      <c r="D696" s="4296" t="s">
        <v>4987</v>
      </c>
      <c r="E696" s="4297">
        <v>1.3573</v>
      </c>
    </row>
    <row r="697" spans="2:5">
      <c r="B697" s="4296" t="s">
        <v>6659</v>
      </c>
      <c r="C697" s="4296" t="s">
        <v>6660</v>
      </c>
      <c r="D697" s="4296" t="s">
        <v>4897</v>
      </c>
      <c r="E697" s="4297">
        <v>1.32</v>
      </c>
    </row>
    <row r="698" spans="2:5">
      <c r="B698" s="4296" t="s">
        <v>6661</v>
      </c>
      <c r="C698" s="4296" t="s">
        <v>6662</v>
      </c>
      <c r="D698" s="4296" t="s">
        <v>4897</v>
      </c>
      <c r="E698" s="4297">
        <v>1.3</v>
      </c>
    </row>
    <row r="699" spans="2:5">
      <c r="B699" s="4296" t="s">
        <v>6663</v>
      </c>
      <c r="C699" s="4296" t="s">
        <v>6664</v>
      </c>
      <c r="D699" s="4296" t="s">
        <v>4897</v>
      </c>
      <c r="E699" s="4297">
        <v>1.3</v>
      </c>
    </row>
    <row r="700" spans="2:5">
      <c r="B700" s="4296" t="s">
        <v>6665</v>
      </c>
      <c r="C700" s="4296" t="s">
        <v>6666</v>
      </c>
      <c r="D700" s="4296" t="s">
        <v>4897</v>
      </c>
      <c r="E700" s="4297">
        <v>1.3</v>
      </c>
    </row>
    <row r="701" spans="2:5">
      <c r="B701" s="4296" t="s">
        <v>6667</v>
      </c>
      <c r="C701" s="4296" t="s">
        <v>6668</v>
      </c>
      <c r="D701" s="4296" t="s">
        <v>5149</v>
      </c>
      <c r="E701" s="4297">
        <v>1.2887099999999998</v>
      </c>
    </row>
    <row r="702" spans="2:5">
      <c r="B702" s="4296" t="s">
        <v>6669</v>
      </c>
      <c r="C702" s="4296" t="s">
        <v>6670</v>
      </c>
      <c r="D702" s="4296" t="s">
        <v>5231</v>
      </c>
      <c r="E702" s="4297">
        <v>1.2766899999999999</v>
      </c>
    </row>
    <row r="703" spans="2:5">
      <c r="B703" s="4296" t="s">
        <v>6671</v>
      </c>
      <c r="C703" s="4296" t="s">
        <v>6672</v>
      </c>
      <c r="D703" s="4296" t="s">
        <v>4897</v>
      </c>
      <c r="E703" s="4297">
        <v>1.26</v>
      </c>
    </row>
    <row r="704" spans="2:5">
      <c r="B704" s="4296" t="s">
        <v>6673</v>
      </c>
      <c r="C704" s="4296" t="s">
        <v>6674</v>
      </c>
      <c r="D704" s="4296" t="s">
        <v>4987</v>
      </c>
      <c r="E704" s="4297">
        <v>1.2442080000000002</v>
      </c>
    </row>
    <row r="705" spans="2:5">
      <c r="B705" s="4296" t="s">
        <v>6675</v>
      </c>
      <c r="C705" s="4296" t="s">
        <v>6676</v>
      </c>
      <c r="D705" s="4296" t="s">
        <v>4897</v>
      </c>
      <c r="E705" s="4297">
        <v>1.2</v>
      </c>
    </row>
    <row r="706" spans="2:5">
      <c r="B706" s="4296" t="s">
        <v>6677</v>
      </c>
      <c r="C706" s="4296" t="s">
        <v>6678</v>
      </c>
      <c r="D706" s="4296" t="s">
        <v>4897</v>
      </c>
      <c r="E706" s="4297">
        <v>1.2</v>
      </c>
    </row>
    <row r="707" spans="2:5">
      <c r="B707" s="4296" t="s">
        <v>6679</v>
      </c>
      <c r="C707" s="4296" t="s">
        <v>6680</v>
      </c>
      <c r="D707" s="4296" t="s">
        <v>4897</v>
      </c>
      <c r="E707" s="4297">
        <v>1.2</v>
      </c>
    </row>
    <row r="708" spans="2:5">
      <c r="B708" s="4296" t="s">
        <v>6681</v>
      </c>
      <c r="C708" s="4296" t="s">
        <v>6682</v>
      </c>
      <c r="D708" s="4296" t="s">
        <v>4897</v>
      </c>
      <c r="E708" s="4297">
        <v>1.2</v>
      </c>
    </row>
    <row r="709" spans="2:5">
      <c r="B709" s="4296" t="s">
        <v>6683</v>
      </c>
      <c r="C709" s="4296" t="s">
        <v>6684</v>
      </c>
      <c r="D709" s="4296" t="s">
        <v>5222</v>
      </c>
      <c r="E709" s="4297">
        <v>1.2</v>
      </c>
    </row>
    <row r="710" spans="2:5">
      <c r="B710" s="4296" t="s">
        <v>6685</v>
      </c>
      <c r="C710" s="4296" t="s">
        <v>6686</v>
      </c>
      <c r="D710" s="4296" t="s">
        <v>5222</v>
      </c>
      <c r="E710" s="4297">
        <v>1.2</v>
      </c>
    </row>
    <row r="711" spans="2:5">
      <c r="B711" s="4296" t="s">
        <v>6687</v>
      </c>
      <c r="C711" s="4296" t="s">
        <v>6688</v>
      </c>
      <c r="D711" s="4296" t="s">
        <v>5222</v>
      </c>
      <c r="E711" s="4297">
        <v>1.2</v>
      </c>
    </row>
    <row r="712" spans="2:5">
      <c r="B712" s="4296" t="s">
        <v>6689</v>
      </c>
      <c r="C712" s="4296" t="s">
        <v>6690</v>
      </c>
      <c r="D712" s="4296" t="s">
        <v>5222</v>
      </c>
      <c r="E712" s="4297">
        <v>1.2</v>
      </c>
    </row>
    <row r="713" spans="2:5">
      <c r="B713" s="4296" t="s">
        <v>6691</v>
      </c>
      <c r="C713" s="4296" t="s">
        <v>6692</v>
      </c>
      <c r="D713" s="4296" t="s">
        <v>4674</v>
      </c>
      <c r="E713" s="4297">
        <v>1.168356</v>
      </c>
    </row>
    <row r="714" spans="2:5">
      <c r="B714" s="4296" t="s">
        <v>6693</v>
      </c>
      <c r="C714" s="4296" t="s">
        <v>6694</v>
      </c>
      <c r="D714" s="4296" t="s">
        <v>4987</v>
      </c>
      <c r="E714" s="4297">
        <v>1.1519200000000001</v>
      </c>
    </row>
    <row r="715" spans="2:5">
      <c r="B715" s="4296" t="s">
        <v>6695</v>
      </c>
      <c r="C715" s="4296" t="s">
        <v>6696</v>
      </c>
      <c r="D715" s="4296" t="s">
        <v>5222</v>
      </c>
      <c r="E715" s="4297">
        <v>1.1458059999999999</v>
      </c>
    </row>
    <row r="716" spans="2:5">
      <c r="B716" s="4296" t="s">
        <v>6697</v>
      </c>
      <c r="C716" s="4296" t="s">
        <v>6698</v>
      </c>
      <c r="D716" s="4296" t="s">
        <v>4987</v>
      </c>
      <c r="E716" s="4297">
        <v>1.1437200000000001</v>
      </c>
    </row>
    <row r="717" spans="2:5">
      <c r="B717" s="4296" t="s">
        <v>6699</v>
      </c>
      <c r="C717" s="4296" t="s">
        <v>6700</v>
      </c>
      <c r="D717" s="4296" t="s">
        <v>5222</v>
      </c>
      <c r="E717" s="4297">
        <v>1.1399999999999999</v>
      </c>
    </row>
    <row r="718" spans="2:5">
      <c r="B718" s="4296" t="s">
        <v>6701</v>
      </c>
      <c r="C718" s="4296" t="s">
        <v>6702</v>
      </c>
      <c r="D718" s="4296" t="s">
        <v>4987</v>
      </c>
      <c r="E718" s="4297">
        <v>1.1367</v>
      </c>
    </row>
    <row r="719" spans="2:5">
      <c r="B719" s="4296" t="s">
        <v>6703</v>
      </c>
      <c r="C719" s="4296" t="s">
        <v>6704</v>
      </c>
      <c r="D719" s="4296" t="s">
        <v>5222</v>
      </c>
      <c r="E719" s="4297">
        <v>1.129032</v>
      </c>
    </row>
    <row r="720" spans="2:5">
      <c r="B720" s="4296" t="s">
        <v>6705</v>
      </c>
      <c r="C720" s="4296" t="s">
        <v>6706</v>
      </c>
      <c r="D720" s="4296" t="s">
        <v>5222</v>
      </c>
      <c r="E720" s="4297">
        <v>1.112903</v>
      </c>
    </row>
    <row r="721" spans="2:5">
      <c r="B721" s="4296" t="s">
        <v>6707</v>
      </c>
      <c r="C721" s="4296" t="s">
        <v>6708</v>
      </c>
      <c r="D721" s="4296" t="s">
        <v>4897</v>
      </c>
      <c r="E721" s="4297">
        <v>1.1063470000000002</v>
      </c>
    </row>
    <row r="722" spans="2:5">
      <c r="B722" s="4296" t="s">
        <v>6709</v>
      </c>
      <c r="C722" s="4296" t="s">
        <v>6710</v>
      </c>
      <c r="D722" s="4296" t="s">
        <v>4987</v>
      </c>
      <c r="E722" s="4297">
        <v>1.0648799999999998</v>
      </c>
    </row>
    <row r="723" spans="2:5">
      <c r="B723" s="4296" t="s">
        <v>6711</v>
      </c>
      <c r="C723" s="4296" t="s">
        <v>6712</v>
      </c>
      <c r="D723" s="4296" t="s">
        <v>5234</v>
      </c>
      <c r="E723" s="4297">
        <v>1.061051</v>
      </c>
    </row>
    <row r="724" spans="2:5">
      <c r="B724" s="4296" t="s">
        <v>6713</v>
      </c>
      <c r="C724" s="4296" t="s">
        <v>6714</v>
      </c>
      <c r="D724" s="4296" t="s">
        <v>4674</v>
      </c>
      <c r="E724" s="4297">
        <v>1.0490669999999997</v>
      </c>
    </row>
    <row r="725" spans="2:5">
      <c r="B725" s="4296" t="s">
        <v>6715</v>
      </c>
      <c r="C725" s="4296" t="s">
        <v>6716</v>
      </c>
      <c r="D725" s="4296" t="s">
        <v>4674</v>
      </c>
      <c r="E725" s="4297">
        <v>1.0313330000000001</v>
      </c>
    </row>
    <row r="726" spans="2:5">
      <c r="B726" s="4296" t="s">
        <v>6717</v>
      </c>
      <c r="C726" s="4296" t="s">
        <v>6718</v>
      </c>
      <c r="D726" s="4296" t="s">
        <v>5234</v>
      </c>
      <c r="E726" s="4297">
        <v>1.0261499999999999</v>
      </c>
    </row>
    <row r="727" spans="2:5">
      <c r="B727" s="4296" t="s">
        <v>6719</v>
      </c>
      <c r="C727" s="4296" t="s">
        <v>6720</v>
      </c>
      <c r="D727" s="4296" t="s">
        <v>4674</v>
      </c>
      <c r="E727" s="4297">
        <v>1.0250030000000001</v>
      </c>
    </row>
    <row r="728" spans="2:5">
      <c r="B728" s="4296" t="s">
        <v>6721</v>
      </c>
      <c r="C728" s="4296" t="s">
        <v>6722</v>
      </c>
      <c r="D728" s="4296" t="s">
        <v>4987</v>
      </c>
      <c r="E728" s="4297">
        <v>1.0074889999999999</v>
      </c>
    </row>
    <row r="729" spans="2:5">
      <c r="B729" s="4296" t="s">
        <v>6723</v>
      </c>
      <c r="C729" s="4296" t="s">
        <v>6724</v>
      </c>
      <c r="D729" s="4296" t="s">
        <v>4897</v>
      </c>
      <c r="E729" s="4297">
        <v>1</v>
      </c>
    </row>
    <row r="730" spans="2:5">
      <c r="B730" s="4296" t="s">
        <v>6725</v>
      </c>
      <c r="C730" s="4296" t="s">
        <v>6726</v>
      </c>
      <c r="D730" s="4296" t="s">
        <v>4897</v>
      </c>
      <c r="E730" s="4297">
        <v>1</v>
      </c>
    </row>
    <row r="731" spans="2:5">
      <c r="B731" s="4296" t="s">
        <v>6727</v>
      </c>
      <c r="C731" s="4296" t="s">
        <v>6728</v>
      </c>
      <c r="D731" s="4296" t="s">
        <v>4897</v>
      </c>
      <c r="E731" s="4297">
        <v>1</v>
      </c>
    </row>
    <row r="732" spans="2:5">
      <c r="B732" s="4296" t="s">
        <v>6729</v>
      </c>
      <c r="C732" s="4296" t="s">
        <v>6730</v>
      </c>
      <c r="D732" s="4296" t="s">
        <v>4897</v>
      </c>
      <c r="E732" s="4297">
        <v>1</v>
      </c>
    </row>
    <row r="733" spans="2:5">
      <c r="B733" s="4296" t="s">
        <v>6731</v>
      </c>
      <c r="C733" s="4296" t="s">
        <v>6732</v>
      </c>
      <c r="D733" s="4296" t="s">
        <v>4897</v>
      </c>
      <c r="E733" s="4297">
        <v>1</v>
      </c>
    </row>
    <row r="734" spans="2:5">
      <c r="B734" s="4296" t="s">
        <v>6733</v>
      </c>
      <c r="C734" s="4296" t="s">
        <v>6734</v>
      </c>
      <c r="D734" s="4296" t="s">
        <v>5222</v>
      </c>
      <c r="E734" s="4297">
        <v>1</v>
      </c>
    </row>
    <row r="735" spans="2:5">
      <c r="B735" s="4296" t="s">
        <v>6735</v>
      </c>
      <c r="C735" s="4296" t="s">
        <v>6736</v>
      </c>
      <c r="D735" s="4296" t="s">
        <v>5222</v>
      </c>
      <c r="E735" s="4297">
        <v>1</v>
      </c>
    </row>
    <row r="736" spans="2:5">
      <c r="B736" s="4296" t="s">
        <v>6737</v>
      </c>
      <c r="C736" s="4296" t="s">
        <v>6738</v>
      </c>
      <c r="D736" s="4296" t="s">
        <v>5149</v>
      </c>
      <c r="E736" s="4297">
        <v>0.98483899999999991</v>
      </c>
    </row>
    <row r="737" spans="2:5">
      <c r="B737" s="4296" t="s">
        <v>6739</v>
      </c>
      <c r="C737" s="4296" t="s">
        <v>6740</v>
      </c>
      <c r="D737" s="4296" t="s">
        <v>4987</v>
      </c>
      <c r="E737" s="4297">
        <v>0.96266700000000005</v>
      </c>
    </row>
    <row r="738" spans="2:5">
      <c r="B738" s="4296" t="s">
        <v>6741</v>
      </c>
      <c r="C738" s="4296" t="s">
        <v>6742</v>
      </c>
      <c r="D738" s="4296" t="s">
        <v>5222</v>
      </c>
      <c r="E738" s="4297">
        <v>0.96</v>
      </c>
    </row>
    <row r="739" spans="2:5">
      <c r="B739" s="4296" t="s">
        <v>6743</v>
      </c>
      <c r="C739" s="4296" t="s">
        <v>6744</v>
      </c>
      <c r="D739" s="4296" t="s">
        <v>4674</v>
      </c>
      <c r="E739" s="4297">
        <v>0.95738500000000004</v>
      </c>
    </row>
    <row r="740" spans="2:5">
      <c r="B740" s="4296" t="s">
        <v>6745</v>
      </c>
      <c r="C740" s="4296" t="s">
        <v>6746</v>
      </c>
      <c r="D740" s="4296" t="s">
        <v>5222</v>
      </c>
      <c r="E740" s="4297">
        <v>0.93</v>
      </c>
    </row>
    <row r="741" spans="2:5">
      <c r="B741" s="4296" t="s">
        <v>6747</v>
      </c>
      <c r="C741" s="4296" t="s">
        <v>6748</v>
      </c>
      <c r="D741" s="4296" t="s">
        <v>4897</v>
      </c>
      <c r="E741" s="4297">
        <v>0.9</v>
      </c>
    </row>
    <row r="742" spans="2:5">
      <c r="B742" s="4296" t="s">
        <v>6749</v>
      </c>
      <c r="C742" s="4296" t="s">
        <v>6750</v>
      </c>
      <c r="D742" s="4296" t="s">
        <v>5222</v>
      </c>
      <c r="E742" s="4297">
        <v>0.9</v>
      </c>
    </row>
    <row r="743" spans="2:5">
      <c r="B743" s="4296" t="s">
        <v>6751</v>
      </c>
      <c r="C743" s="4296" t="s">
        <v>6752</v>
      </c>
      <c r="D743" s="4296" t="s">
        <v>5222</v>
      </c>
      <c r="E743" s="4297">
        <v>0.9</v>
      </c>
    </row>
    <row r="744" spans="2:5">
      <c r="B744" s="4296" t="s">
        <v>6753</v>
      </c>
      <c r="C744" s="4296" t="s">
        <v>6754</v>
      </c>
      <c r="D744" s="4296" t="s">
        <v>4897</v>
      </c>
      <c r="E744" s="4297">
        <v>0.88692499999999996</v>
      </c>
    </row>
    <row r="745" spans="2:5">
      <c r="B745" s="4296" t="s">
        <v>6755</v>
      </c>
      <c r="C745" s="4296" t="s">
        <v>6756</v>
      </c>
      <c r="D745" s="4296" t="s">
        <v>5222</v>
      </c>
      <c r="E745" s="4297">
        <v>0.85660000000000003</v>
      </c>
    </row>
    <row r="746" spans="2:5">
      <c r="B746" s="4296" t="s">
        <v>6757</v>
      </c>
      <c r="C746" s="4296" t="s">
        <v>6758</v>
      </c>
      <c r="D746" s="4296" t="s">
        <v>5222</v>
      </c>
      <c r="E746" s="4297">
        <v>0.84782599999999997</v>
      </c>
    </row>
    <row r="747" spans="2:5">
      <c r="B747" s="4296" t="s">
        <v>6759</v>
      </c>
      <c r="C747" s="4296" t="s">
        <v>6760</v>
      </c>
      <c r="D747" s="4296" t="s">
        <v>4674</v>
      </c>
      <c r="E747" s="4297">
        <v>0.84081100000000009</v>
      </c>
    </row>
    <row r="748" spans="2:5">
      <c r="B748" s="4296" t="s">
        <v>6761</v>
      </c>
      <c r="C748" s="4296" t="s">
        <v>6762</v>
      </c>
      <c r="D748" s="4296" t="s">
        <v>4897</v>
      </c>
      <c r="E748" s="4297">
        <v>0.82666600000000001</v>
      </c>
    </row>
    <row r="749" spans="2:5">
      <c r="B749" s="4296" t="s">
        <v>6763</v>
      </c>
      <c r="C749" s="4296" t="s">
        <v>6764</v>
      </c>
      <c r="D749" s="4296" t="s">
        <v>5222</v>
      </c>
      <c r="E749" s="4297">
        <v>0.81290299999999993</v>
      </c>
    </row>
    <row r="750" spans="2:5">
      <c r="B750" s="4296" t="s">
        <v>6765</v>
      </c>
      <c r="C750" s="4296" t="s">
        <v>6766</v>
      </c>
      <c r="D750" s="4296" t="s">
        <v>4897</v>
      </c>
      <c r="E750" s="4297">
        <v>0.8</v>
      </c>
    </row>
    <row r="751" spans="2:5">
      <c r="B751" s="4296" t="s">
        <v>6767</v>
      </c>
      <c r="C751" s="4296" t="s">
        <v>6768</v>
      </c>
      <c r="D751" s="4296" t="s">
        <v>5222</v>
      </c>
      <c r="E751" s="4297">
        <v>0.8</v>
      </c>
    </row>
    <row r="752" spans="2:5">
      <c r="B752" s="4296" t="s">
        <v>6769</v>
      </c>
      <c r="C752" s="4296" t="s">
        <v>6770</v>
      </c>
      <c r="D752" s="4296" t="s">
        <v>5222</v>
      </c>
      <c r="E752" s="4297">
        <v>0.78400000000000003</v>
      </c>
    </row>
    <row r="753" spans="2:5">
      <c r="B753" s="4296" t="s">
        <v>6771</v>
      </c>
      <c r="C753" s="4296" t="s">
        <v>6772</v>
      </c>
      <c r="D753" s="4296" t="s">
        <v>5222</v>
      </c>
      <c r="E753" s="4297">
        <v>0.77333399999999997</v>
      </c>
    </row>
    <row r="754" spans="2:5">
      <c r="B754" s="4296" t="s">
        <v>6773</v>
      </c>
      <c r="C754" s="4296" t="s">
        <v>6774</v>
      </c>
      <c r="D754" s="4296" t="s">
        <v>4897</v>
      </c>
      <c r="E754" s="4297">
        <v>0.76</v>
      </c>
    </row>
    <row r="755" spans="2:5">
      <c r="B755" s="4296" t="s">
        <v>6775</v>
      </c>
      <c r="C755" s="4296" t="s">
        <v>6776</v>
      </c>
      <c r="D755" s="4296" t="s">
        <v>5222</v>
      </c>
      <c r="E755" s="4297">
        <v>0.7559459999999999</v>
      </c>
    </row>
    <row r="756" spans="2:5">
      <c r="B756" s="4296" t="s">
        <v>6777</v>
      </c>
      <c r="C756" s="4296" t="s">
        <v>6778</v>
      </c>
      <c r="D756" s="4296" t="s">
        <v>5222</v>
      </c>
      <c r="E756" s="4297">
        <v>0.75</v>
      </c>
    </row>
    <row r="757" spans="2:5">
      <c r="B757" s="4296" t="s">
        <v>6779</v>
      </c>
      <c r="C757" s="4296" t="s">
        <v>6780</v>
      </c>
      <c r="D757" s="4296" t="s">
        <v>4987</v>
      </c>
      <c r="E757" s="4297">
        <v>0.74663999999999997</v>
      </c>
    </row>
    <row r="758" spans="2:5">
      <c r="B758" s="4296" t="s">
        <v>6781</v>
      </c>
      <c r="C758" s="4296" t="s">
        <v>6782</v>
      </c>
      <c r="D758" s="4296" t="s">
        <v>4897</v>
      </c>
      <c r="E758" s="4297">
        <v>0.72765000000000002</v>
      </c>
    </row>
    <row r="759" spans="2:5">
      <c r="B759" s="4296" t="s">
        <v>6783</v>
      </c>
      <c r="C759" s="4296" t="s">
        <v>6784</v>
      </c>
      <c r="D759" s="4296" t="s">
        <v>4987</v>
      </c>
      <c r="E759" s="4297">
        <v>0.72522000000000009</v>
      </c>
    </row>
    <row r="760" spans="2:5">
      <c r="B760" s="4296" t="s">
        <v>6785</v>
      </c>
      <c r="C760" s="4296" t="s">
        <v>6786</v>
      </c>
      <c r="D760" s="4296" t="s">
        <v>5222</v>
      </c>
      <c r="E760" s="4297">
        <v>0.72</v>
      </c>
    </row>
    <row r="761" spans="2:5">
      <c r="B761" s="4296" t="s">
        <v>6787</v>
      </c>
      <c r="C761" s="4296" t="s">
        <v>6788</v>
      </c>
      <c r="D761" s="4296" t="s">
        <v>4897</v>
      </c>
      <c r="E761" s="4297">
        <v>0.7</v>
      </c>
    </row>
    <row r="762" spans="2:5">
      <c r="B762" s="4296" t="s">
        <v>6789</v>
      </c>
      <c r="C762" s="4296" t="s">
        <v>6790</v>
      </c>
      <c r="D762" s="4296" t="s">
        <v>4897</v>
      </c>
      <c r="E762" s="4297">
        <v>0.7</v>
      </c>
    </row>
    <row r="763" spans="2:5">
      <c r="B763" s="4296" t="s">
        <v>6791</v>
      </c>
      <c r="C763" s="4296" t="s">
        <v>6792</v>
      </c>
      <c r="D763" s="4296" t="s">
        <v>5222</v>
      </c>
      <c r="E763" s="4297">
        <v>0.7</v>
      </c>
    </row>
    <row r="764" spans="2:5">
      <c r="B764" s="4296" t="s">
        <v>6793</v>
      </c>
      <c r="C764" s="4296" t="s">
        <v>6794</v>
      </c>
      <c r="D764" s="4296" t="s">
        <v>5222</v>
      </c>
      <c r="E764" s="4297">
        <v>0.7</v>
      </c>
    </row>
    <row r="765" spans="2:5">
      <c r="B765" s="4296" t="s">
        <v>6795</v>
      </c>
      <c r="C765" s="4296" t="s">
        <v>6796</v>
      </c>
      <c r="D765" s="4296" t="s">
        <v>5222</v>
      </c>
      <c r="E765" s="4297">
        <v>0.7</v>
      </c>
    </row>
    <row r="766" spans="2:5">
      <c r="B766" s="4296" t="s">
        <v>6797</v>
      </c>
      <c r="C766" s="4296" t="s">
        <v>6798</v>
      </c>
      <c r="D766" s="4296" t="s">
        <v>5222</v>
      </c>
      <c r="E766" s="4297">
        <v>0.7</v>
      </c>
    </row>
    <row r="767" spans="2:5">
      <c r="B767" s="4296" t="s">
        <v>6799</v>
      </c>
      <c r="C767" s="4296" t="s">
        <v>6800</v>
      </c>
      <c r="D767" s="4296" t="s">
        <v>5222</v>
      </c>
      <c r="E767" s="4297">
        <v>0.7</v>
      </c>
    </row>
    <row r="768" spans="2:5">
      <c r="B768" s="4296" t="s">
        <v>6801</v>
      </c>
      <c r="C768" s="4296" t="s">
        <v>6802</v>
      </c>
      <c r="D768" s="4296" t="s">
        <v>4897</v>
      </c>
      <c r="E768" s="4297">
        <v>0.69337799999999994</v>
      </c>
    </row>
    <row r="769" spans="2:5">
      <c r="B769" s="4296" t="s">
        <v>6803</v>
      </c>
      <c r="C769" s="4296" t="s">
        <v>6804</v>
      </c>
      <c r="D769" s="4296" t="s">
        <v>5149</v>
      </c>
      <c r="E769" s="4297">
        <v>0.69299999999999995</v>
      </c>
    </row>
    <row r="770" spans="2:5">
      <c r="B770" s="4296" t="s">
        <v>6805</v>
      </c>
      <c r="C770" s="4296" t="s">
        <v>6806</v>
      </c>
      <c r="D770" s="4296" t="s">
        <v>4987</v>
      </c>
      <c r="E770" s="4297">
        <v>0.67866700000000002</v>
      </c>
    </row>
    <row r="771" spans="2:5">
      <c r="B771" s="4296" t="s">
        <v>6807</v>
      </c>
      <c r="C771" s="4296" t="s">
        <v>6808</v>
      </c>
      <c r="D771" s="4296" t="s">
        <v>5222</v>
      </c>
      <c r="E771" s="4297">
        <v>0.64354800000000001</v>
      </c>
    </row>
    <row r="772" spans="2:5">
      <c r="B772" s="4296" t="s">
        <v>6809</v>
      </c>
      <c r="C772" s="4296" t="s">
        <v>6810</v>
      </c>
      <c r="D772" s="4296" t="s">
        <v>4987</v>
      </c>
      <c r="E772" s="4297">
        <v>0.62689399999999995</v>
      </c>
    </row>
    <row r="773" spans="2:5">
      <c r="B773" s="4296" t="s">
        <v>6811</v>
      </c>
      <c r="C773" s="4296" t="s">
        <v>6812</v>
      </c>
      <c r="D773" s="4296" t="s">
        <v>4987</v>
      </c>
      <c r="E773" s="4297">
        <v>0.60624</v>
      </c>
    </row>
    <row r="774" spans="2:5">
      <c r="B774" s="4296" t="s">
        <v>6813</v>
      </c>
      <c r="C774" s="4296" t="s">
        <v>6814</v>
      </c>
      <c r="D774" s="4296" t="s">
        <v>4987</v>
      </c>
      <c r="E774" s="4297">
        <v>0.60025499999999987</v>
      </c>
    </row>
    <row r="775" spans="2:5">
      <c r="B775" s="4296" t="s">
        <v>6815</v>
      </c>
      <c r="C775" s="4296" t="s">
        <v>6816</v>
      </c>
      <c r="D775" s="4296" t="s">
        <v>4897</v>
      </c>
      <c r="E775" s="4297">
        <v>0.6</v>
      </c>
    </row>
    <row r="776" spans="2:5">
      <c r="B776" s="4296" t="s">
        <v>6817</v>
      </c>
      <c r="C776" s="4296" t="s">
        <v>6818</v>
      </c>
      <c r="D776" s="4296" t="s">
        <v>4897</v>
      </c>
      <c r="E776" s="4297">
        <v>0.6</v>
      </c>
    </row>
    <row r="777" spans="2:5">
      <c r="B777" s="4296" t="s">
        <v>6819</v>
      </c>
      <c r="C777" s="4296" t="s">
        <v>6820</v>
      </c>
      <c r="D777" s="4296" t="s">
        <v>4897</v>
      </c>
      <c r="E777" s="4297">
        <v>0.6</v>
      </c>
    </row>
    <row r="778" spans="2:5">
      <c r="B778" s="4296" t="s">
        <v>6821</v>
      </c>
      <c r="C778" s="4296" t="s">
        <v>6822</v>
      </c>
      <c r="D778" s="4296" t="s">
        <v>4897</v>
      </c>
      <c r="E778" s="4297">
        <v>0.6</v>
      </c>
    </row>
    <row r="779" spans="2:5">
      <c r="B779" s="4296" t="s">
        <v>6823</v>
      </c>
      <c r="C779" s="4296" t="s">
        <v>6824</v>
      </c>
      <c r="D779" s="4296" t="s">
        <v>4897</v>
      </c>
      <c r="E779" s="4297">
        <v>0.6</v>
      </c>
    </row>
    <row r="780" spans="2:5">
      <c r="B780" s="4296" t="s">
        <v>6825</v>
      </c>
      <c r="C780" s="4296" t="s">
        <v>6826</v>
      </c>
      <c r="D780" s="4296" t="s">
        <v>5222</v>
      </c>
      <c r="E780" s="4297">
        <v>0.6</v>
      </c>
    </row>
    <row r="781" spans="2:5">
      <c r="B781" s="4296" t="s">
        <v>6827</v>
      </c>
      <c r="C781" s="4296" t="s">
        <v>6828</v>
      </c>
      <c r="D781" s="4296" t="s">
        <v>4897</v>
      </c>
      <c r="E781" s="4297">
        <v>0.58630400000000005</v>
      </c>
    </row>
    <row r="782" spans="2:5">
      <c r="B782" s="4296" t="s">
        <v>6829</v>
      </c>
      <c r="C782" s="4296" t="s">
        <v>6830</v>
      </c>
      <c r="D782" s="4296" t="s">
        <v>5222</v>
      </c>
      <c r="E782" s="4297">
        <v>0.57999999999999996</v>
      </c>
    </row>
    <row r="783" spans="2:5">
      <c r="B783" s="4296" t="s">
        <v>6831</v>
      </c>
      <c r="C783" s="4296" t="s">
        <v>6832</v>
      </c>
      <c r="D783" s="4296" t="s">
        <v>4674</v>
      </c>
      <c r="E783" s="4297">
        <v>0.57712599999999992</v>
      </c>
    </row>
    <row r="784" spans="2:5">
      <c r="B784" s="4296" t="s">
        <v>6833</v>
      </c>
      <c r="C784" s="4296" t="s">
        <v>6834</v>
      </c>
      <c r="D784" s="4296" t="s">
        <v>5222</v>
      </c>
      <c r="E784" s="4297">
        <v>0.55000000000000004</v>
      </c>
    </row>
    <row r="785" spans="2:5">
      <c r="B785" s="4296" t="s">
        <v>6835</v>
      </c>
      <c r="C785" s="4296" t="s">
        <v>6836</v>
      </c>
      <c r="D785" s="4296" t="s">
        <v>4987</v>
      </c>
      <c r="E785" s="4297">
        <v>0.53277099999999999</v>
      </c>
    </row>
    <row r="786" spans="2:5">
      <c r="B786" s="4296" t="s">
        <v>6837</v>
      </c>
      <c r="C786" s="4296" t="s">
        <v>6838</v>
      </c>
      <c r="D786" s="4296" t="s">
        <v>5222</v>
      </c>
      <c r="E786" s="4297">
        <v>0.51666699999999999</v>
      </c>
    </row>
    <row r="787" spans="2:5">
      <c r="B787" s="4296" t="s">
        <v>6839</v>
      </c>
      <c r="C787" s="4296" t="s">
        <v>6840</v>
      </c>
      <c r="D787" s="4296" t="s">
        <v>5222</v>
      </c>
      <c r="E787" s="4297">
        <v>0.51666699999999999</v>
      </c>
    </row>
    <row r="788" spans="2:5">
      <c r="B788" s="4296" t="s">
        <v>6841</v>
      </c>
      <c r="C788" s="4296" t="s">
        <v>6842</v>
      </c>
      <c r="D788" s="4296" t="s">
        <v>4897</v>
      </c>
      <c r="E788" s="4297">
        <v>0.51666599999999996</v>
      </c>
    </row>
    <row r="789" spans="2:5">
      <c r="B789" s="4296" t="s">
        <v>6843</v>
      </c>
      <c r="C789" s="4296" t="s">
        <v>6844</v>
      </c>
      <c r="D789" s="4296" t="s">
        <v>5222</v>
      </c>
      <c r="E789" s="4297">
        <v>0.504</v>
      </c>
    </row>
    <row r="790" spans="2:5">
      <c r="B790" s="4296" t="s">
        <v>6845</v>
      </c>
      <c r="C790" s="4296" t="s">
        <v>6846</v>
      </c>
      <c r="D790" s="4296" t="s">
        <v>4897</v>
      </c>
      <c r="E790" s="4297">
        <v>0.5</v>
      </c>
    </row>
    <row r="791" spans="2:5">
      <c r="B791" s="4296" t="s">
        <v>6847</v>
      </c>
      <c r="C791" s="4296" t="s">
        <v>6848</v>
      </c>
      <c r="D791" s="4296" t="s">
        <v>4897</v>
      </c>
      <c r="E791" s="4297">
        <v>0.5</v>
      </c>
    </row>
    <row r="792" spans="2:5">
      <c r="B792" s="4296" t="s">
        <v>6849</v>
      </c>
      <c r="C792" s="4296" t="s">
        <v>6850</v>
      </c>
      <c r="D792" s="4296" t="s">
        <v>4897</v>
      </c>
      <c r="E792" s="4297">
        <v>0.5</v>
      </c>
    </row>
    <row r="793" spans="2:5">
      <c r="B793" s="4296" t="s">
        <v>6851</v>
      </c>
      <c r="C793" s="4296" t="s">
        <v>6852</v>
      </c>
      <c r="D793" s="4296" t="s">
        <v>4897</v>
      </c>
      <c r="E793" s="4297">
        <v>0.5</v>
      </c>
    </row>
    <row r="794" spans="2:5">
      <c r="B794" s="4296" t="s">
        <v>6853</v>
      </c>
      <c r="C794" s="4296" t="s">
        <v>6854</v>
      </c>
      <c r="D794" s="4296" t="s">
        <v>4897</v>
      </c>
      <c r="E794" s="4297">
        <v>0.5</v>
      </c>
    </row>
    <row r="795" spans="2:5">
      <c r="B795" s="4296" t="s">
        <v>6855</v>
      </c>
      <c r="C795" s="4296" t="s">
        <v>6856</v>
      </c>
      <c r="D795" s="4296" t="s">
        <v>4897</v>
      </c>
      <c r="E795" s="4297">
        <v>0.5</v>
      </c>
    </row>
    <row r="796" spans="2:5">
      <c r="B796" s="4296" t="s">
        <v>6857</v>
      </c>
      <c r="C796" s="4296" t="s">
        <v>6858</v>
      </c>
      <c r="D796" s="4296" t="s">
        <v>5222</v>
      </c>
      <c r="E796" s="4297">
        <v>0.5</v>
      </c>
    </row>
    <row r="797" spans="2:5">
      <c r="B797" s="4296" t="s">
        <v>6859</v>
      </c>
      <c r="C797" s="4296" t="s">
        <v>6860</v>
      </c>
      <c r="D797" s="4296" t="s">
        <v>5222</v>
      </c>
      <c r="E797" s="4297">
        <v>0.5</v>
      </c>
    </row>
    <row r="798" spans="2:5">
      <c r="B798" s="4296" t="s">
        <v>6861</v>
      </c>
      <c r="C798" s="4296" t="s">
        <v>6862</v>
      </c>
      <c r="D798" s="4296" t="s">
        <v>5222</v>
      </c>
      <c r="E798" s="4297">
        <v>0.5</v>
      </c>
    </row>
    <row r="799" spans="2:5">
      <c r="B799" s="4296" t="s">
        <v>6863</v>
      </c>
      <c r="C799" s="4296" t="s">
        <v>6864</v>
      </c>
      <c r="D799" s="4296" t="s">
        <v>5222</v>
      </c>
      <c r="E799" s="4297">
        <v>0.5</v>
      </c>
    </row>
    <row r="800" spans="2:5">
      <c r="B800" s="4296" t="s">
        <v>6865</v>
      </c>
      <c r="C800" s="4296" t="s">
        <v>6866</v>
      </c>
      <c r="D800" s="4296" t="s">
        <v>5222</v>
      </c>
      <c r="E800" s="4297">
        <v>0.5</v>
      </c>
    </row>
    <row r="801" spans="2:5">
      <c r="B801" s="4296" t="s">
        <v>6867</v>
      </c>
      <c r="C801" s="4296" t="s">
        <v>6868</v>
      </c>
      <c r="D801" s="4296" t="s">
        <v>5222</v>
      </c>
      <c r="E801" s="4297">
        <v>0.49677399999999999</v>
      </c>
    </row>
    <row r="802" spans="2:5">
      <c r="B802" s="4296" t="s">
        <v>6869</v>
      </c>
      <c r="C802" s="4296" t="s">
        <v>6870</v>
      </c>
      <c r="D802" s="4296" t="s">
        <v>5149</v>
      </c>
      <c r="E802" s="4297">
        <v>0.49593600000000004</v>
      </c>
    </row>
    <row r="803" spans="2:5">
      <c r="B803" s="4296" t="s">
        <v>6871</v>
      </c>
      <c r="C803" s="4296" t="s">
        <v>6872</v>
      </c>
      <c r="D803" s="4296" t="s">
        <v>4897</v>
      </c>
      <c r="E803" s="4297">
        <v>0.48386999999999997</v>
      </c>
    </row>
    <row r="804" spans="2:5">
      <c r="B804" s="4296" t="s">
        <v>6873</v>
      </c>
      <c r="C804" s="4296" t="s">
        <v>6874</v>
      </c>
      <c r="D804" s="4296" t="s">
        <v>5231</v>
      </c>
      <c r="E804" s="4297">
        <v>0.47773000000000004</v>
      </c>
    </row>
    <row r="805" spans="2:5">
      <c r="B805" s="4296" t="s">
        <v>6875</v>
      </c>
      <c r="C805" s="4296" t="s">
        <v>6876</v>
      </c>
      <c r="D805" s="4296" t="s">
        <v>5222</v>
      </c>
      <c r="E805" s="4297">
        <v>0.46071400000000001</v>
      </c>
    </row>
    <row r="806" spans="2:5">
      <c r="B806" s="4296" t="s">
        <v>6877</v>
      </c>
      <c r="C806" s="4296" t="s">
        <v>6878</v>
      </c>
      <c r="D806" s="4296" t="s">
        <v>5222</v>
      </c>
      <c r="E806" s="4297">
        <v>0.45</v>
      </c>
    </row>
    <row r="807" spans="2:5">
      <c r="B807" s="4296" t="s">
        <v>6879</v>
      </c>
      <c r="C807" s="4296" t="s">
        <v>6880</v>
      </c>
      <c r="D807" s="4296" t="s">
        <v>4987</v>
      </c>
      <c r="E807" s="4297">
        <v>0.43425000000000002</v>
      </c>
    </row>
    <row r="808" spans="2:5">
      <c r="B808" s="4296" t="s">
        <v>6881</v>
      </c>
      <c r="C808" s="4296" t="s">
        <v>6882</v>
      </c>
      <c r="D808" s="4296" t="s">
        <v>4897</v>
      </c>
      <c r="E808" s="4297">
        <v>0.42312400000000006</v>
      </c>
    </row>
    <row r="809" spans="2:5">
      <c r="B809" s="4296" t="s">
        <v>6883</v>
      </c>
      <c r="C809" s="4296" t="s">
        <v>6884</v>
      </c>
      <c r="D809" s="4296" t="s">
        <v>5222</v>
      </c>
      <c r="E809" s="4297">
        <v>0.40523999999999999</v>
      </c>
    </row>
    <row r="810" spans="2:5">
      <c r="B810" s="4296" t="s">
        <v>6885</v>
      </c>
      <c r="C810" s="4296" t="s">
        <v>6886</v>
      </c>
      <c r="D810" s="4296" t="s">
        <v>4897</v>
      </c>
      <c r="E810" s="4297">
        <v>0.4</v>
      </c>
    </row>
    <row r="811" spans="2:5">
      <c r="B811" s="4296" t="s">
        <v>6887</v>
      </c>
      <c r="C811" s="4296" t="s">
        <v>6888</v>
      </c>
      <c r="D811" s="4296" t="s">
        <v>4897</v>
      </c>
      <c r="E811" s="4297">
        <v>0.4</v>
      </c>
    </row>
    <row r="812" spans="2:5">
      <c r="B812" s="4296" t="s">
        <v>6889</v>
      </c>
      <c r="C812" s="4296" t="s">
        <v>6890</v>
      </c>
      <c r="D812" s="4296" t="s">
        <v>5222</v>
      </c>
      <c r="E812" s="4297">
        <v>0.4</v>
      </c>
    </row>
    <row r="813" spans="2:5">
      <c r="B813" s="4296" t="s">
        <v>6891</v>
      </c>
      <c r="C813" s="4296" t="s">
        <v>6892</v>
      </c>
      <c r="D813" s="4296" t="s">
        <v>5222</v>
      </c>
      <c r="E813" s="4297">
        <v>0.4</v>
      </c>
    </row>
    <row r="814" spans="2:5">
      <c r="B814" s="4296" t="s">
        <v>6893</v>
      </c>
      <c r="C814" s="4296" t="s">
        <v>6894</v>
      </c>
      <c r="D814" s="4296" t="s">
        <v>4897</v>
      </c>
      <c r="E814" s="4297">
        <v>0.38347800000000004</v>
      </c>
    </row>
    <row r="815" spans="2:5">
      <c r="B815" s="4296" t="s">
        <v>6895</v>
      </c>
      <c r="C815" s="4296" t="s">
        <v>6896</v>
      </c>
      <c r="D815" s="4296" t="s">
        <v>4897</v>
      </c>
      <c r="E815" s="4297">
        <v>0.38082400000000005</v>
      </c>
    </row>
    <row r="816" spans="2:5">
      <c r="B816" s="4296" t="s">
        <v>6897</v>
      </c>
      <c r="C816" s="4296" t="s">
        <v>6898</v>
      </c>
      <c r="D816" s="4296" t="s">
        <v>4987</v>
      </c>
      <c r="E816" s="4297">
        <v>0.37417</v>
      </c>
    </row>
    <row r="817" spans="2:5">
      <c r="B817" s="4296" t="s">
        <v>6899</v>
      </c>
      <c r="C817" s="4296" t="s">
        <v>6900</v>
      </c>
      <c r="D817" s="4296" t="s">
        <v>4987</v>
      </c>
      <c r="E817" s="4297">
        <v>0.37417</v>
      </c>
    </row>
    <row r="818" spans="2:5">
      <c r="B818" s="4296" t="s">
        <v>6901</v>
      </c>
      <c r="C818" s="4296" t="s">
        <v>6902</v>
      </c>
      <c r="D818" s="4296" t="s">
        <v>5222</v>
      </c>
      <c r="E818" s="4297">
        <v>0.36555500000000002</v>
      </c>
    </row>
    <row r="819" spans="2:5">
      <c r="B819" s="4296" t="s">
        <v>6903</v>
      </c>
      <c r="C819" s="4296" t="s">
        <v>6904</v>
      </c>
      <c r="D819" s="4296" t="s">
        <v>4987</v>
      </c>
      <c r="E819" s="4297">
        <v>0.364954</v>
      </c>
    </row>
    <row r="820" spans="2:5">
      <c r="B820" s="4296" t="s">
        <v>6905</v>
      </c>
      <c r="C820" s="4296" t="s">
        <v>6906</v>
      </c>
      <c r="D820" s="4296" t="s">
        <v>5234</v>
      </c>
      <c r="E820" s="4297">
        <v>0.34100000000000003</v>
      </c>
    </row>
    <row r="821" spans="2:5">
      <c r="B821" s="4296" t="s">
        <v>6907</v>
      </c>
      <c r="C821" s="4296" t="s">
        <v>6908</v>
      </c>
      <c r="D821" s="4296" t="s">
        <v>5222</v>
      </c>
      <c r="E821" s="4297">
        <v>0.301597</v>
      </c>
    </row>
    <row r="822" spans="2:5">
      <c r="B822" s="4296" t="s">
        <v>6909</v>
      </c>
      <c r="C822" s="4296" t="s">
        <v>6910</v>
      </c>
      <c r="D822" s="4296" t="s">
        <v>5222</v>
      </c>
      <c r="E822" s="4297">
        <v>0.3</v>
      </c>
    </row>
    <row r="823" spans="2:5">
      <c r="B823" s="4296" t="s">
        <v>6911</v>
      </c>
      <c r="C823" s="4296" t="s">
        <v>6912</v>
      </c>
      <c r="D823" s="4296" t="s">
        <v>5222</v>
      </c>
      <c r="E823" s="4297">
        <v>0.3</v>
      </c>
    </row>
    <row r="824" spans="2:5">
      <c r="B824" s="4296" t="s">
        <v>6913</v>
      </c>
      <c r="C824" s="4296" t="s">
        <v>6914</v>
      </c>
      <c r="D824" s="4296" t="s">
        <v>5222</v>
      </c>
      <c r="E824" s="4297">
        <v>0.3</v>
      </c>
    </row>
    <row r="825" spans="2:5">
      <c r="B825" s="4296" t="s">
        <v>6915</v>
      </c>
      <c r="C825" s="4296" t="s">
        <v>6916</v>
      </c>
      <c r="D825" s="4296" t="s">
        <v>5222</v>
      </c>
      <c r="E825" s="4297">
        <v>0.3</v>
      </c>
    </row>
    <row r="826" spans="2:5">
      <c r="B826" s="4296" t="s">
        <v>6917</v>
      </c>
      <c r="C826" s="4296" t="s">
        <v>6918</v>
      </c>
      <c r="D826" s="4296" t="s">
        <v>5222</v>
      </c>
      <c r="E826" s="4297">
        <v>0.3</v>
      </c>
    </row>
    <row r="827" spans="2:5">
      <c r="B827" s="4296" t="s">
        <v>6919</v>
      </c>
      <c r="C827" s="4296" t="s">
        <v>6920</v>
      </c>
      <c r="D827" s="4296" t="s">
        <v>5222</v>
      </c>
      <c r="E827" s="4297">
        <v>0.3</v>
      </c>
    </row>
    <row r="828" spans="2:5">
      <c r="B828" s="4296" t="s">
        <v>6921</v>
      </c>
      <c r="C828" s="4296" t="s">
        <v>6922</v>
      </c>
      <c r="D828" s="4296" t="s">
        <v>5222</v>
      </c>
      <c r="E828" s="4297">
        <v>0.29419400000000001</v>
      </c>
    </row>
    <row r="829" spans="2:5">
      <c r="B829" s="4296" t="s">
        <v>6923</v>
      </c>
      <c r="C829" s="4296" t="s">
        <v>6924</v>
      </c>
      <c r="D829" s="4296" t="s">
        <v>4987</v>
      </c>
      <c r="E829" s="4297">
        <v>0.29028000000000004</v>
      </c>
    </row>
    <row r="830" spans="2:5">
      <c r="B830" s="4296" t="s">
        <v>6925</v>
      </c>
      <c r="C830" s="4296" t="s">
        <v>6926</v>
      </c>
      <c r="D830" s="4296" t="s">
        <v>5222</v>
      </c>
      <c r="E830" s="4297">
        <v>0.28032799999999997</v>
      </c>
    </row>
    <row r="831" spans="2:5">
      <c r="B831" s="4296" t="s">
        <v>6927</v>
      </c>
      <c r="C831" s="4296" t="s">
        <v>6928</v>
      </c>
      <c r="D831" s="4296" t="s">
        <v>5222</v>
      </c>
      <c r="E831" s="4297">
        <v>0.27651499999999996</v>
      </c>
    </row>
    <row r="832" spans="2:5">
      <c r="B832" s="4296" t="s">
        <v>6929</v>
      </c>
      <c r="C832" s="4296" t="s">
        <v>6930</v>
      </c>
      <c r="D832" s="4296" t="s">
        <v>4987</v>
      </c>
      <c r="E832" s="4297">
        <v>0.27</v>
      </c>
    </row>
    <row r="833" spans="2:5">
      <c r="B833" s="4296" t="s">
        <v>6931</v>
      </c>
      <c r="C833" s="4296" t="s">
        <v>6932</v>
      </c>
      <c r="D833" s="4296" t="s">
        <v>4987</v>
      </c>
      <c r="E833" s="4297">
        <v>0.24174000000000001</v>
      </c>
    </row>
    <row r="834" spans="2:5">
      <c r="B834" s="4296" t="s">
        <v>6933</v>
      </c>
      <c r="C834" s="4296" t="s">
        <v>6934</v>
      </c>
      <c r="D834" s="4296" t="s">
        <v>5222</v>
      </c>
      <c r="E834" s="4297">
        <v>0.24</v>
      </c>
    </row>
    <row r="835" spans="2:5">
      <c r="B835" s="4296" t="s">
        <v>6935</v>
      </c>
      <c r="C835" s="4296" t="s">
        <v>6936</v>
      </c>
      <c r="D835" s="4296" t="s">
        <v>5222</v>
      </c>
      <c r="E835" s="4297">
        <v>0.24</v>
      </c>
    </row>
    <row r="836" spans="2:5">
      <c r="B836" s="4296" t="s">
        <v>6937</v>
      </c>
      <c r="C836" s="4296" t="s">
        <v>6938</v>
      </c>
      <c r="D836" s="4296" t="s">
        <v>4987</v>
      </c>
      <c r="E836" s="4297">
        <v>0.23777600000000002</v>
      </c>
    </row>
    <row r="837" spans="2:5">
      <c r="B837" s="4296" t="s">
        <v>6939</v>
      </c>
      <c r="C837" s="4296" t="s">
        <v>6940</v>
      </c>
      <c r="D837" s="4296" t="s">
        <v>4897</v>
      </c>
      <c r="E837" s="4297">
        <v>0.21</v>
      </c>
    </row>
    <row r="838" spans="2:5">
      <c r="B838" s="4296" t="s">
        <v>6941</v>
      </c>
      <c r="C838" s="4296" t="s">
        <v>6942</v>
      </c>
      <c r="D838" s="4296" t="s">
        <v>4897</v>
      </c>
      <c r="E838" s="4297">
        <v>0.21</v>
      </c>
    </row>
    <row r="839" spans="2:5">
      <c r="B839" s="4296" t="s">
        <v>6943</v>
      </c>
      <c r="C839" s="4296" t="s">
        <v>6944</v>
      </c>
      <c r="D839" s="4296" t="s">
        <v>4674</v>
      </c>
      <c r="E839" s="4297">
        <v>0.20294700000000002</v>
      </c>
    </row>
    <row r="840" spans="2:5">
      <c r="B840" s="4296" t="s">
        <v>6945</v>
      </c>
      <c r="C840" s="4296" t="s">
        <v>6946</v>
      </c>
      <c r="D840" s="4296" t="s">
        <v>4897</v>
      </c>
      <c r="E840" s="4297">
        <v>0.2</v>
      </c>
    </row>
    <row r="841" spans="2:5">
      <c r="B841" s="4296" t="s">
        <v>6947</v>
      </c>
      <c r="C841" s="4296" t="s">
        <v>6948</v>
      </c>
      <c r="D841" s="4296" t="s">
        <v>4897</v>
      </c>
      <c r="E841" s="4297">
        <v>0.2</v>
      </c>
    </row>
    <row r="842" spans="2:5">
      <c r="B842" s="4296" t="s">
        <v>6949</v>
      </c>
      <c r="C842" s="4296" t="s">
        <v>6950</v>
      </c>
      <c r="D842" s="4296" t="s">
        <v>5222</v>
      </c>
      <c r="E842" s="4297">
        <v>0.2</v>
      </c>
    </row>
    <row r="843" spans="2:5">
      <c r="B843" s="4296" t="s">
        <v>6951</v>
      </c>
      <c r="C843" s="4296" t="s">
        <v>6952</v>
      </c>
      <c r="D843" s="4296" t="s">
        <v>5222</v>
      </c>
      <c r="E843" s="4297">
        <v>0.2</v>
      </c>
    </row>
    <row r="844" spans="2:5">
      <c r="B844" s="4296" t="s">
        <v>6953</v>
      </c>
      <c r="C844" s="4296" t="s">
        <v>6954</v>
      </c>
      <c r="D844" s="4296" t="s">
        <v>5222</v>
      </c>
      <c r="E844" s="4297">
        <v>0.2</v>
      </c>
    </row>
    <row r="845" spans="2:5">
      <c r="B845" s="4296" t="s">
        <v>6955</v>
      </c>
      <c r="C845" s="4296" t="s">
        <v>6956</v>
      </c>
      <c r="D845" s="4296" t="s">
        <v>4987</v>
      </c>
      <c r="E845" s="4297">
        <v>0.19999600000000001</v>
      </c>
    </row>
    <row r="846" spans="2:5">
      <c r="B846" s="4296" t="s">
        <v>6957</v>
      </c>
      <c r="C846" s="4296" t="s">
        <v>6958</v>
      </c>
      <c r="D846" s="4296" t="s">
        <v>4897</v>
      </c>
      <c r="E846" s="4297">
        <v>0.19989200000000004</v>
      </c>
    </row>
    <row r="847" spans="2:5">
      <c r="B847" s="4296" t="s">
        <v>6959</v>
      </c>
      <c r="C847" s="4296" t="s">
        <v>6960</v>
      </c>
      <c r="D847" s="4296" t="s">
        <v>4897</v>
      </c>
      <c r="E847" s="4297">
        <v>0.17851600000000004</v>
      </c>
    </row>
    <row r="848" spans="2:5">
      <c r="B848" s="4296" t="s">
        <v>6961</v>
      </c>
      <c r="C848" s="4296" t="s">
        <v>6962</v>
      </c>
      <c r="D848" s="4296" t="s">
        <v>5222</v>
      </c>
      <c r="E848" s="4297">
        <v>0.164516</v>
      </c>
    </row>
    <row r="849" spans="2:5">
      <c r="B849" s="4296" t="s">
        <v>6963</v>
      </c>
      <c r="C849" s="4296" t="s">
        <v>6964</v>
      </c>
      <c r="D849" s="4296" t="s">
        <v>4674</v>
      </c>
      <c r="E849" s="4297">
        <v>0.14457500000000001</v>
      </c>
    </row>
    <row r="850" spans="2:5">
      <c r="B850" s="4296" t="s">
        <v>6965</v>
      </c>
      <c r="C850" s="4296" t="s">
        <v>6966</v>
      </c>
      <c r="D850" s="4296" t="s">
        <v>4897</v>
      </c>
      <c r="E850" s="4297">
        <v>0.12717600000000001</v>
      </c>
    </row>
    <row r="851" spans="2:5">
      <c r="B851" s="4296" t="s">
        <v>6967</v>
      </c>
      <c r="C851" s="4296" t="s">
        <v>6968</v>
      </c>
      <c r="D851" s="4296" t="s">
        <v>5149</v>
      </c>
      <c r="E851" s="4297">
        <v>0.126</v>
      </c>
    </row>
    <row r="852" spans="2:5">
      <c r="B852" s="4296" t="s">
        <v>6969</v>
      </c>
      <c r="C852" s="4296" t="s">
        <v>6970</v>
      </c>
      <c r="D852" s="4296" t="s">
        <v>4674</v>
      </c>
      <c r="E852" s="4297">
        <v>0.10258099999999999</v>
      </c>
    </row>
    <row r="853" spans="2:5">
      <c r="B853" s="4296" t="s">
        <v>6971</v>
      </c>
      <c r="C853" s="4296" t="s">
        <v>6972</v>
      </c>
      <c r="D853" s="4296" t="s">
        <v>5222</v>
      </c>
      <c r="E853" s="4297">
        <v>0.1</v>
      </c>
    </row>
    <row r="854" spans="2:5">
      <c r="B854" s="4296" t="s">
        <v>6973</v>
      </c>
      <c r="C854" s="4296" t="s">
        <v>6974</v>
      </c>
      <c r="D854" s="4296" t="s">
        <v>5222</v>
      </c>
      <c r="E854" s="4297">
        <v>0.1</v>
      </c>
    </row>
    <row r="855" spans="2:5">
      <c r="B855" s="4296" t="s">
        <v>6975</v>
      </c>
      <c r="C855" s="4296" t="s">
        <v>6976</v>
      </c>
      <c r="D855" s="4296" t="s">
        <v>5222</v>
      </c>
      <c r="E855" s="4297">
        <v>0.09</v>
      </c>
    </row>
    <row r="856" spans="2:5">
      <c r="B856" s="4296" t="s">
        <v>6977</v>
      </c>
      <c r="C856" s="4296" t="s">
        <v>6978</v>
      </c>
      <c r="D856" s="4296" t="s">
        <v>4897</v>
      </c>
      <c r="E856" s="4297">
        <v>8.387E-2</v>
      </c>
    </row>
    <row r="857" spans="2:5">
      <c r="B857" s="4296" t="s">
        <v>6979</v>
      </c>
      <c r="C857" s="4296" t="s">
        <v>6980</v>
      </c>
      <c r="D857" s="4296" t="s">
        <v>5222</v>
      </c>
      <c r="E857" s="4297">
        <v>8.0645000000000008E-2</v>
      </c>
    </row>
    <row r="858" spans="2:5">
      <c r="B858" s="4296" t="s">
        <v>6981</v>
      </c>
      <c r="C858" s="4296" t="s">
        <v>6982</v>
      </c>
      <c r="D858" s="4296" t="s">
        <v>5222</v>
      </c>
      <c r="E858" s="4297">
        <v>7.4765999999999999E-2</v>
      </c>
    </row>
    <row r="859" spans="2:5">
      <c r="B859" s="4296" t="s">
        <v>6983</v>
      </c>
      <c r="C859" s="4296" t="s">
        <v>6984</v>
      </c>
      <c r="D859" s="4296" t="s">
        <v>4897</v>
      </c>
      <c r="E859" s="4297">
        <v>0.06</v>
      </c>
    </row>
    <row r="860" spans="2:5">
      <c r="B860" s="4296" t="s">
        <v>6985</v>
      </c>
      <c r="C860" s="4296" t="s">
        <v>6986</v>
      </c>
      <c r="D860" s="4296" t="s">
        <v>5222</v>
      </c>
      <c r="E860" s="4297">
        <v>0.06</v>
      </c>
    </row>
    <row r="861" spans="2:5">
      <c r="B861" s="4296" t="s">
        <v>6987</v>
      </c>
      <c r="C861" s="4296" t="s">
        <v>6988</v>
      </c>
      <c r="D861" s="4296" t="s">
        <v>4897</v>
      </c>
      <c r="E861" s="4297">
        <v>3.125E-2</v>
      </c>
    </row>
    <row r="862" spans="2:5">
      <c r="B862" s="4296" t="s">
        <v>6989</v>
      </c>
      <c r="C862" s="4296" t="s">
        <v>6990</v>
      </c>
      <c r="D862" s="4296" t="s">
        <v>4674</v>
      </c>
      <c r="E862" s="4297">
        <v>2.2040999999999998E-2</v>
      </c>
    </row>
    <row r="863" spans="2:5">
      <c r="B863" s="4296" t="s">
        <v>6991</v>
      </c>
      <c r="C863" s="4296" t="s">
        <v>6992</v>
      </c>
      <c r="D863" s="4296" t="s">
        <v>5222</v>
      </c>
      <c r="E863" s="4297">
        <v>1.2903E-2</v>
      </c>
    </row>
    <row r="864" spans="2:5">
      <c r="B864" s="4296" t="s">
        <v>6993</v>
      </c>
      <c r="C864" s="4296" t="s">
        <v>6994</v>
      </c>
      <c r="D864" s="4296" t="s">
        <v>4674</v>
      </c>
      <c r="E864" s="4297">
        <v>1.0684000000000001E-2</v>
      </c>
    </row>
    <row r="865" spans="2:5">
      <c r="B865" s="4296" t="s">
        <v>6995</v>
      </c>
      <c r="C865" s="4296" t="s">
        <v>6996</v>
      </c>
      <c r="D865" s="4296" t="s">
        <v>4897</v>
      </c>
      <c r="E865" s="4297">
        <v>9.862000000000001E-3</v>
      </c>
    </row>
    <row r="866" spans="2:5">
      <c r="B866" s="4296" t="s">
        <v>6997</v>
      </c>
      <c r="C866" s="4296" t="s">
        <v>6998</v>
      </c>
      <c r="D866" s="4296" t="s">
        <v>5232</v>
      </c>
      <c r="E866" s="4297">
        <v>9.5800000000000017E-3</v>
      </c>
    </row>
    <row r="867" spans="2:5">
      <c r="B867" s="4296" t="s">
        <v>6999</v>
      </c>
      <c r="C867" s="4296" t="s">
        <v>7000</v>
      </c>
      <c r="D867" s="4296" t="s">
        <v>5232</v>
      </c>
      <c r="E867" s="4297">
        <v>8.5330000000000007E-3</v>
      </c>
    </row>
    <row r="868" spans="2:5">
      <c r="B868" s="4296" t="s">
        <v>7001</v>
      </c>
      <c r="C868" s="4296" t="s">
        <v>7002</v>
      </c>
      <c r="D868" s="4296" t="s">
        <v>5234</v>
      </c>
      <c r="E868" s="4297">
        <v>5.7999999999999996E-3</v>
      </c>
    </row>
    <row r="869" spans="2:5">
      <c r="B869" s="4296" t="s">
        <v>7003</v>
      </c>
      <c r="C869" s="4296" t="s">
        <v>7004</v>
      </c>
      <c r="D869" s="4296" t="s">
        <v>5232</v>
      </c>
      <c r="E869" s="4297">
        <v>4.0499999999999998E-3</v>
      </c>
    </row>
    <row r="870" spans="2:5">
      <c r="B870" s="4296" t="s">
        <v>7005</v>
      </c>
      <c r="C870" s="4296" t="s">
        <v>7006</v>
      </c>
      <c r="D870" s="4296" t="s">
        <v>5232</v>
      </c>
      <c r="E870" s="4297">
        <v>3.5280000000000003E-3</v>
      </c>
    </row>
    <row r="871" spans="2:5">
      <c r="B871" s="4296" t="s">
        <v>7007</v>
      </c>
      <c r="C871" s="4296" t="s">
        <v>7008</v>
      </c>
      <c r="D871" s="4296" t="s">
        <v>5232</v>
      </c>
      <c r="E871" s="4297">
        <v>3.3999999999999998E-3</v>
      </c>
    </row>
    <row r="872" spans="2:5">
      <c r="B872" s="4296" t="s">
        <v>7009</v>
      </c>
      <c r="C872" s="4296" t="s">
        <v>7010</v>
      </c>
      <c r="D872" s="4296" t="s">
        <v>5232</v>
      </c>
      <c r="E872" s="4297">
        <v>1.4250000000000001E-3</v>
      </c>
    </row>
    <row r="873" spans="2:5">
      <c r="B873" s="4296" t="s">
        <v>7011</v>
      </c>
      <c r="C873" s="4296" t="s">
        <v>7012</v>
      </c>
      <c r="D873" s="4296" t="s">
        <v>5232</v>
      </c>
      <c r="E873" s="4297">
        <v>1.186E-3</v>
      </c>
    </row>
    <row r="874" spans="2:5">
      <c r="B874" s="4296" t="s">
        <v>7013</v>
      </c>
      <c r="C874" s="4296" t="s">
        <v>7014</v>
      </c>
      <c r="D874" s="4296" t="s">
        <v>5232</v>
      </c>
      <c r="E874" s="4297">
        <v>9.7999999999999997E-4</v>
      </c>
    </row>
    <row r="875" spans="2:5">
      <c r="B875" s="4296" t="s">
        <v>7015</v>
      </c>
      <c r="C875" s="4296" t="s">
        <v>7016</v>
      </c>
      <c r="D875" s="4296" t="s">
        <v>5232</v>
      </c>
      <c r="E875" s="4297">
        <v>7.0199999999999993E-4</v>
      </c>
    </row>
    <row r="876" spans="2:5">
      <c r="B876" s="4296" t="s">
        <v>7017</v>
      </c>
      <c r="C876" s="4296" t="s">
        <v>7018</v>
      </c>
      <c r="D876" s="4296" t="s">
        <v>5234</v>
      </c>
      <c r="E876" s="4297">
        <v>4.0400000000000001E-4</v>
      </c>
    </row>
  </sheetData>
  <autoFilter ref="C2:F28" xr:uid="{00000000-0009-0000-0000-000006000000}">
    <sortState xmlns:xlrd2="http://schemas.microsoft.com/office/spreadsheetml/2017/richdata2" ref="C3:E887">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2714C-F77B-47EC-B676-75F1173A2805}">
  <dimension ref="B1:H97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64" t="s">
        <v>7019</v>
      </c>
      <c r="C1" s="4764"/>
      <c r="D1" s="4764"/>
      <c r="E1" s="4765"/>
    </row>
    <row r="2" spans="2:8" ht="15">
      <c r="B2" s="4294" t="s">
        <v>4651</v>
      </c>
      <c r="C2" s="4294" t="s">
        <v>5267</v>
      </c>
      <c r="D2" s="4294" t="s">
        <v>4652</v>
      </c>
      <c r="E2" s="4295" t="s">
        <v>5268</v>
      </c>
    </row>
    <row r="3" spans="2:8">
      <c r="B3" s="4296" t="s">
        <v>5269</v>
      </c>
      <c r="C3" s="4296" t="s">
        <v>5277</v>
      </c>
      <c r="D3" s="4296" t="s">
        <v>4657</v>
      </c>
      <c r="E3" s="4297">
        <v>613.04885699999988</v>
      </c>
      <c r="G3" s="4300" t="s">
        <v>5272</v>
      </c>
      <c r="H3" s="4301">
        <f>SUM(E3:E977)</f>
        <v>19441.629800000028</v>
      </c>
    </row>
    <row r="4" spans="2:8">
      <c r="B4" s="4296" t="s">
        <v>5273</v>
      </c>
      <c r="C4" s="4296" t="s">
        <v>5270</v>
      </c>
      <c r="D4" s="4296" t="s">
        <v>4657</v>
      </c>
      <c r="E4" s="4297">
        <v>450.99484800000005</v>
      </c>
    </row>
    <row r="5" spans="2:8">
      <c r="B5" s="4296" t="s">
        <v>5276</v>
      </c>
      <c r="C5" s="4296" t="s">
        <v>5274</v>
      </c>
      <c r="D5" s="4296" t="s">
        <v>4664</v>
      </c>
      <c r="E5" s="4297">
        <v>365.89742199999989</v>
      </c>
    </row>
    <row r="6" spans="2:8">
      <c r="B6" s="4296" t="s">
        <v>5279</v>
      </c>
      <c r="C6" s="4296" t="s">
        <v>7020</v>
      </c>
      <c r="D6" s="4296" t="s">
        <v>4664</v>
      </c>
      <c r="E6" s="4297">
        <v>307.80651199999994</v>
      </c>
    </row>
    <row r="7" spans="2:8">
      <c r="B7" s="4296" t="s">
        <v>5281</v>
      </c>
      <c r="C7" s="4296" t="s">
        <v>5280</v>
      </c>
      <c r="D7" s="4296" t="s">
        <v>4674</v>
      </c>
      <c r="E7" s="4297">
        <v>228.1824</v>
      </c>
    </row>
    <row r="8" spans="2:8">
      <c r="B8" s="4296" t="s">
        <v>5283</v>
      </c>
      <c r="C8" s="4296" t="s">
        <v>5284</v>
      </c>
      <c r="D8" s="4296" t="s">
        <v>4674</v>
      </c>
      <c r="E8" s="4297">
        <v>197.88578199999992</v>
      </c>
    </row>
    <row r="9" spans="2:8">
      <c r="B9" s="4296" t="s">
        <v>5285</v>
      </c>
      <c r="C9" s="4296" t="s">
        <v>5379</v>
      </c>
      <c r="D9" s="4296" t="s">
        <v>4674</v>
      </c>
      <c r="E9" s="4297">
        <v>160.54041600000005</v>
      </c>
    </row>
    <row r="10" spans="2:8">
      <c r="B10" s="4296" t="s">
        <v>5287</v>
      </c>
      <c r="C10" s="4296" t="s">
        <v>5306</v>
      </c>
      <c r="D10" s="4296" t="s">
        <v>4674</v>
      </c>
      <c r="E10" s="4297">
        <v>158.93810999999999</v>
      </c>
    </row>
    <row r="11" spans="2:8">
      <c r="B11" s="4296" t="s">
        <v>5289</v>
      </c>
      <c r="C11" s="4296" t="s">
        <v>5419</v>
      </c>
      <c r="D11" s="4296" t="s">
        <v>4674</v>
      </c>
      <c r="E11" s="4297">
        <v>155.247016</v>
      </c>
    </row>
    <row r="12" spans="2:8">
      <c r="B12" s="4296" t="s">
        <v>5291</v>
      </c>
      <c r="C12" s="4296" t="s">
        <v>5322</v>
      </c>
      <c r="D12" s="4296" t="s">
        <v>4674</v>
      </c>
      <c r="E12" s="4297">
        <v>153.37033199999999</v>
      </c>
    </row>
    <row r="13" spans="2:8">
      <c r="B13" s="4296" t="s">
        <v>5293</v>
      </c>
      <c r="C13" s="4296" t="s">
        <v>5292</v>
      </c>
      <c r="D13" s="4296" t="s">
        <v>4674</v>
      </c>
      <c r="E13" s="4297">
        <v>152.97807399999996</v>
      </c>
    </row>
    <row r="14" spans="2:8">
      <c r="B14" s="4296" t="s">
        <v>5295</v>
      </c>
      <c r="C14" s="4296" t="s">
        <v>7021</v>
      </c>
      <c r="D14" s="4296" t="s">
        <v>4674</v>
      </c>
      <c r="E14" s="4297">
        <v>142.19066699999999</v>
      </c>
    </row>
    <row r="15" spans="2:8">
      <c r="B15" s="4296" t="s">
        <v>5297</v>
      </c>
      <c r="C15" s="4296" t="s">
        <v>5750</v>
      </c>
      <c r="D15" s="4296" t="s">
        <v>4674</v>
      </c>
      <c r="E15" s="4297">
        <v>135.64950900000002</v>
      </c>
    </row>
    <row r="16" spans="2:8">
      <c r="B16" s="4296" t="s">
        <v>5299</v>
      </c>
      <c r="C16" s="4296" t="s">
        <v>5296</v>
      </c>
      <c r="D16" s="4296" t="s">
        <v>4674</v>
      </c>
      <c r="E16" s="4297">
        <v>134.47180899999998</v>
      </c>
    </row>
    <row r="17" spans="2:5">
      <c r="B17" s="4296" t="s">
        <v>5301</v>
      </c>
      <c r="C17" s="4296" t="s">
        <v>5294</v>
      </c>
      <c r="D17" s="4296" t="s">
        <v>4674</v>
      </c>
      <c r="E17" s="4297">
        <v>134.00380000000001</v>
      </c>
    </row>
    <row r="18" spans="2:5">
      <c r="B18" s="4296" t="s">
        <v>5303</v>
      </c>
      <c r="C18" s="4296" t="s">
        <v>5308</v>
      </c>
      <c r="D18" s="4296" t="s">
        <v>4674</v>
      </c>
      <c r="E18" s="4297">
        <v>133.37295399999999</v>
      </c>
    </row>
    <row r="19" spans="2:5">
      <c r="B19" s="4296" t="s">
        <v>5305</v>
      </c>
      <c r="C19" s="4296" t="s">
        <v>5286</v>
      </c>
      <c r="D19" s="4296" t="s">
        <v>4674</v>
      </c>
      <c r="E19" s="4297">
        <v>132.39972399999999</v>
      </c>
    </row>
    <row r="20" spans="2:5">
      <c r="B20" s="4296" t="s">
        <v>5307</v>
      </c>
      <c r="C20" s="4296" t="s">
        <v>5300</v>
      </c>
      <c r="D20" s="4296" t="s">
        <v>4674</v>
      </c>
      <c r="E20" s="4297">
        <v>123.95936200000004</v>
      </c>
    </row>
    <row r="21" spans="2:5">
      <c r="B21" s="4296" t="s">
        <v>5309</v>
      </c>
      <c r="C21" s="4296" t="s">
        <v>5356</v>
      </c>
      <c r="D21" s="4296" t="s">
        <v>4674</v>
      </c>
      <c r="E21" s="4297">
        <v>123.82451200000001</v>
      </c>
    </row>
    <row r="22" spans="2:5">
      <c r="B22" s="4296" t="s">
        <v>5311</v>
      </c>
      <c r="C22" s="4296" t="s">
        <v>5302</v>
      </c>
      <c r="D22" s="4296" t="s">
        <v>4674</v>
      </c>
      <c r="E22" s="4297">
        <v>121.295877</v>
      </c>
    </row>
    <row r="23" spans="2:5">
      <c r="B23" s="4296" t="s">
        <v>5313</v>
      </c>
      <c r="C23" s="4296" t="s">
        <v>5341</v>
      </c>
      <c r="D23" s="4296" t="s">
        <v>4674</v>
      </c>
      <c r="E23" s="4297">
        <v>118.28223999999999</v>
      </c>
    </row>
    <row r="24" spans="2:5">
      <c r="B24" s="4296" t="s">
        <v>5315</v>
      </c>
      <c r="C24" s="4296" t="s">
        <v>5623</v>
      </c>
      <c r="D24" s="4296" t="s">
        <v>4674</v>
      </c>
      <c r="E24" s="4297">
        <v>116.90549100000001</v>
      </c>
    </row>
    <row r="25" spans="2:5">
      <c r="B25" s="4296" t="s">
        <v>5317</v>
      </c>
      <c r="C25" s="4296" t="s">
        <v>5447</v>
      </c>
      <c r="D25" s="4296" t="s">
        <v>4674</v>
      </c>
      <c r="E25" s="4297">
        <v>115.118123</v>
      </c>
    </row>
    <row r="26" spans="2:5">
      <c r="B26" s="4296" t="s">
        <v>5319</v>
      </c>
      <c r="C26" s="4296" t="s">
        <v>7022</v>
      </c>
      <c r="D26" s="4296" t="s">
        <v>4674</v>
      </c>
      <c r="E26" s="4297">
        <v>114.03743999999996</v>
      </c>
    </row>
    <row r="27" spans="2:5">
      <c r="B27" s="4296" t="s">
        <v>5321</v>
      </c>
      <c r="C27" s="4296" t="s">
        <v>5353</v>
      </c>
      <c r="D27" s="4296" t="s">
        <v>4674</v>
      </c>
      <c r="E27" s="4297">
        <v>112.97188800000001</v>
      </c>
    </row>
    <row r="28" spans="2:5">
      <c r="B28" s="4296" t="s">
        <v>5323</v>
      </c>
      <c r="C28" s="4296" t="s">
        <v>5320</v>
      </c>
      <c r="D28" s="4296" t="s">
        <v>4674</v>
      </c>
      <c r="E28" s="4297">
        <v>112.68821500000004</v>
      </c>
    </row>
    <row r="29" spans="2:5">
      <c r="B29" s="4296" t="s">
        <v>5325</v>
      </c>
      <c r="C29" s="4296" t="s">
        <v>7023</v>
      </c>
      <c r="D29" s="4296" t="s">
        <v>4674</v>
      </c>
      <c r="E29" s="4297">
        <v>112.1056</v>
      </c>
    </row>
    <row r="30" spans="2:5">
      <c r="B30" s="4296" t="s">
        <v>5327</v>
      </c>
      <c r="C30" s="4296" t="s">
        <v>5373</v>
      </c>
      <c r="D30" s="4296" t="s">
        <v>4674</v>
      </c>
      <c r="E30" s="4297">
        <v>111.90733400000001</v>
      </c>
    </row>
    <row r="31" spans="2:5">
      <c r="B31" s="4296" t="s">
        <v>5329</v>
      </c>
      <c r="C31" s="4296" t="s">
        <v>5310</v>
      </c>
      <c r="D31" s="4296" t="s">
        <v>4674</v>
      </c>
      <c r="E31" s="4297">
        <v>111.04118599999998</v>
      </c>
    </row>
    <row r="32" spans="2:5">
      <c r="B32" s="4296" t="s">
        <v>5331</v>
      </c>
      <c r="C32" s="4296" t="s">
        <v>5771</v>
      </c>
      <c r="D32" s="4296" t="s">
        <v>4674</v>
      </c>
      <c r="E32" s="4297">
        <v>111.02903999999999</v>
      </c>
    </row>
    <row r="33" spans="2:5">
      <c r="B33" s="4296" t="s">
        <v>5333</v>
      </c>
      <c r="C33" s="4296" t="s">
        <v>5314</v>
      </c>
      <c r="D33" s="4296" t="s">
        <v>4674</v>
      </c>
      <c r="E33" s="4297">
        <v>110.16675200000003</v>
      </c>
    </row>
    <row r="34" spans="2:5">
      <c r="B34" s="4296" t="s">
        <v>5335</v>
      </c>
      <c r="C34" s="4296" t="s">
        <v>5334</v>
      </c>
      <c r="D34" s="4296" t="s">
        <v>4674</v>
      </c>
      <c r="E34" s="4297">
        <v>109.02855799999999</v>
      </c>
    </row>
    <row r="35" spans="2:5">
      <c r="B35" s="4296" t="s">
        <v>5337</v>
      </c>
      <c r="C35" s="4296" t="s">
        <v>5375</v>
      </c>
      <c r="D35" s="4296" t="s">
        <v>4674</v>
      </c>
      <c r="E35" s="4297">
        <v>108.51298199999998</v>
      </c>
    </row>
    <row r="36" spans="2:5">
      <c r="B36" s="4296" t="s">
        <v>5339</v>
      </c>
      <c r="C36" s="4296" t="s">
        <v>5326</v>
      </c>
      <c r="D36" s="4296" t="s">
        <v>4674</v>
      </c>
      <c r="E36" s="4297">
        <v>107.88791499999999</v>
      </c>
    </row>
    <row r="37" spans="2:5">
      <c r="B37" s="4296" t="s">
        <v>4008</v>
      </c>
      <c r="C37" s="4296" t="s">
        <v>5324</v>
      </c>
      <c r="D37" s="4296" t="s">
        <v>4674</v>
      </c>
      <c r="E37" s="4297">
        <v>107.32958400000001</v>
      </c>
    </row>
    <row r="38" spans="2:5">
      <c r="B38" s="4296" t="s">
        <v>5342</v>
      </c>
      <c r="C38" s="4296" t="s">
        <v>5697</v>
      </c>
      <c r="D38" s="4296" t="s">
        <v>4674</v>
      </c>
      <c r="E38" s="4297">
        <v>106.54250299999998</v>
      </c>
    </row>
    <row r="39" spans="2:5">
      <c r="B39" s="4296" t="s">
        <v>5344</v>
      </c>
      <c r="C39" s="4296" t="s">
        <v>5401</v>
      </c>
      <c r="D39" s="4296" t="s">
        <v>4674</v>
      </c>
      <c r="E39" s="4297">
        <v>106.22675600000002</v>
      </c>
    </row>
    <row r="40" spans="2:5">
      <c r="B40" s="4296" t="s">
        <v>5346</v>
      </c>
      <c r="C40" s="4296" t="s">
        <v>5359</v>
      </c>
      <c r="D40" s="4296" t="s">
        <v>4674</v>
      </c>
      <c r="E40" s="4297">
        <v>105.68620000000003</v>
      </c>
    </row>
    <row r="41" spans="2:5">
      <c r="B41" s="4296" t="s">
        <v>5348</v>
      </c>
      <c r="C41" s="4296" t="s">
        <v>5354</v>
      </c>
      <c r="D41" s="4296" t="s">
        <v>4674</v>
      </c>
      <c r="E41" s="4297">
        <v>105.289382</v>
      </c>
    </row>
    <row r="42" spans="2:5">
      <c r="B42" s="4296" t="s">
        <v>5350</v>
      </c>
      <c r="C42" s="4296" t="s">
        <v>5336</v>
      </c>
      <c r="D42" s="4296" t="s">
        <v>4674</v>
      </c>
      <c r="E42" s="4297">
        <v>104.56178500000001</v>
      </c>
    </row>
    <row r="43" spans="2:5">
      <c r="B43" s="4296" t="s">
        <v>5352</v>
      </c>
      <c r="C43" s="4296" t="s">
        <v>6027</v>
      </c>
      <c r="D43" s="4296" t="s">
        <v>4674</v>
      </c>
      <c r="E43" s="4297">
        <v>103.52757800000002</v>
      </c>
    </row>
    <row r="44" spans="2:5">
      <c r="B44" s="4296" t="s">
        <v>4000</v>
      </c>
      <c r="C44" s="4296" t="s">
        <v>5340</v>
      </c>
      <c r="D44" s="4296" t="s">
        <v>4674</v>
      </c>
      <c r="E44" s="4297">
        <v>101.51429800000001</v>
      </c>
    </row>
    <row r="45" spans="2:5">
      <c r="B45" s="4296" t="s">
        <v>5355</v>
      </c>
      <c r="C45" s="4296" t="s">
        <v>7024</v>
      </c>
      <c r="D45" s="4296" t="s">
        <v>4674</v>
      </c>
      <c r="E45" s="4297">
        <v>99.220081999999977</v>
      </c>
    </row>
    <row r="46" spans="2:5">
      <c r="B46" s="4296" t="s">
        <v>5357</v>
      </c>
      <c r="C46" s="4296" t="s">
        <v>5521</v>
      </c>
      <c r="D46" s="4296" t="s">
        <v>4674</v>
      </c>
      <c r="E46" s="4297">
        <v>98.503849999999986</v>
      </c>
    </row>
    <row r="47" spans="2:5">
      <c r="B47" s="4296" t="s">
        <v>3997</v>
      </c>
      <c r="C47" s="4296" t="s">
        <v>7025</v>
      </c>
      <c r="D47" s="4296" t="s">
        <v>4674</v>
      </c>
      <c r="E47" s="4297">
        <v>98.222280000000012</v>
      </c>
    </row>
    <row r="48" spans="2:5">
      <c r="B48" s="4296" t="s">
        <v>5360</v>
      </c>
      <c r="C48" s="4296" t="s">
        <v>5487</v>
      </c>
      <c r="D48" s="4296" t="s">
        <v>4674</v>
      </c>
      <c r="E48" s="4297">
        <v>97.733665000000002</v>
      </c>
    </row>
    <row r="49" spans="2:5">
      <c r="B49" s="4296" t="s">
        <v>5362</v>
      </c>
      <c r="C49" s="4296" t="s">
        <v>5343</v>
      </c>
      <c r="D49" s="4296" t="s">
        <v>4674</v>
      </c>
      <c r="E49" s="4297">
        <v>96.479970999999978</v>
      </c>
    </row>
    <row r="50" spans="2:5">
      <c r="B50" s="4296" t="s">
        <v>5364</v>
      </c>
      <c r="C50" s="4296" t="s">
        <v>5421</v>
      </c>
      <c r="D50" s="4296" t="s">
        <v>4674</v>
      </c>
      <c r="E50" s="4297">
        <v>94.784035000000003</v>
      </c>
    </row>
    <row r="51" spans="2:5">
      <c r="B51" s="4296" t="s">
        <v>5366</v>
      </c>
      <c r="C51" s="4296" t="s">
        <v>5537</v>
      </c>
      <c r="D51" s="4296" t="s">
        <v>4674</v>
      </c>
      <c r="E51" s="4297">
        <v>93.808544000000012</v>
      </c>
    </row>
    <row r="52" spans="2:5">
      <c r="B52" s="4296" t="s">
        <v>5368</v>
      </c>
      <c r="C52" s="4296" t="s">
        <v>7026</v>
      </c>
      <c r="D52" s="4296" t="s">
        <v>4674</v>
      </c>
      <c r="E52" s="4297">
        <v>89.78673000000002</v>
      </c>
    </row>
    <row r="53" spans="2:5">
      <c r="B53" s="4296" t="s">
        <v>5370</v>
      </c>
      <c r="C53" s="4296" t="s">
        <v>5399</v>
      </c>
      <c r="D53" s="4296" t="s">
        <v>4674</v>
      </c>
      <c r="E53" s="4297">
        <v>89.781339000000017</v>
      </c>
    </row>
    <row r="54" spans="2:5">
      <c r="B54" s="4296" t="s">
        <v>5372</v>
      </c>
      <c r="C54" s="4296" t="s">
        <v>7027</v>
      </c>
      <c r="D54" s="4296" t="s">
        <v>4674</v>
      </c>
      <c r="E54" s="4297">
        <v>88.302367999999987</v>
      </c>
    </row>
    <row r="55" spans="2:5">
      <c r="B55" s="4296" t="s">
        <v>5374</v>
      </c>
      <c r="C55" s="4296" t="s">
        <v>5358</v>
      </c>
      <c r="D55" s="4296" t="s">
        <v>4674</v>
      </c>
      <c r="E55" s="4297">
        <v>87.861774000000054</v>
      </c>
    </row>
    <row r="56" spans="2:5">
      <c r="B56" s="4296" t="s">
        <v>5376</v>
      </c>
      <c r="C56" s="4296" t="s">
        <v>5439</v>
      </c>
      <c r="D56" s="4296" t="s">
        <v>4674</v>
      </c>
      <c r="E56" s="4297">
        <v>87.497333000000012</v>
      </c>
    </row>
    <row r="57" spans="2:5">
      <c r="B57" s="4296" t="s">
        <v>5378</v>
      </c>
      <c r="C57" s="4296" t="s">
        <v>5365</v>
      </c>
      <c r="D57" s="4296" t="s">
        <v>4674</v>
      </c>
      <c r="E57" s="4297">
        <v>86.701100999999994</v>
      </c>
    </row>
    <row r="58" spans="2:5">
      <c r="B58" s="4296" t="s">
        <v>5380</v>
      </c>
      <c r="C58" s="4296" t="s">
        <v>5363</v>
      </c>
      <c r="D58" s="4296" t="s">
        <v>4674</v>
      </c>
      <c r="E58" s="4297">
        <v>85.827563000000012</v>
      </c>
    </row>
    <row r="59" spans="2:5">
      <c r="B59" s="4296" t="s">
        <v>5382</v>
      </c>
      <c r="C59" s="4296" t="s">
        <v>7028</v>
      </c>
      <c r="D59" s="4296" t="s">
        <v>4674</v>
      </c>
      <c r="E59" s="4297">
        <v>85.395111000000014</v>
      </c>
    </row>
    <row r="60" spans="2:5">
      <c r="B60" s="4296" t="s">
        <v>5384</v>
      </c>
      <c r="C60" s="4296" t="s">
        <v>7029</v>
      </c>
      <c r="D60" s="4296" t="s">
        <v>4674</v>
      </c>
      <c r="E60" s="4297">
        <v>84.343089999999975</v>
      </c>
    </row>
    <row r="61" spans="2:5">
      <c r="B61" s="4296" t="s">
        <v>5386</v>
      </c>
      <c r="C61" s="4296" t="s">
        <v>5371</v>
      </c>
      <c r="D61" s="4296" t="s">
        <v>4674</v>
      </c>
      <c r="E61" s="4297">
        <v>82.608152999999987</v>
      </c>
    </row>
    <row r="62" spans="2:5">
      <c r="B62" s="4296" t="s">
        <v>5388</v>
      </c>
      <c r="C62" s="4296" t="s">
        <v>5411</v>
      </c>
      <c r="D62" s="4296" t="s">
        <v>4674</v>
      </c>
      <c r="E62" s="4297">
        <v>81.947606999999977</v>
      </c>
    </row>
    <row r="63" spans="2:5">
      <c r="B63" s="4296" t="s">
        <v>5390</v>
      </c>
      <c r="C63" s="4296" t="s">
        <v>7030</v>
      </c>
      <c r="D63" s="4296" t="s">
        <v>4674</v>
      </c>
      <c r="E63" s="4297">
        <v>80.116800000000012</v>
      </c>
    </row>
    <row r="64" spans="2:5">
      <c r="B64" s="4296" t="s">
        <v>5392</v>
      </c>
      <c r="C64" s="4296" t="s">
        <v>5797</v>
      </c>
      <c r="D64" s="4296" t="s">
        <v>4674</v>
      </c>
      <c r="E64" s="4297">
        <v>76.810500000000005</v>
      </c>
    </row>
    <row r="65" spans="2:5">
      <c r="B65" s="4296" t="s">
        <v>5394</v>
      </c>
      <c r="C65" s="4296" t="s">
        <v>5809</v>
      </c>
      <c r="D65" s="4296" t="s">
        <v>4674</v>
      </c>
      <c r="E65" s="4297">
        <v>76.678020000000004</v>
      </c>
    </row>
    <row r="66" spans="2:5">
      <c r="B66" s="4296" t="s">
        <v>5396</v>
      </c>
      <c r="C66" s="4296" t="s">
        <v>7031</v>
      </c>
      <c r="D66" s="4296" t="s">
        <v>4674</v>
      </c>
      <c r="E66" s="4297">
        <v>76.554400000000001</v>
      </c>
    </row>
    <row r="67" spans="2:5">
      <c r="B67" s="4296" t="s">
        <v>5398</v>
      </c>
      <c r="C67" s="4296" t="s">
        <v>5583</v>
      </c>
      <c r="D67" s="4296" t="s">
        <v>5231</v>
      </c>
      <c r="E67" s="4297">
        <v>76.200619000000003</v>
      </c>
    </row>
    <row r="68" spans="2:5">
      <c r="B68" s="4296" t="s">
        <v>5400</v>
      </c>
      <c r="C68" s="4296" t="s">
        <v>7032</v>
      </c>
      <c r="D68" s="4296" t="s">
        <v>4674</v>
      </c>
      <c r="E68" s="4297">
        <v>75.182003000000009</v>
      </c>
    </row>
    <row r="69" spans="2:5">
      <c r="B69" s="4296" t="s">
        <v>5402</v>
      </c>
      <c r="C69" s="4296" t="s">
        <v>5703</v>
      </c>
      <c r="D69" s="4296" t="s">
        <v>4674</v>
      </c>
      <c r="E69" s="4297">
        <v>74.903005000000022</v>
      </c>
    </row>
    <row r="70" spans="2:5">
      <c r="B70" s="4296" t="s">
        <v>5404</v>
      </c>
      <c r="C70" s="4296" t="s">
        <v>5389</v>
      </c>
      <c r="D70" s="4296" t="s">
        <v>4674</v>
      </c>
      <c r="E70" s="4297">
        <v>74.612440000000007</v>
      </c>
    </row>
    <row r="71" spans="2:5">
      <c r="B71" s="4296" t="s">
        <v>5406</v>
      </c>
      <c r="C71" s="4296" t="s">
        <v>7033</v>
      </c>
      <c r="D71" s="4296" t="s">
        <v>4674</v>
      </c>
      <c r="E71" s="4297">
        <v>74.569576999999995</v>
      </c>
    </row>
    <row r="72" spans="2:5">
      <c r="B72" s="4296" t="s">
        <v>5408</v>
      </c>
      <c r="C72" s="4296" t="s">
        <v>7034</v>
      </c>
      <c r="D72" s="4296" t="s">
        <v>4674</v>
      </c>
      <c r="E72" s="4297">
        <v>74.310240000000007</v>
      </c>
    </row>
    <row r="73" spans="2:5">
      <c r="B73" s="4296" t="s">
        <v>5410</v>
      </c>
      <c r="C73" s="4296" t="s">
        <v>5338</v>
      </c>
      <c r="D73" s="4296" t="s">
        <v>4674</v>
      </c>
      <c r="E73" s="4297">
        <v>74.279758000000001</v>
      </c>
    </row>
    <row r="74" spans="2:5">
      <c r="B74" s="4296" t="s">
        <v>5412</v>
      </c>
      <c r="C74" s="4296" t="s">
        <v>7035</v>
      </c>
      <c r="D74" s="4296" t="s">
        <v>4674</v>
      </c>
      <c r="E74" s="4297">
        <v>73.985129999999998</v>
      </c>
    </row>
    <row r="75" spans="2:5">
      <c r="B75" s="4296" t="s">
        <v>5414</v>
      </c>
      <c r="C75" s="4296" t="s">
        <v>7036</v>
      </c>
      <c r="D75" s="4296" t="s">
        <v>4674</v>
      </c>
      <c r="E75" s="4297">
        <v>73.191199999999995</v>
      </c>
    </row>
    <row r="76" spans="2:5">
      <c r="B76" s="4296" t="s">
        <v>5416</v>
      </c>
      <c r="C76" s="4296" t="s">
        <v>5479</v>
      </c>
      <c r="D76" s="4296" t="s">
        <v>4674</v>
      </c>
      <c r="E76" s="4297">
        <v>72.999303999999995</v>
      </c>
    </row>
    <row r="77" spans="2:5">
      <c r="B77" s="4296" t="s">
        <v>5418</v>
      </c>
      <c r="C77" s="4296" t="s">
        <v>5465</v>
      </c>
      <c r="D77" s="4296" t="s">
        <v>4674</v>
      </c>
      <c r="E77" s="4297">
        <v>72.275336000000024</v>
      </c>
    </row>
    <row r="78" spans="2:5">
      <c r="B78" s="4296" t="s">
        <v>5420</v>
      </c>
      <c r="C78" s="4296" t="s">
        <v>5415</v>
      </c>
      <c r="D78" s="4296" t="s">
        <v>4674</v>
      </c>
      <c r="E78" s="4297">
        <v>71.082627000000002</v>
      </c>
    </row>
    <row r="79" spans="2:5">
      <c r="B79" s="4296" t="s">
        <v>5422</v>
      </c>
      <c r="C79" s="4296" t="s">
        <v>7037</v>
      </c>
      <c r="D79" s="4296" t="s">
        <v>4674</v>
      </c>
      <c r="E79" s="4297">
        <v>71.059136000000009</v>
      </c>
    </row>
    <row r="80" spans="2:5">
      <c r="B80" s="4296" t="s">
        <v>5424</v>
      </c>
      <c r="C80" s="4296" t="s">
        <v>5403</v>
      </c>
      <c r="D80" s="4296" t="s">
        <v>4674</v>
      </c>
      <c r="E80" s="4297">
        <v>68.528230000000008</v>
      </c>
    </row>
    <row r="81" spans="2:5">
      <c r="B81" s="4296" t="s">
        <v>5426</v>
      </c>
      <c r="C81" s="4296" t="s">
        <v>7038</v>
      </c>
      <c r="D81" s="4296" t="s">
        <v>4674</v>
      </c>
      <c r="E81" s="4297">
        <v>67.532865000000001</v>
      </c>
    </row>
    <row r="82" spans="2:5">
      <c r="B82" s="4296" t="s">
        <v>5428</v>
      </c>
      <c r="C82" s="4296" t="s">
        <v>7039</v>
      </c>
      <c r="D82" s="4296" t="s">
        <v>4674</v>
      </c>
      <c r="E82" s="4297">
        <v>67.319581999999983</v>
      </c>
    </row>
    <row r="83" spans="2:5">
      <c r="B83" s="4296" t="s">
        <v>5430</v>
      </c>
      <c r="C83" s="4296" t="s">
        <v>7040</v>
      </c>
      <c r="D83" s="4296" t="s">
        <v>4674</v>
      </c>
      <c r="E83" s="4297">
        <v>65.792225999999999</v>
      </c>
    </row>
    <row r="84" spans="2:5">
      <c r="B84" s="4296" t="s">
        <v>5432</v>
      </c>
      <c r="C84" s="4296" t="s">
        <v>5601</v>
      </c>
      <c r="D84" s="4296" t="s">
        <v>4674</v>
      </c>
      <c r="E84" s="4297">
        <v>65.635451999999987</v>
      </c>
    </row>
    <row r="85" spans="2:5">
      <c r="B85" s="4296" t="s">
        <v>5434</v>
      </c>
      <c r="C85" s="4296" t="s">
        <v>5423</v>
      </c>
      <c r="D85" s="4296" t="s">
        <v>4674</v>
      </c>
      <c r="E85" s="4297">
        <v>64.09508000000001</v>
      </c>
    </row>
    <row r="86" spans="2:5">
      <c r="B86" s="4296" t="s">
        <v>5436</v>
      </c>
      <c r="C86" s="4296" t="s">
        <v>5557</v>
      </c>
      <c r="D86" s="4296" t="s">
        <v>4674</v>
      </c>
      <c r="E86" s="4297">
        <v>63.632707999999994</v>
      </c>
    </row>
    <row r="87" spans="2:5">
      <c r="B87" s="4296" t="s">
        <v>5438</v>
      </c>
      <c r="C87" s="4296" t="s">
        <v>5517</v>
      </c>
      <c r="D87" s="4296" t="s">
        <v>4674</v>
      </c>
      <c r="E87" s="4297">
        <v>62.675509999999996</v>
      </c>
    </row>
    <row r="88" spans="2:5">
      <c r="B88" s="4296" t="s">
        <v>5440</v>
      </c>
      <c r="C88" s="4296" t="s">
        <v>7041</v>
      </c>
      <c r="D88" s="4296" t="s">
        <v>4674</v>
      </c>
      <c r="E88" s="4297">
        <v>61.622624999999999</v>
      </c>
    </row>
    <row r="89" spans="2:5">
      <c r="B89" s="4296" t="s">
        <v>5442</v>
      </c>
      <c r="C89" s="4296" t="s">
        <v>7042</v>
      </c>
      <c r="D89" s="4296" t="s">
        <v>4674</v>
      </c>
      <c r="E89" s="4297">
        <v>60.54616</v>
      </c>
    </row>
    <row r="90" spans="2:5">
      <c r="B90" s="4296" t="s">
        <v>5444</v>
      </c>
      <c r="C90" s="4296" t="s">
        <v>7043</v>
      </c>
      <c r="D90" s="4296" t="s">
        <v>4674</v>
      </c>
      <c r="E90" s="4297">
        <v>59.774384000000005</v>
      </c>
    </row>
    <row r="91" spans="2:5">
      <c r="B91" s="4296" t="s">
        <v>5446</v>
      </c>
      <c r="C91" s="4296" t="s">
        <v>5861</v>
      </c>
      <c r="D91" s="4296" t="s">
        <v>4674</v>
      </c>
      <c r="E91" s="4297">
        <v>59.223974999999989</v>
      </c>
    </row>
    <row r="92" spans="2:5">
      <c r="B92" s="4296" t="s">
        <v>5448</v>
      </c>
      <c r="C92" s="4296" t="s">
        <v>5433</v>
      </c>
      <c r="D92" s="4296" t="s">
        <v>4674</v>
      </c>
      <c r="E92" s="4297">
        <v>59.193138999999988</v>
      </c>
    </row>
    <row r="93" spans="2:5">
      <c r="B93" s="4296" t="s">
        <v>5450</v>
      </c>
      <c r="C93" s="4296" t="s">
        <v>7044</v>
      </c>
      <c r="D93" s="4296" t="s">
        <v>4674</v>
      </c>
      <c r="E93" s="4297">
        <v>59.098333999999994</v>
      </c>
    </row>
    <row r="94" spans="2:5">
      <c r="B94" s="4296" t="s">
        <v>5452</v>
      </c>
      <c r="C94" s="4287" t="s">
        <v>5288</v>
      </c>
      <c r="D94" s="4287" t="s">
        <v>4674</v>
      </c>
      <c r="E94" s="4297">
        <v>58.843440000000015</v>
      </c>
    </row>
    <row r="95" spans="2:5">
      <c r="B95" s="4296" t="s">
        <v>5454</v>
      </c>
      <c r="C95" s="4296" t="s">
        <v>7045</v>
      </c>
      <c r="D95" s="4296" t="s">
        <v>4674</v>
      </c>
      <c r="E95" s="4297">
        <v>57.770545999999996</v>
      </c>
    </row>
    <row r="96" spans="2:5">
      <c r="B96" s="4296" t="s">
        <v>5456</v>
      </c>
      <c r="C96" s="4296" t="s">
        <v>6009</v>
      </c>
      <c r="D96" s="4296" t="s">
        <v>4674</v>
      </c>
      <c r="E96" s="4297">
        <v>57.446376000000001</v>
      </c>
    </row>
    <row r="97" spans="2:5">
      <c r="B97" s="4296" t="s">
        <v>5458</v>
      </c>
      <c r="C97" s="4296" t="s">
        <v>7046</v>
      </c>
      <c r="D97" s="4296" t="s">
        <v>4674</v>
      </c>
      <c r="E97" s="4297">
        <v>57.144280000000002</v>
      </c>
    </row>
    <row r="98" spans="2:5">
      <c r="B98" s="4296" t="s">
        <v>5460</v>
      </c>
      <c r="C98" s="4296" t="s">
        <v>5471</v>
      </c>
      <c r="D98" s="4296" t="s">
        <v>4674</v>
      </c>
      <c r="E98" s="4297">
        <v>56.971377000000004</v>
      </c>
    </row>
    <row r="99" spans="2:5">
      <c r="B99" s="4296" t="s">
        <v>5462</v>
      </c>
      <c r="C99" s="4296" t="s">
        <v>7047</v>
      </c>
      <c r="D99" s="4296" t="s">
        <v>4674</v>
      </c>
      <c r="E99" s="4297">
        <v>56.924700000000001</v>
      </c>
    </row>
    <row r="100" spans="2:5">
      <c r="B100" s="4296" t="s">
        <v>5464</v>
      </c>
      <c r="C100" s="4296" t="s">
        <v>7048</v>
      </c>
      <c r="D100" s="4296" t="s">
        <v>4674</v>
      </c>
      <c r="E100" s="4297">
        <v>55.698863999999979</v>
      </c>
    </row>
    <row r="101" spans="2:5">
      <c r="B101" s="4296" t="s">
        <v>5466</v>
      </c>
      <c r="C101" s="4296" t="s">
        <v>5435</v>
      </c>
      <c r="D101" s="4296" t="s">
        <v>4674</v>
      </c>
      <c r="E101" s="4297">
        <v>55.175260000000009</v>
      </c>
    </row>
    <row r="102" spans="2:5">
      <c r="B102" s="4296" t="s">
        <v>5468</v>
      </c>
      <c r="C102" s="4296" t="s">
        <v>5593</v>
      </c>
      <c r="D102" s="4296" t="s">
        <v>4674</v>
      </c>
      <c r="E102" s="4297">
        <v>55.064368000000002</v>
      </c>
    </row>
    <row r="103" spans="2:5">
      <c r="B103" s="4296" t="s">
        <v>5470</v>
      </c>
      <c r="C103" s="4296" t="s">
        <v>5765</v>
      </c>
      <c r="D103" s="4296" t="s">
        <v>4674</v>
      </c>
      <c r="E103" s="4297">
        <v>55.033768000000002</v>
      </c>
    </row>
    <row r="104" spans="2:5">
      <c r="B104" s="4296" t="s">
        <v>5472</v>
      </c>
      <c r="C104" s="4296" t="s">
        <v>7049</v>
      </c>
      <c r="D104" s="4296" t="s">
        <v>4674</v>
      </c>
      <c r="E104" s="4297">
        <v>54.883726000000003</v>
      </c>
    </row>
    <row r="105" spans="2:5">
      <c r="B105" s="4296" t="s">
        <v>5474</v>
      </c>
      <c r="C105" s="4296" t="s">
        <v>7050</v>
      </c>
      <c r="D105" s="4296" t="s">
        <v>4674</v>
      </c>
      <c r="E105" s="4297">
        <v>54.453479999999992</v>
      </c>
    </row>
    <row r="106" spans="2:5">
      <c r="B106" s="4296" t="s">
        <v>5476</v>
      </c>
      <c r="C106" s="4296" t="s">
        <v>7051</v>
      </c>
      <c r="D106" s="4296" t="s">
        <v>4674</v>
      </c>
      <c r="E106" s="4297">
        <v>54.096791999999994</v>
      </c>
    </row>
    <row r="107" spans="2:5">
      <c r="B107" s="4296" t="s">
        <v>5478</v>
      </c>
      <c r="C107" s="4296" t="s">
        <v>5457</v>
      </c>
      <c r="D107" s="4296" t="s">
        <v>4674</v>
      </c>
      <c r="E107" s="4297">
        <v>53.594640000000005</v>
      </c>
    </row>
    <row r="108" spans="2:5">
      <c r="B108" s="4296" t="s">
        <v>5480</v>
      </c>
      <c r="C108" s="4296" t="s">
        <v>5451</v>
      </c>
      <c r="D108" s="4296" t="s">
        <v>4674</v>
      </c>
      <c r="E108" s="4297">
        <v>53.471777999999979</v>
      </c>
    </row>
    <row r="109" spans="2:5">
      <c r="B109" s="4296" t="s">
        <v>5482</v>
      </c>
      <c r="C109" s="4296" t="s">
        <v>5407</v>
      </c>
      <c r="D109" s="4296" t="s">
        <v>4674</v>
      </c>
      <c r="E109" s="4297">
        <v>53.235841000000001</v>
      </c>
    </row>
    <row r="110" spans="2:5">
      <c r="B110" s="4296" t="s">
        <v>5484</v>
      </c>
      <c r="C110" s="4296" t="s">
        <v>5463</v>
      </c>
      <c r="D110" s="4296" t="s">
        <v>4674</v>
      </c>
      <c r="E110" s="4297">
        <v>53.090173</v>
      </c>
    </row>
    <row r="111" spans="2:5">
      <c r="B111" s="4296" t="s">
        <v>5486</v>
      </c>
      <c r="C111" s="4296" t="s">
        <v>7052</v>
      </c>
      <c r="D111" s="4296" t="s">
        <v>4674</v>
      </c>
      <c r="E111" s="4297">
        <v>52.985400000000013</v>
      </c>
    </row>
    <row r="112" spans="2:5">
      <c r="B112" s="4296" t="s">
        <v>5488</v>
      </c>
      <c r="C112" s="4296" t="s">
        <v>5555</v>
      </c>
      <c r="D112" s="4296" t="s">
        <v>4674</v>
      </c>
      <c r="E112" s="4297">
        <v>52.623180000000005</v>
      </c>
    </row>
    <row r="113" spans="2:5">
      <c r="B113" s="4296" t="s">
        <v>5490</v>
      </c>
      <c r="C113" s="4296" t="s">
        <v>7053</v>
      </c>
      <c r="D113" s="4296" t="s">
        <v>4674</v>
      </c>
      <c r="E113" s="4297">
        <v>52.35765</v>
      </c>
    </row>
    <row r="114" spans="2:5">
      <c r="B114" s="4296" t="s">
        <v>5492</v>
      </c>
      <c r="C114" s="4296" t="s">
        <v>7054</v>
      </c>
      <c r="D114" s="4296" t="s">
        <v>4674</v>
      </c>
      <c r="E114" s="4297">
        <v>52.282350000000001</v>
      </c>
    </row>
    <row r="115" spans="2:5">
      <c r="B115" s="4296" t="s">
        <v>5494</v>
      </c>
      <c r="C115" s="4296" t="s">
        <v>5757</v>
      </c>
      <c r="D115" s="4296" t="s">
        <v>4674</v>
      </c>
      <c r="E115" s="4297">
        <v>52.217128999999993</v>
      </c>
    </row>
    <row r="116" spans="2:5">
      <c r="B116" s="4296" t="s">
        <v>5496</v>
      </c>
      <c r="C116" s="4296" t="s">
        <v>7055</v>
      </c>
      <c r="D116" s="4296" t="s">
        <v>4674</v>
      </c>
      <c r="E116" s="4297">
        <v>52.052069999999993</v>
      </c>
    </row>
    <row r="117" spans="2:5">
      <c r="B117" s="4296" t="s">
        <v>5498</v>
      </c>
      <c r="C117" s="4296" t="s">
        <v>5893</v>
      </c>
      <c r="D117" s="4296" t="s">
        <v>4674</v>
      </c>
      <c r="E117" s="4297">
        <v>51.467651999999994</v>
      </c>
    </row>
    <row r="118" spans="2:5">
      <c r="B118" s="4296" t="s">
        <v>5500</v>
      </c>
      <c r="C118" s="4296" t="s">
        <v>5467</v>
      </c>
      <c r="D118" s="4296" t="s">
        <v>4674</v>
      </c>
      <c r="E118" s="4297">
        <v>51.152112999999979</v>
      </c>
    </row>
    <row r="119" spans="2:5">
      <c r="B119" s="4296" t="s">
        <v>5502</v>
      </c>
      <c r="C119" s="4296" t="s">
        <v>7056</v>
      </c>
      <c r="D119" s="4296" t="s">
        <v>4674</v>
      </c>
      <c r="E119" s="4297">
        <v>49.860020000000006</v>
      </c>
    </row>
    <row r="120" spans="2:5">
      <c r="B120" s="4296" t="s">
        <v>5504</v>
      </c>
      <c r="C120" s="4296" t="s">
        <v>7057</v>
      </c>
      <c r="D120" s="4296" t="s">
        <v>5231</v>
      </c>
      <c r="E120" s="4297">
        <v>49.498280999999999</v>
      </c>
    </row>
    <row r="121" spans="2:5">
      <c r="B121" s="4296" t="s">
        <v>5506</v>
      </c>
      <c r="C121" s="4296" t="s">
        <v>5713</v>
      </c>
      <c r="D121" s="4296" t="s">
        <v>4674</v>
      </c>
      <c r="E121" s="4297">
        <v>49.261107000000003</v>
      </c>
    </row>
    <row r="122" spans="2:5">
      <c r="B122" s="4296" t="s">
        <v>5508</v>
      </c>
      <c r="C122" s="4296" t="s">
        <v>5605</v>
      </c>
      <c r="D122" s="4296" t="s">
        <v>4674</v>
      </c>
      <c r="E122" s="4297">
        <v>49.139839999999992</v>
      </c>
    </row>
    <row r="123" spans="2:5">
      <c r="B123" s="4296" t="s">
        <v>5510</v>
      </c>
      <c r="C123" s="4296" t="s">
        <v>7058</v>
      </c>
      <c r="D123" s="4296" t="s">
        <v>4674</v>
      </c>
      <c r="E123" s="4297">
        <v>49.017533000000007</v>
      </c>
    </row>
    <row r="124" spans="2:5">
      <c r="B124" s="4296" t="s">
        <v>5512</v>
      </c>
      <c r="C124" s="4296" t="s">
        <v>7059</v>
      </c>
      <c r="D124" s="4296" t="s">
        <v>4674</v>
      </c>
      <c r="E124" s="4297">
        <v>49.000833999999998</v>
      </c>
    </row>
    <row r="125" spans="2:5">
      <c r="B125" s="4296" t="s">
        <v>5514</v>
      </c>
      <c r="C125" s="4296" t="s">
        <v>7060</v>
      </c>
      <c r="D125" s="4296" t="s">
        <v>4674</v>
      </c>
      <c r="E125" s="4297">
        <v>48.248243999999985</v>
      </c>
    </row>
    <row r="126" spans="2:5">
      <c r="B126" s="4296" t="s">
        <v>5516</v>
      </c>
      <c r="C126" s="4296" t="s">
        <v>7061</v>
      </c>
      <c r="D126" s="4296" t="s">
        <v>4674</v>
      </c>
      <c r="E126" s="4297">
        <v>48.159677000000002</v>
      </c>
    </row>
    <row r="127" spans="2:5">
      <c r="B127" s="4296" t="s">
        <v>5518</v>
      </c>
      <c r="C127" s="4296" t="s">
        <v>5781</v>
      </c>
      <c r="D127" s="4296" t="s">
        <v>4674</v>
      </c>
      <c r="E127" s="4297">
        <v>47.825565000000005</v>
      </c>
    </row>
    <row r="128" spans="2:5">
      <c r="B128" s="4296" t="s">
        <v>5520</v>
      </c>
      <c r="C128" s="4296" t="s">
        <v>5851</v>
      </c>
      <c r="D128" s="4296" t="s">
        <v>4674</v>
      </c>
      <c r="E128" s="4297">
        <v>47.604607999999992</v>
      </c>
    </row>
    <row r="129" spans="2:5">
      <c r="B129" s="4296" t="s">
        <v>5522</v>
      </c>
      <c r="C129" s="4296" t="s">
        <v>5349</v>
      </c>
      <c r="D129" s="4296" t="s">
        <v>4674</v>
      </c>
      <c r="E129" s="4297">
        <v>47.482188999999998</v>
      </c>
    </row>
    <row r="130" spans="2:5">
      <c r="B130" s="4296" t="s">
        <v>5524</v>
      </c>
      <c r="C130" s="4296" t="s">
        <v>7062</v>
      </c>
      <c r="D130" s="4296" t="s">
        <v>4674</v>
      </c>
      <c r="E130" s="4297">
        <v>47.390312000000009</v>
      </c>
    </row>
    <row r="131" spans="2:5">
      <c r="B131" s="4296" t="s">
        <v>5526</v>
      </c>
      <c r="C131" s="4287" t="s">
        <v>7063</v>
      </c>
      <c r="D131" s="4287" t="s">
        <v>4664</v>
      </c>
      <c r="E131" s="4297">
        <v>47.354849000000002</v>
      </c>
    </row>
    <row r="132" spans="2:5">
      <c r="B132" s="4296" t="s">
        <v>5528</v>
      </c>
      <c r="C132" s="4296" t="s">
        <v>5609</v>
      </c>
      <c r="D132" s="4296" t="s">
        <v>4674</v>
      </c>
      <c r="E132" s="4297">
        <v>47.242986000000002</v>
      </c>
    </row>
    <row r="133" spans="2:5">
      <c r="B133" s="4296" t="s">
        <v>5530</v>
      </c>
      <c r="C133" s="4296" t="s">
        <v>7064</v>
      </c>
      <c r="D133" s="4296" t="s">
        <v>4674</v>
      </c>
      <c r="E133" s="4297">
        <v>46.450943999999993</v>
      </c>
    </row>
    <row r="134" spans="2:5">
      <c r="B134" s="4296" t="s">
        <v>5532</v>
      </c>
      <c r="C134" s="4296" t="s">
        <v>5367</v>
      </c>
      <c r="D134" s="4296" t="s">
        <v>4674</v>
      </c>
      <c r="E134" s="4297">
        <v>46.285837000000001</v>
      </c>
    </row>
    <row r="135" spans="2:5">
      <c r="B135" s="4296" t="s">
        <v>5534</v>
      </c>
      <c r="C135" s="4296" t="s">
        <v>5681</v>
      </c>
      <c r="D135" s="4296" t="s">
        <v>4674</v>
      </c>
      <c r="E135" s="4297">
        <v>46.057202000000011</v>
      </c>
    </row>
    <row r="136" spans="2:5">
      <c r="B136" s="4296" t="s">
        <v>5536</v>
      </c>
      <c r="C136" s="4296" t="s">
        <v>5953</v>
      </c>
      <c r="D136" s="4296" t="s">
        <v>4674</v>
      </c>
      <c r="E136" s="4297">
        <v>45.694133000000001</v>
      </c>
    </row>
    <row r="137" spans="2:5">
      <c r="B137" s="4296" t="s">
        <v>5538</v>
      </c>
      <c r="C137" s="4296" t="s">
        <v>5519</v>
      </c>
      <c r="D137" s="4296" t="s">
        <v>4674</v>
      </c>
      <c r="E137" s="4297">
        <v>45.622023999999989</v>
      </c>
    </row>
    <row r="138" spans="2:5">
      <c r="B138" s="4296" t="s">
        <v>5540</v>
      </c>
      <c r="C138" s="4296" t="s">
        <v>5752</v>
      </c>
      <c r="D138" s="4296" t="s">
        <v>5753</v>
      </c>
      <c r="E138" s="4297">
        <v>45</v>
      </c>
    </row>
    <row r="139" spans="2:5">
      <c r="B139" s="4296" t="s">
        <v>5542</v>
      </c>
      <c r="C139" s="4296" t="s">
        <v>5495</v>
      </c>
      <c r="D139" s="4296" t="s">
        <v>4674</v>
      </c>
      <c r="E139" s="4297">
        <v>44.976407000000009</v>
      </c>
    </row>
    <row r="140" spans="2:5">
      <c r="B140" s="4296" t="s">
        <v>5544</v>
      </c>
      <c r="C140" s="4296" t="s">
        <v>5801</v>
      </c>
      <c r="D140" s="4296" t="s">
        <v>4674</v>
      </c>
      <c r="E140" s="4297">
        <v>44.63985799999999</v>
      </c>
    </row>
    <row r="141" spans="2:5">
      <c r="B141" s="4296" t="s">
        <v>5546</v>
      </c>
      <c r="C141" s="4296" t="s">
        <v>7065</v>
      </c>
      <c r="D141" s="4296" t="s">
        <v>4674</v>
      </c>
      <c r="E141" s="4297">
        <v>44.380769999999998</v>
      </c>
    </row>
    <row r="142" spans="2:5">
      <c r="B142" s="4296" t="s">
        <v>5548</v>
      </c>
      <c r="C142" s="4296" t="s">
        <v>7066</v>
      </c>
      <c r="D142" s="4296" t="s">
        <v>4674</v>
      </c>
      <c r="E142" s="4297">
        <v>43.929120000000005</v>
      </c>
    </row>
    <row r="143" spans="2:5">
      <c r="B143" s="4296" t="s">
        <v>5550</v>
      </c>
      <c r="C143" s="4296" t="s">
        <v>5499</v>
      </c>
      <c r="D143" s="4296" t="s">
        <v>4674</v>
      </c>
      <c r="E143" s="4297">
        <v>43.90676599999999</v>
      </c>
    </row>
    <row r="144" spans="2:5">
      <c r="B144" s="4296" t="s">
        <v>5552</v>
      </c>
      <c r="C144" s="4296" t="s">
        <v>7067</v>
      </c>
      <c r="D144" s="4296" t="s">
        <v>4674</v>
      </c>
      <c r="E144" s="4297">
        <v>42.532843000000007</v>
      </c>
    </row>
    <row r="145" spans="2:5">
      <c r="B145" s="4296" t="s">
        <v>5554</v>
      </c>
      <c r="C145" s="4296" t="s">
        <v>5677</v>
      </c>
      <c r="D145" s="4296" t="s">
        <v>4674</v>
      </c>
      <c r="E145" s="4297">
        <v>42.04391600000001</v>
      </c>
    </row>
    <row r="146" spans="2:5">
      <c r="B146" s="4296" t="s">
        <v>5556</v>
      </c>
      <c r="C146" s="4287" t="s">
        <v>5523</v>
      </c>
      <c r="D146" s="4287" t="s">
        <v>4674</v>
      </c>
      <c r="E146" s="4297">
        <v>41.686728000000002</v>
      </c>
    </row>
    <row r="147" spans="2:5">
      <c r="B147" s="4296" t="s">
        <v>5558</v>
      </c>
      <c r="C147" s="4296" t="s">
        <v>5813</v>
      </c>
      <c r="D147" s="4296" t="s">
        <v>4674</v>
      </c>
      <c r="E147" s="4297">
        <v>41.542780999999991</v>
      </c>
    </row>
    <row r="148" spans="2:5">
      <c r="B148" s="4296" t="s">
        <v>5560</v>
      </c>
      <c r="C148" s="4287" t="s">
        <v>5437</v>
      </c>
      <c r="D148" s="4287" t="s">
        <v>4674</v>
      </c>
      <c r="E148" s="4297">
        <v>41.10895</v>
      </c>
    </row>
    <row r="149" spans="2:5">
      <c r="B149" s="4296" t="s">
        <v>5562</v>
      </c>
      <c r="C149" s="4296" t="s">
        <v>7068</v>
      </c>
      <c r="D149" s="4296" t="s">
        <v>4674</v>
      </c>
      <c r="E149" s="4297">
        <v>40.693612999999992</v>
      </c>
    </row>
    <row r="150" spans="2:5">
      <c r="B150" s="4296" t="s">
        <v>5564</v>
      </c>
      <c r="C150" s="4296" t="s">
        <v>5591</v>
      </c>
      <c r="D150" s="4296" t="s">
        <v>4674</v>
      </c>
      <c r="E150" s="4297">
        <v>40.32762000000001</v>
      </c>
    </row>
    <row r="151" spans="2:5">
      <c r="B151" s="4296" t="s">
        <v>5566</v>
      </c>
      <c r="C151" s="4296" t="s">
        <v>5527</v>
      </c>
      <c r="D151" s="4296" t="s">
        <v>4674</v>
      </c>
      <c r="E151" s="4297">
        <v>40.277232000000005</v>
      </c>
    </row>
    <row r="152" spans="2:5">
      <c r="B152" s="4296" t="s">
        <v>5568</v>
      </c>
      <c r="C152" s="4287" t="s">
        <v>7069</v>
      </c>
      <c r="D152" s="4287" t="s">
        <v>4674</v>
      </c>
      <c r="E152" s="4297">
        <v>39.802368999999992</v>
      </c>
    </row>
    <row r="153" spans="2:5">
      <c r="B153" s="4296" t="s">
        <v>5570</v>
      </c>
      <c r="C153" s="4296" t="s">
        <v>7070</v>
      </c>
      <c r="D153" s="4296" t="s">
        <v>4674</v>
      </c>
      <c r="E153" s="4297">
        <v>39.194664000000003</v>
      </c>
    </row>
    <row r="154" spans="2:5">
      <c r="B154" s="4296" t="s">
        <v>5572</v>
      </c>
      <c r="C154" s="4296" t="s">
        <v>7071</v>
      </c>
      <c r="D154" s="4296" t="s">
        <v>4674</v>
      </c>
      <c r="E154" s="4297">
        <v>38.901989</v>
      </c>
    </row>
    <row r="155" spans="2:5">
      <c r="B155" s="4296" t="s">
        <v>5574</v>
      </c>
      <c r="C155" s="4287" t="s">
        <v>5330</v>
      </c>
      <c r="D155" s="4287" t="s">
        <v>4674</v>
      </c>
      <c r="E155" s="4297">
        <v>38.828955999999991</v>
      </c>
    </row>
    <row r="156" spans="2:5">
      <c r="B156" s="4296" t="s">
        <v>5576</v>
      </c>
      <c r="C156" s="4296" t="s">
        <v>5625</v>
      </c>
      <c r="D156" s="4296" t="s">
        <v>4674</v>
      </c>
      <c r="E156" s="4297">
        <v>38.578567000000007</v>
      </c>
    </row>
    <row r="157" spans="2:5">
      <c r="B157" s="4296" t="s">
        <v>5578</v>
      </c>
      <c r="C157" s="4296" t="s">
        <v>7072</v>
      </c>
      <c r="D157" s="4296" t="s">
        <v>4674</v>
      </c>
      <c r="E157" s="4297">
        <v>38.530774999999991</v>
      </c>
    </row>
    <row r="158" spans="2:5">
      <c r="B158" s="4296" t="s">
        <v>5580</v>
      </c>
      <c r="C158" s="4296" t="s">
        <v>7073</v>
      </c>
      <c r="D158" s="4296" t="s">
        <v>4674</v>
      </c>
      <c r="E158" s="4297">
        <v>38.169720000000005</v>
      </c>
    </row>
    <row r="159" spans="2:5">
      <c r="B159" s="4296" t="s">
        <v>5582</v>
      </c>
      <c r="C159" s="4287" t="s">
        <v>5316</v>
      </c>
      <c r="D159" s="4287" t="s">
        <v>4674</v>
      </c>
      <c r="E159" s="4297">
        <v>37.671680000000002</v>
      </c>
    </row>
    <row r="160" spans="2:5">
      <c r="B160" s="4296" t="s">
        <v>5584</v>
      </c>
      <c r="C160" s="4296" t="s">
        <v>7074</v>
      </c>
      <c r="D160" s="4296" t="s">
        <v>4674</v>
      </c>
      <c r="E160" s="4297">
        <v>37.337921999999999</v>
      </c>
    </row>
    <row r="161" spans="2:5">
      <c r="B161" s="4296" t="s">
        <v>5586</v>
      </c>
      <c r="C161" s="4296" t="s">
        <v>7075</v>
      </c>
      <c r="D161" s="4296" t="s">
        <v>4674</v>
      </c>
      <c r="E161" s="4297">
        <v>37.230325000000001</v>
      </c>
    </row>
    <row r="162" spans="2:5">
      <c r="B162" s="4296" t="s">
        <v>5588</v>
      </c>
      <c r="C162" s="4296" t="s">
        <v>7076</v>
      </c>
      <c r="D162" s="4296" t="s">
        <v>4674</v>
      </c>
      <c r="E162" s="4297">
        <v>37.228496</v>
      </c>
    </row>
    <row r="163" spans="2:5">
      <c r="B163" s="4296" t="s">
        <v>5590</v>
      </c>
      <c r="C163" s="4296" t="s">
        <v>5695</v>
      </c>
      <c r="D163" s="4296" t="s">
        <v>4674</v>
      </c>
      <c r="E163" s="4297">
        <v>37.176090000000002</v>
      </c>
    </row>
    <row r="164" spans="2:5">
      <c r="B164" s="4296" t="s">
        <v>5592</v>
      </c>
      <c r="C164" s="4287" t="s">
        <v>5391</v>
      </c>
      <c r="D164" s="4287" t="s">
        <v>4674</v>
      </c>
      <c r="E164" s="4297">
        <v>37.155120000000004</v>
      </c>
    </row>
    <row r="165" spans="2:5">
      <c r="B165" s="4296" t="s">
        <v>5594</v>
      </c>
      <c r="C165" s="4296" t="s">
        <v>7077</v>
      </c>
      <c r="D165" s="4296" t="s">
        <v>4674</v>
      </c>
      <c r="E165" s="4297">
        <v>37.108477000000001</v>
      </c>
    </row>
    <row r="166" spans="2:5">
      <c r="B166" s="4296" t="s">
        <v>5596</v>
      </c>
      <c r="C166" s="4296" t="s">
        <v>5535</v>
      </c>
      <c r="D166" s="4296" t="s">
        <v>4674</v>
      </c>
      <c r="E166" s="4297">
        <v>36.975359999999995</v>
      </c>
    </row>
    <row r="167" spans="2:5">
      <c r="B167" s="4296" t="s">
        <v>5598</v>
      </c>
      <c r="C167" s="4296" t="s">
        <v>7078</v>
      </c>
      <c r="D167" s="4296" t="s">
        <v>4674</v>
      </c>
      <c r="E167" s="4297">
        <v>36.770991000000002</v>
      </c>
    </row>
    <row r="168" spans="2:5">
      <c r="B168" s="4296" t="s">
        <v>5600</v>
      </c>
      <c r="C168" s="4296" t="s">
        <v>5549</v>
      </c>
      <c r="D168" s="4296" t="s">
        <v>4674</v>
      </c>
      <c r="E168" s="4297">
        <v>36.669733000000001</v>
      </c>
    </row>
    <row r="169" spans="2:5">
      <c r="B169" s="4296" t="s">
        <v>5602</v>
      </c>
      <c r="C169" s="4296" t="s">
        <v>7079</v>
      </c>
      <c r="D169" s="4296" t="s">
        <v>4674</v>
      </c>
      <c r="E169" s="4297">
        <v>36.395254000000001</v>
      </c>
    </row>
    <row r="170" spans="2:5">
      <c r="B170" s="4296" t="s">
        <v>5604</v>
      </c>
      <c r="C170" s="4296" t="s">
        <v>7080</v>
      </c>
      <c r="D170" s="4296" t="s">
        <v>4674</v>
      </c>
      <c r="E170" s="4297">
        <v>36.332157000000002</v>
      </c>
    </row>
    <row r="171" spans="2:5">
      <c r="B171" s="4296" t="s">
        <v>5606</v>
      </c>
      <c r="C171" s="4296" t="s">
        <v>5553</v>
      </c>
      <c r="D171" s="4296" t="s">
        <v>4674</v>
      </c>
      <c r="E171" s="4297">
        <v>35.89135799999999</v>
      </c>
    </row>
    <row r="172" spans="2:5">
      <c r="B172" s="4296" t="s">
        <v>5608</v>
      </c>
      <c r="C172" s="4296" t="s">
        <v>5481</v>
      </c>
      <c r="D172" s="4296" t="s">
        <v>4674</v>
      </c>
      <c r="E172" s="4297">
        <v>35.819919000000006</v>
      </c>
    </row>
    <row r="173" spans="2:5">
      <c r="B173" s="4296" t="s">
        <v>5610</v>
      </c>
      <c r="C173" s="4296" t="s">
        <v>7081</v>
      </c>
      <c r="D173" s="4296" t="s">
        <v>4674</v>
      </c>
      <c r="E173" s="4297">
        <v>35.573028000000001</v>
      </c>
    </row>
    <row r="174" spans="2:5">
      <c r="B174" s="4296" t="s">
        <v>5612</v>
      </c>
      <c r="C174" s="4287" t="s">
        <v>5565</v>
      </c>
      <c r="D174" s="4287" t="s">
        <v>4674</v>
      </c>
      <c r="E174" s="4297">
        <v>35.573028000000001</v>
      </c>
    </row>
    <row r="175" spans="2:5">
      <c r="B175" s="4296" t="s">
        <v>5614</v>
      </c>
      <c r="C175" s="4296" t="s">
        <v>7082</v>
      </c>
      <c r="D175" s="4296" t="s">
        <v>4674</v>
      </c>
      <c r="E175" s="4297">
        <v>35.4756</v>
      </c>
    </row>
    <row r="176" spans="2:5">
      <c r="B176" s="4296" t="s">
        <v>5616</v>
      </c>
      <c r="C176" s="4296" t="s">
        <v>5829</v>
      </c>
      <c r="D176" s="4296" t="s">
        <v>4674</v>
      </c>
      <c r="E176" s="4297">
        <v>35.041896000000001</v>
      </c>
    </row>
    <row r="177" spans="2:5">
      <c r="B177" s="4296" t="s">
        <v>5618</v>
      </c>
      <c r="C177" s="4296" t="s">
        <v>7083</v>
      </c>
      <c r="D177" s="4296" t="s">
        <v>4674</v>
      </c>
      <c r="E177" s="4297">
        <v>34.744410000000002</v>
      </c>
    </row>
    <row r="178" spans="2:5">
      <c r="B178" s="4296" t="s">
        <v>5620</v>
      </c>
      <c r="C178" s="4296" t="s">
        <v>5597</v>
      </c>
      <c r="D178" s="4296" t="s">
        <v>4674</v>
      </c>
      <c r="E178" s="4297">
        <v>34.592715000000005</v>
      </c>
    </row>
    <row r="179" spans="2:5">
      <c r="B179" s="4296" t="s">
        <v>5622</v>
      </c>
      <c r="C179" s="4296" t="s">
        <v>5485</v>
      </c>
      <c r="D179" s="4296" t="s">
        <v>4674</v>
      </c>
      <c r="E179" s="4297">
        <v>34.50059199999999</v>
      </c>
    </row>
    <row r="180" spans="2:5">
      <c r="B180" s="4296" t="s">
        <v>5624</v>
      </c>
      <c r="C180" s="4296" t="s">
        <v>5821</v>
      </c>
      <c r="D180" s="4296" t="s">
        <v>4674</v>
      </c>
      <c r="E180" s="4297">
        <v>34.378679000000005</v>
      </c>
    </row>
    <row r="181" spans="2:5">
      <c r="B181" s="4296" t="s">
        <v>5626</v>
      </c>
      <c r="C181" s="4287" t="s">
        <v>5603</v>
      </c>
      <c r="D181" s="4287" t="s">
        <v>4674</v>
      </c>
      <c r="E181" s="4297">
        <v>33.944118000000003</v>
      </c>
    </row>
    <row r="182" spans="2:5">
      <c r="B182" s="4296" t="s">
        <v>5628</v>
      </c>
      <c r="C182" s="4296" t="s">
        <v>5763</v>
      </c>
      <c r="D182" s="4296" t="s">
        <v>4674</v>
      </c>
      <c r="E182" s="4297">
        <v>33.908155000000008</v>
      </c>
    </row>
    <row r="183" spans="2:5">
      <c r="B183" s="4296" t="s">
        <v>5630</v>
      </c>
      <c r="C183" s="4296" t="s">
        <v>5377</v>
      </c>
      <c r="D183" s="4296" t="s">
        <v>4674</v>
      </c>
      <c r="E183" s="4297">
        <v>33.701052000000004</v>
      </c>
    </row>
    <row r="184" spans="2:5">
      <c r="B184" s="4296" t="s">
        <v>5632</v>
      </c>
      <c r="C184" s="4296" t="s">
        <v>5575</v>
      </c>
      <c r="D184" s="4296" t="s">
        <v>4674</v>
      </c>
      <c r="E184" s="4297">
        <v>33.660679999999999</v>
      </c>
    </row>
    <row r="185" spans="2:5">
      <c r="B185" s="4296" t="s">
        <v>5634</v>
      </c>
      <c r="C185" s="4296" t="s">
        <v>5947</v>
      </c>
      <c r="D185" s="4296" t="s">
        <v>4674</v>
      </c>
      <c r="E185" s="4297">
        <v>33.640257999999996</v>
      </c>
    </row>
    <row r="186" spans="2:5">
      <c r="B186" s="4296" t="s">
        <v>5636</v>
      </c>
      <c r="C186" s="4296" t="s">
        <v>7084</v>
      </c>
      <c r="D186" s="4296" t="s">
        <v>4674</v>
      </c>
      <c r="E186" s="4297">
        <v>32.993794999999999</v>
      </c>
    </row>
    <row r="187" spans="2:5">
      <c r="B187" s="4296" t="s">
        <v>5638</v>
      </c>
      <c r="C187" s="4296" t="s">
        <v>7085</v>
      </c>
      <c r="D187" s="4296" t="s">
        <v>4674</v>
      </c>
      <c r="E187" s="4297">
        <v>32.853621000000011</v>
      </c>
    </row>
    <row r="188" spans="2:5">
      <c r="B188" s="4296" t="s">
        <v>5640</v>
      </c>
      <c r="C188" s="4296" t="s">
        <v>7086</v>
      </c>
      <c r="D188" s="4296" t="s">
        <v>4674</v>
      </c>
      <c r="E188" s="4297">
        <v>32.788871999999998</v>
      </c>
    </row>
    <row r="189" spans="2:5">
      <c r="B189" s="4296" t="s">
        <v>5642</v>
      </c>
      <c r="C189" s="4296" t="s">
        <v>6035</v>
      </c>
      <c r="D189" s="4296" t="s">
        <v>4674</v>
      </c>
      <c r="E189" s="4297">
        <v>32.758553999999997</v>
      </c>
    </row>
    <row r="190" spans="2:5">
      <c r="B190" s="4296" t="s">
        <v>5644</v>
      </c>
      <c r="C190" s="4296" t="s">
        <v>5975</v>
      </c>
      <c r="D190" s="4296" t="s">
        <v>4674</v>
      </c>
      <c r="E190" s="4297">
        <v>32.494032000000004</v>
      </c>
    </row>
    <row r="191" spans="2:5">
      <c r="B191" s="4296" t="s">
        <v>5646</v>
      </c>
      <c r="C191" s="4296" t="s">
        <v>5705</v>
      </c>
      <c r="D191" s="4296" t="s">
        <v>4674</v>
      </c>
      <c r="E191" s="4297">
        <v>32.423745999999994</v>
      </c>
    </row>
    <row r="192" spans="2:5">
      <c r="B192" s="4296" t="s">
        <v>5648</v>
      </c>
      <c r="C192" s="4296" t="s">
        <v>7087</v>
      </c>
      <c r="D192" s="4296" t="s">
        <v>4674</v>
      </c>
      <c r="E192" s="4297">
        <v>32.075051999999999</v>
      </c>
    </row>
    <row r="193" spans="2:5">
      <c r="B193" s="4296" t="s">
        <v>5650</v>
      </c>
      <c r="C193" s="4287" t="s">
        <v>5629</v>
      </c>
      <c r="D193" s="4287" t="s">
        <v>4674</v>
      </c>
      <c r="E193" s="4297">
        <v>32.075051999999999</v>
      </c>
    </row>
    <row r="194" spans="2:5">
      <c r="B194" s="4296" t="s">
        <v>5652</v>
      </c>
      <c r="C194" s="4296" t="s">
        <v>7088</v>
      </c>
      <c r="D194" s="4296" t="s">
        <v>4674</v>
      </c>
      <c r="E194" s="4297">
        <v>31.806149999999999</v>
      </c>
    </row>
    <row r="195" spans="2:5">
      <c r="B195" s="4296" t="s">
        <v>5654</v>
      </c>
      <c r="C195" s="4287" t="s">
        <v>5290</v>
      </c>
      <c r="D195" s="4287" t="s">
        <v>4664</v>
      </c>
      <c r="E195" s="4297">
        <v>31.567799999999998</v>
      </c>
    </row>
    <row r="196" spans="2:5">
      <c r="B196" s="4296" t="s">
        <v>5656</v>
      </c>
      <c r="C196" s="4296" t="s">
        <v>7089</v>
      </c>
      <c r="D196" s="4296" t="s">
        <v>4674</v>
      </c>
      <c r="E196" s="4297">
        <v>31.544799999999999</v>
      </c>
    </row>
    <row r="197" spans="2:5">
      <c r="B197" s="4296" t="s">
        <v>5658</v>
      </c>
      <c r="C197" s="4296" t="s">
        <v>5631</v>
      </c>
      <c r="D197" s="4296" t="s">
        <v>4674</v>
      </c>
      <c r="E197" s="4297">
        <v>31.154495999999995</v>
      </c>
    </row>
    <row r="198" spans="2:5">
      <c r="B198" s="4296" t="s">
        <v>5660</v>
      </c>
      <c r="C198" s="4287" t="s">
        <v>5298</v>
      </c>
      <c r="D198" s="4287" t="s">
        <v>4674</v>
      </c>
      <c r="E198" s="4297">
        <v>30.999447999999997</v>
      </c>
    </row>
    <row r="199" spans="2:5">
      <c r="B199" s="4296" t="s">
        <v>5662</v>
      </c>
      <c r="C199" s="4296" t="s">
        <v>5489</v>
      </c>
      <c r="D199" s="4296" t="s">
        <v>4674</v>
      </c>
      <c r="E199" s="4297">
        <v>30.947080000000003</v>
      </c>
    </row>
    <row r="200" spans="2:5">
      <c r="B200" s="4296" t="s">
        <v>5664</v>
      </c>
      <c r="C200" s="4296" t="s">
        <v>7090</v>
      </c>
      <c r="D200" s="4296" t="s">
        <v>4674</v>
      </c>
      <c r="E200" s="4297">
        <v>30.776664000000007</v>
      </c>
    </row>
    <row r="201" spans="2:5">
      <c r="B201" s="4296" t="s">
        <v>5666</v>
      </c>
      <c r="C201" s="4296" t="s">
        <v>5589</v>
      </c>
      <c r="D201" s="4296" t="s">
        <v>4674</v>
      </c>
      <c r="E201" s="4297">
        <v>30.681005999999993</v>
      </c>
    </row>
    <row r="202" spans="2:5">
      <c r="B202" s="4296" t="s">
        <v>5668</v>
      </c>
      <c r="C202" s="4296" t="s">
        <v>6126</v>
      </c>
      <c r="D202" s="4296" t="s">
        <v>4674</v>
      </c>
      <c r="E202" s="4297">
        <v>30.67248</v>
      </c>
    </row>
    <row r="203" spans="2:5">
      <c r="B203" s="4296" t="s">
        <v>5670</v>
      </c>
      <c r="C203" s="4296" t="s">
        <v>7091</v>
      </c>
      <c r="D203" s="4296" t="s">
        <v>4674</v>
      </c>
      <c r="E203" s="4297">
        <v>30.627808000000002</v>
      </c>
    </row>
    <row r="204" spans="2:5">
      <c r="B204" s="4296" t="s">
        <v>5672</v>
      </c>
      <c r="C204" s="4287" t="s">
        <v>5312</v>
      </c>
      <c r="D204" s="4287" t="s">
        <v>4674</v>
      </c>
      <c r="E204" s="4297">
        <v>30.615871999999996</v>
      </c>
    </row>
    <row r="205" spans="2:5">
      <c r="B205" s="4296" t="s">
        <v>5674</v>
      </c>
      <c r="C205" s="4296" t="s">
        <v>5493</v>
      </c>
      <c r="D205" s="4296" t="s">
        <v>4674</v>
      </c>
      <c r="E205" s="4297">
        <v>30.535582000000005</v>
      </c>
    </row>
    <row r="206" spans="2:5">
      <c r="B206" s="4296" t="s">
        <v>5676</v>
      </c>
      <c r="C206" s="4296" t="s">
        <v>7092</v>
      </c>
      <c r="D206" s="4296" t="s">
        <v>4674</v>
      </c>
      <c r="E206" s="4297">
        <v>30.257259999999999</v>
      </c>
    </row>
    <row r="207" spans="2:5">
      <c r="B207" s="4296" t="s">
        <v>5678</v>
      </c>
      <c r="C207" s="4296" t="s">
        <v>7093</v>
      </c>
      <c r="D207" s="4296" t="s">
        <v>4674</v>
      </c>
      <c r="E207" s="4297">
        <v>30.082120999999997</v>
      </c>
    </row>
    <row r="208" spans="2:5">
      <c r="B208" s="4296" t="s">
        <v>5680</v>
      </c>
      <c r="C208" s="4296" t="s">
        <v>6964</v>
      </c>
      <c r="D208" s="4296" t="s">
        <v>4674</v>
      </c>
      <c r="E208" s="4297">
        <v>29.866103000000003</v>
      </c>
    </row>
    <row r="209" spans="2:5">
      <c r="B209" s="4296" t="s">
        <v>5682</v>
      </c>
      <c r="C209" s="4296" t="s">
        <v>5397</v>
      </c>
      <c r="D209" s="4296" t="s">
        <v>4674</v>
      </c>
      <c r="E209" s="4297">
        <v>29.859472999999998</v>
      </c>
    </row>
    <row r="210" spans="2:5">
      <c r="B210" s="4296" t="s">
        <v>5684</v>
      </c>
      <c r="C210" s="4287" t="s">
        <v>5413</v>
      </c>
      <c r="D210" s="4287" t="s">
        <v>4674</v>
      </c>
      <c r="E210" s="4297">
        <v>29.512938000000002</v>
      </c>
    </row>
    <row r="211" spans="2:5">
      <c r="B211" s="4296" t="s">
        <v>5686</v>
      </c>
      <c r="C211" s="4287" t="s">
        <v>5385</v>
      </c>
      <c r="D211" s="4287" t="s">
        <v>4674</v>
      </c>
      <c r="E211" s="4297">
        <v>29.443999999999999</v>
      </c>
    </row>
    <row r="212" spans="2:5">
      <c r="B212" s="4296" t="s">
        <v>5688</v>
      </c>
      <c r="C212" s="4296" t="s">
        <v>7094</v>
      </c>
      <c r="D212" s="4296" t="s">
        <v>4674</v>
      </c>
      <c r="E212" s="4297">
        <v>29.269103999999999</v>
      </c>
    </row>
    <row r="213" spans="2:5">
      <c r="B213" s="4296" t="s">
        <v>5690</v>
      </c>
      <c r="C213" s="4287" t="s">
        <v>5667</v>
      </c>
      <c r="D213" s="4287" t="s">
        <v>4674</v>
      </c>
      <c r="E213" s="4297">
        <v>29.269103999999999</v>
      </c>
    </row>
    <row r="214" spans="2:5">
      <c r="B214" s="4296" t="s">
        <v>5692</v>
      </c>
      <c r="C214" s="4287" t="s">
        <v>5531</v>
      </c>
      <c r="D214" s="4287" t="s">
        <v>4674</v>
      </c>
      <c r="E214" s="4297">
        <v>29.069949999999999</v>
      </c>
    </row>
    <row r="215" spans="2:5">
      <c r="B215" s="4296" t="s">
        <v>5694</v>
      </c>
      <c r="C215" s="4296" t="s">
        <v>6222</v>
      </c>
      <c r="D215" s="4296" t="s">
        <v>4674</v>
      </c>
      <c r="E215" s="4297">
        <v>29.067143999999999</v>
      </c>
    </row>
    <row r="216" spans="2:5">
      <c r="B216" s="4296" t="s">
        <v>5696</v>
      </c>
      <c r="C216" s="4296" t="s">
        <v>7095</v>
      </c>
      <c r="D216" s="4296" t="s">
        <v>4674</v>
      </c>
      <c r="E216" s="4297">
        <v>28.653519999999997</v>
      </c>
    </row>
    <row r="217" spans="2:5">
      <c r="B217" s="4296" t="s">
        <v>5698</v>
      </c>
      <c r="C217" s="4296" t="s">
        <v>7096</v>
      </c>
      <c r="D217" s="4296" t="s">
        <v>4674</v>
      </c>
      <c r="E217" s="4297">
        <v>28.538650000000001</v>
      </c>
    </row>
    <row r="218" spans="2:5">
      <c r="B218" s="4296" t="s">
        <v>5700</v>
      </c>
      <c r="C218" s="4296" t="s">
        <v>5663</v>
      </c>
      <c r="D218" s="4296" t="s">
        <v>4674</v>
      </c>
      <c r="E218" s="4297">
        <v>28.499472000000004</v>
      </c>
    </row>
    <row r="219" spans="2:5">
      <c r="B219" s="4296" t="s">
        <v>5702</v>
      </c>
      <c r="C219" s="4287" t="s">
        <v>5328</v>
      </c>
      <c r="D219" s="4287" t="s">
        <v>4674</v>
      </c>
      <c r="E219" s="4297">
        <v>28.408200000000001</v>
      </c>
    </row>
    <row r="220" spans="2:5">
      <c r="B220" s="4296" t="s">
        <v>5704</v>
      </c>
      <c r="C220" s="4296" t="s">
        <v>6158</v>
      </c>
      <c r="D220" s="4296" t="s">
        <v>4674</v>
      </c>
      <c r="E220" s="4297">
        <v>28.034659999999999</v>
      </c>
    </row>
    <row r="221" spans="2:5">
      <c r="B221" s="4296" t="s">
        <v>5706</v>
      </c>
      <c r="C221" s="4296" t="s">
        <v>7097</v>
      </c>
      <c r="D221" s="4296" t="s">
        <v>4674</v>
      </c>
      <c r="E221" s="4297">
        <v>28.004849000000004</v>
      </c>
    </row>
    <row r="222" spans="2:5">
      <c r="B222" s="4296" t="s">
        <v>5708</v>
      </c>
      <c r="C222" s="4296" t="s">
        <v>7098</v>
      </c>
      <c r="D222" s="4296" t="s">
        <v>4674</v>
      </c>
      <c r="E222" s="4297">
        <v>27.871664000000003</v>
      </c>
    </row>
    <row r="223" spans="2:5">
      <c r="B223" s="4296" t="s">
        <v>5710</v>
      </c>
      <c r="C223" s="4296" t="s">
        <v>5805</v>
      </c>
      <c r="D223" s="4296" t="s">
        <v>4674</v>
      </c>
      <c r="E223" s="4297">
        <v>27.797599999999999</v>
      </c>
    </row>
    <row r="224" spans="2:5">
      <c r="B224" s="4296" t="s">
        <v>5712</v>
      </c>
      <c r="C224" s="4296" t="s">
        <v>5730</v>
      </c>
      <c r="D224" s="4296" t="s">
        <v>4674</v>
      </c>
      <c r="E224" s="4297">
        <v>27.730452000000003</v>
      </c>
    </row>
    <row r="225" spans="2:5">
      <c r="B225" s="4296" t="s">
        <v>5714</v>
      </c>
      <c r="C225" s="4296" t="s">
        <v>7099</v>
      </c>
      <c r="D225" s="4296" t="s">
        <v>4674</v>
      </c>
      <c r="E225" s="4297">
        <v>27.430116999999999</v>
      </c>
    </row>
    <row r="226" spans="2:5">
      <c r="B226" s="4296" t="s">
        <v>5716</v>
      </c>
      <c r="C226" s="4296" t="s">
        <v>5825</v>
      </c>
      <c r="D226" s="4296" t="s">
        <v>4674</v>
      </c>
      <c r="E226" s="4297">
        <v>27.331295000000008</v>
      </c>
    </row>
    <row r="227" spans="2:5">
      <c r="B227" s="4296" t="s">
        <v>5718</v>
      </c>
      <c r="C227" s="4287" t="s">
        <v>5459</v>
      </c>
      <c r="D227" s="4287" t="s">
        <v>4674</v>
      </c>
      <c r="E227" s="4297">
        <v>27.226740000000007</v>
      </c>
    </row>
    <row r="228" spans="2:5">
      <c r="B228" s="4296" t="s">
        <v>5720</v>
      </c>
      <c r="C228" s="4287" t="s">
        <v>5351</v>
      </c>
      <c r="D228" s="4287" t="s">
        <v>4674</v>
      </c>
      <c r="E228" s="4297">
        <v>26.487660000000002</v>
      </c>
    </row>
    <row r="229" spans="2:5">
      <c r="B229" s="4296" t="s">
        <v>5722</v>
      </c>
      <c r="C229" s="4296" t="s">
        <v>7100</v>
      </c>
      <c r="D229" s="4296" t="s">
        <v>4674</v>
      </c>
      <c r="E229" s="4297">
        <v>26.160912999999994</v>
      </c>
    </row>
    <row r="230" spans="2:5">
      <c r="B230" s="4296" t="s">
        <v>5724</v>
      </c>
      <c r="C230" s="4296" t="s">
        <v>7101</v>
      </c>
      <c r="D230" s="4296" t="s">
        <v>4674</v>
      </c>
      <c r="E230" s="4297">
        <v>25.821119999999997</v>
      </c>
    </row>
    <row r="231" spans="2:5">
      <c r="B231" s="4296" t="s">
        <v>5725</v>
      </c>
      <c r="C231" s="4296" t="s">
        <v>7102</v>
      </c>
      <c r="D231" s="4296" t="s">
        <v>4674</v>
      </c>
      <c r="E231" s="4297">
        <v>25.524799999999999</v>
      </c>
    </row>
    <row r="232" spans="2:5">
      <c r="B232" s="4296" t="s">
        <v>5727</v>
      </c>
      <c r="C232" s="4296" t="s">
        <v>7103</v>
      </c>
      <c r="D232" s="4296" t="s">
        <v>4674</v>
      </c>
      <c r="E232" s="4297">
        <v>25.443840999999995</v>
      </c>
    </row>
    <row r="233" spans="2:5">
      <c r="B233" s="4296" t="s">
        <v>5729</v>
      </c>
      <c r="C233" s="4287" t="s">
        <v>5282</v>
      </c>
      <c r="D233" s="4287" t="s">
        <v>4674</v>
      </c>
      <c r="E233" s="4297">
        <v>25.343327999999996</v>
      </c>
    </row>
    <row r="234" spans="2:5">
      <c r="B234" s="4296" t="s">
        <v>5731</v>
      </c>
      <c r="C234" s="4296" t="s">
        <v>7104</v>
      </c>
      <c r="D234" s="4296" t="s">
        <v>4674</v>
      </c>
      <c r="E234" s="4297">
        <v>25.283495999999996</v>
      </c>
    </row>
    <row r="235" spans="2:5">
      <c r="B235" s="4296" t="s">
        <v>5733</v>
      </c>
      <c r="C235" s="4296" t="s">
        <v>6041</v>
      </c>
      <c r="D235" s="4296" t="s">
        <v>4674</v>
      </c>
      <c r="E235" s="4297">
        <v>25.134887999999993</v>
      </c>
    </row>
    <row r="236" spans="2:5">
      <c r="B236" s="4296" t="s">
        <v>5735</v>
      </c>
      <c r="C236" s="4296" t="s">
        <v>7105</v>
      </c>
      <c r="D236" s="4296" t="s">
        <v>4897</v>
      </c>
      <c r="E236" s="4297">
        <v>24.993334000000001</v>
      </c>
    </row>
    <row r="237" spans="2:5">
      <c r="B237" s="4296" t="s">
        <v>5737</v>
      </c>
      <c r="C237" s="4296" t="s">
        <v>7106</v>
      </c>
      <c r="D237" s="4296" t="s">
        <v>4674</v>
      </c>
      <c r="E237" s="4297">
        <v>24.879071999999997</v>
      </c>
    </row>
    <row r="238" spans="2:5">
      <c r="B238" s="4296" t="s">
        <v>5739</v>
      </c>
      <c r="C238" s="4287" t="s">
        <v>5395</v>
      </c>
      <c r="D238" s="4287" t="s">
        <v>4674</v>
      </c>
      <c r="E238" s="4297">
        <v>24.661709999999999</v>
      </c>
    </row>
    <row r="239" spans="2:5">
      <c r="B239" s="4296" t="s">
        <v>5741</v>
      </c>
      <c r="C239" s="4296" t="s">
        <v>7107</v>
      </c>
      <c r="D239" s="4296" t="s">
        <v>4674</v>
      </c>
      <c r="E239" s="4297">
        <v>24.477242999999998</v>
      </c>
    </row>
    <row r="240" spans="2:5">
      <c r="B240" s="4296" t="s">
        <v>5743</v>
      </c>
      <c r="C240" s="4296" t="s">
        <v>7108</v>
      </c>
      <c r="D240" s="4296" t="s">
        <v>4674</v>
      </c>
      <c r="E240" s="4297">
        <v>23.975933000000001</v>
      </c>
    </row>
    <row r="241" spans="2:5">
      <c r="B241" s="4296" t="s">
        <v>5745</v>
      </c>
      <c r="C241" s="4296" t="s">
        <v>7109</v>
      </c>
      <c r="D241" s="4296" t="s">
        <v>4674</v>
      </c>
      <c r="E241" s="4297">
        <v>23.892480000000003</v>
      </c>
    </row>
    <row r="242" spans="2:5">
      <c r="B242" s="4296" t="s">
        <v>5747</v>
      </c>
      <c r="C242" s="4287" t="s">
        <v>5361</v>
      </c>
      <c r="D242" s="4287" t="s">
        <v>4674</v>
      </c>
      <c r="E242" s="4297">
        <v>23.882945000000003</v>
      </c>
    </row>
    <row r="243" spans="2:5">
      <c r="B243" s="4296" t="s">
        <v>5749</v>
      </c>
      <c r="C243" s="4296" t="s">
        <v>7110</v>
      </c>
      <c r="D243" s="4296" t="s">
        <v>4674</v>
      </c>
      <c r="E243" s="4297">
        <v>23.261099999999995</v>
      </c>
    </row>
    <row r="244" spans="2:5">
      <c r="B244" s="4296" t="s">
        <v>5751</v>
      </c>
      <c r="C244" s="4296" t="s">
        <v>7111</v>
      </c>
      <c r="D244" s="4296" t="s">
        <v>4674</v>
      </c>
      <c r="E244" s="4297">
        <v>23.255959999999998</v>
      </c>
    </row>
    <row r="245" spans="2:5">
      <c r="B245" s="4296" t="s">
        <v>5754</v>
      </c>
      <c r="C245" s="4287" t="s">
        <v>5369</v>
      </c>
      <c r="D245" s="4287" t="s">
        <v>4674</v>
      </c>
      <c r="E245" s="4297">
        <v>23.202890000000004</v>
      </c>
    </row>
    <row r="246" spans="2:5">
      <c r="B246" s="4296" t="s">
        <v>5756</v>
      </c>
      <c r="C246" s="4296" t="s">
        <v>7112</v>
      </c>
      <c r="D246" s="4296" t="s">
        <v>4674</v>
      </c>
      <c r="E246" s="4297">
        <v>23.173648999999994</v>
      </c>
    </row>
    <row r="247" spans="2:5">
      <c r="B247" s="4296" t="s">
        <v>5758</v>
      </c>
      <c r="C247" s="4296" t="s">
        <v>6062</v>
      </c>
      <c r="D247" s="4296" t="s">
        <v>4674</v>
      </c>
      <c r="E247" s="4297">
        <v>22.808303999999996</v>
      </c>
    </row>
    <row r="248" spans="2:5">
      <c r="B248" s="4296" t="s">
        <v>5760</v>
      </c>
      <c r="C248" s="4287" t="s">
        <v>5318</v>
      </c>
      <c r="D248" s="4287" t="s">
        <v>4674</v>
      </c>
      <c r="E248" s="4297">
        <v>22.807487999999999</v>
      </c>
    </row>
    <row r="249" spans="2:5">
      <c r="B249" s="4296" t="s">
        <v>5762</v>
      </c>
      <c r="C249" s="4287" t="s">
        <v>5775</v>
      </c>
      <c r="D249" s="4287" t="s">
        <v>4674</v>
      </c>
      <c r="E249" s="4297">
        <v>22.804144000000001</v>
      </c>
    </row>
    <row r="250" spans="2:5">
      <c r="B250" s="4296" t="s">
        <v>5764</v>
      </c>
      <c r="C250" s="4287" t="s">
        <v>5599</v>
      </c>
      <c r="D250" s="4287" t="s">
        <v>4674</v>
      </c>
      <c r="E250" s="4297">
        <v>22.761507000000002</v>
      </c>
    </row>
    <row r="251" spans="2:5">
      <c r="B251" s="4296" t="s">
        <v>5766</v>
      </c>
      <c r="C251" s="4296" t="s">
        <v>6468</v>
      </c>
      <c r="D251" s="4296" t="s">
        <v>4674</v>
      </c>
      <c r="E251" s="4297">
        <v>22.614210000000003</v>
      </c>
    </row>
    <row r="252" spans="2:5">
      <c r="B252" s="4296" t="s">
        <v>5768</v>
      </c>
      <c r="C252" s="4296" t="s">
        <v>5711</v>
      </c>
      <c r="D252" s="4296" t="s">
        <v>4674</v>
      </c>
      <c r="E252" s="4297">
        <v>22.573071999999993</v>
      </c>
    </row>
    <row r="253" spans="2:5">
      <c r="B253" s="4296" t="s">
        <v>5770</v>
      </c>
      <c r="C253" s="4296" t="s">
        <v>7113</v>
      </c>
      <c r="D253" s="4296" t="s">
        <v>4674</v>
      </c>
      <c r="E253" s="4297">
        <v>22.569840000000003</v>
      </c>
    </row>
    <row r="254" spans="2:5">
      <c r="B254" s="4296" t="s">
        <v>5772</v>
      </c>
      <c r="C254" s="4287" t="s">
        <v>5641</v>
      </c>
      <c r="D254" s="4287" t="s">
        <v>4674</v>
      </c>
      <c r="E254" s="4297">
        <v>22.372990999999999</v>
      </c>
    </row>
    <row r="255" spans="2:5">
      <c r="B255" s="4296" t="s">
        <v>5774</v>
      </c>
      <c r="C255" s="4296" t="s">
        <v>7114</v>
      </c>
      <c r="D255" s="4296" t="s">
        <v>4674</v>
      </c>
      <c r="E255" s="4297">
        <v>22.209918000000002</v>
      </c>
    </row>
    <row r="256" spans="2:5">
      <c r="B256" s="4296" t="s">
        <v>5776</v>
      </c>
      <c r="C256" s="4296" t="s">
        <v>7115</v>
      </c>
      <c r="D256" s="4296" t="s">
        <v>4674</v>
      </c>
      <c r="E256" s="4297">
        <v>21.911999999999999</v>
      </c>
    </row>
    <row r="257" spans="2:5">
      <c r="B257" s="4296" t="s">
        <v>5778</v>
      </c>
      <c r="C257" s="4287" t="s">
        <v>5999</v>
      </c>
      <c r="D257" s="4287" t="s">
        <v>4674</v>
      </c>
      <c r="E257" s="4297">
        <v>21.697638999999999</v>
      </c>
    </row>
    <row r="258" spans="2:5">
      <c r="B258" s="4296" t="s">
        <v>5780</v>
      </c>
      <c r="C258" s="4296" t="s">
        <v>5773</v>
      </c>
      <c r="D258" s="4296" t="s">
        <v>4897</v>
      </c>
      <c r="E258" s="4297">
        <v>21.482068000000005</v>
      </c>
    </row>
    <row r="259" spans="2:5">
      <c r="B259" s="4296" t="s">
        <v>5782</v>
      </c>
      <c r="C259" s="4287" t="s">
        <v>5845</v>
      </c>
      <c r="D259" s="4287" t="s">
        <v>4674</v>
      </c>
      <c r="E259" s="4297">
        <v>21.436560000000004</v>
      </c>
    </row>
    <row r="260" spans="2:5">
      <c r="B260" s="4296" t="s">
        <v>5784</v>
      </c>
      <c r="C260" s="4287" t="s">
        <v>5387</v>
      </c>
      <c r="D260" s="4287" t="s">
        <v>4674</v>
      </c>
      <c r="E260" s="4297">
        <v>21.138963999999998</v>
      </c>
    </row>
    <row r="261" spans="2:5">
      <c r="B261" s="4296" t="s">
        <v>5786</v>
      </c>
      <c r="C261" s="4296" t="s">
        <v>7116</v>
      </c>
      <c r="D261" s="4296" t="s">
        <v>4674</v>
      </c>
      <c r="E261" s="4297">
        <v>21.090008000000001</v>
      </c>
    </row>
    <row r="262" spans="2:5">
      <c r="B262" s="4296" t="s">
        <v>5788</v>
      </c>
      <c r="C262" s="4296" t="s">
        <v>7117</v>
      </c>
      <c r="D262" s="4296" t="s">
        <v>4674</v>
      </c>
      <c r="E262" s="4297">
        <v>20.7712</v>
      </c>
    </row>
    <row r="263" spans="2:5">
      <c r="B263" s="4296" t="s">
        <v>5790</v>
      </c>
      <c r="C263" s="4296" t="s">
        <v>7118</v>
      </c>
      <c r="D263" s="4296" t="s">
        <v>4674</v>
      </c>
      <c r="E263" s="4297">
        <v>20.562008000000002</v>
      </c>
    </row>
    <row r="264" spans="2:5">
      <c r="B264" s="4296" t="s">
        <v>5792</v>
      </c>
      <c r="C264" s="4296" t="s">
        <v>7119</v>
      </c>
      <c r="D264" s="4296" t="s">
        <v>4674</v>
      </c>
      <c r="E264" s="4297">
        <v>20.486319999999999</v>
      </c>
    </row>
    <row r="265" spans="2:5">
      <c r="B265" s="4296" t="s">
        <v>5794</v>
      </c>
      <c r="C265" s="4296" t="s">
        <v>7120</v>
      </c>
      <c r="D265" s="4296" t="s">
        <v>4674</v>
      </c>
      <c r="E265" s="4297">
        <v>20.419187999999998</v>
      </c>
    </row>
    <row r="266" spans="2:5">
      <c r="B266" s="4296" t="s">
        <v>5796</v>
      </c>
      <c r="C266" s="4296" t="s">
        <v>7121</v>
      </c>
      <c r="D266" s="4296" t="s">
        <v>4674</v>
      </c>
      <c r="E266" s="4297">
        <v>20.177855999999998</v>
      </c>
    </row>
    <row r="267" spans="2:5">
      <c r="B267" s="4296" t="s">
        <v>5798</v>
      </c>
      <c r="C267" s="4296" t="s">
        <v>5871</v>
      </c>
      <c r="D267" s="4296" t="s">
        <v>4674</v>
      </c>
      <c r="E267" s="4297">
        <v>20.142303999999999</v>
      </c>
    </row>
    <row r="268" spans="2:5">
      <c r="B268" s="4296" t="s">
        <v>5800</v>
      </c>
      <c r="C268" s="4296" t="s">
        <v>5613</v>
      </c>
      <c r="D268" s="4296" t="s">
        <v>4674</v>
      </c>
      <c r="E268" s="4297">
        <v>19.791691000000004</v>
      </c>
    </row>
    <row r="269" spans="2:5">
      <c r="B269" s="4296" t="s">
        <v>5802</v>
      </c>
      <c r="C269" s="4296" t="s">
        <v>7122</v>
      </c>
      <c r="D269" s="4296" t="s">
        <v>4674</v>
      </c>
      <c r="E269" s="4297">
        <v>19.648221000000003</v>
      </c>
    </row>
    <row r="270" spans="2:5">
      <c r="B270" s="4296" t="s">
        <v>5804</v>
      </c>
      <c r="C270" s="4287" t="s">
        <v>5347</v>
      </c>
      <c r="D270" s="4287" t="s">
        <v>4674</v>
      </c>
      <c r="E270" s="4297">
        <v>19.399363000000005</v>
      </c>
    </row>
    <row r="271" spans="2:5">
      <c r="B271" s="4296" t="s">
        <v>5806</v>
      </c>
      <c r="C271" s="4296" t="s">
        <v>7123</v>
      </c>
      <c r="D271" s="4296" t="s">
        <v>4674</v>
      </c>
      <c r="E271" s="4297">
        <v>19.269427</v>
      </c>
    </row>
    <row r="272" spans="2:5">
      <c r="B272" s="4296" t="s">
        <v>5808</v>
      </c>
      <c r="C272" s="4296" t="s">
        <v>5877</v>
      </c>
      <c r="D272" s="4296" t="s">
        <v>4674</v>
      </c>
      <c r="E272" s="4297">
        <v>19.149002999999997</v>
      </c>
    </row>
    <row r="273" spans="2:5">
      <c r="B273" s="4296" t="s">
        <v>5810</v>
      </c>
      <c r="C273" s="4296" t="s">
        <v>7124</v>
      </c>
      <c r="D273" s="4296" t="s">
        <v>4674</v>
      </c>
      <c r="E273" s="4297">
        <v>19.136574999999997</v>
      </c>
    </row>
    <row r="274" spans="2:5">
      <c r="B274" s="4296" t="s">
        <v>5812</v>
      </c>
      <c r="C274" s="4296" t="s">
        <v>7125</v>
      </c>
      <c r="D274" s="4296" t="s">
        <v>4674</v>
      </c>
      <c r="E274" s="4297">
        <v>18.818632000000001</v>
      </c>
    </row>
    <row r="275" spans="2:5">
      <c r="B275" s="4296" t="s">
        <v>5814</v>
      </c>
      <c r="C275" s="4287" t="s">
        <v>5693</v>
      </c>
      <c r="D275" s="4287" t="s">
        <v>4674</v>
      </c>
      <c r="E275" s="4297">
        <v>18.715153000000001</v>
      </c>
    </row>
    <row r="276" spans="2:5">
      <c r="B276" s="4296" t="s">
        <v>5816</v>
      </c>
      <c r="C276" s="4296" t="s">
        <v>5659</v>
      </c>
      <c r="D276" s="4296" t="s">
        <v>4674</v>
      </c>
      <c r="E276" s="4297">
        <v>18.598696</v>
      </c>
    </row>
    <row r="277" spans="2:5">
      <c r="B277" s="4296" t="s">
        <v>5818</v>
      </c>
      <c r="C277" s="4296" t="s">
        <v>6082</v>
      </c>
      <c r="D277" s="4296" t="s">
        <v>4674</v>
      </c>
      <c r="E277" s="4297">
        <v>18.225148000000004</v>
      </c>
    </row>
    <row r="278" spans="2:5">
      <c r="B278" s="4296" t="s">
        <v>5820</v>
      </c>
      <c r="C278" s="4296" t="s">
        <v>7126</v>
      </c>
      <c r="D278" s="4296" t="s">
        <v>4674</v>
      </c>
      <c r="E278" s="4297">
        <v>18.187282</v>
      </c>
    </row>
    <row r="279" spans="2:5">
      <c r="B279" s="4296" t="s">
        <v>5822</v>
      </c>
      <c r="C279" s="4287" t="s">
        <v>5425</v>
      </c>
      <c r="D279" s="4287" t="s">
        <v>4674</v>
      </c>
      <c r="E279" s="4297">
        <v>18.109213000000004</v>
      </c>
    </row>
    <row r="280" spans="2:5">
      <c r="B280" s="4296" t="s">
        <v>5824</v>
      </c>
      <c r="C280" s="4296" t="s">
        <v>7127</v>
      </c>
      <c r="D280" s="4296" t="s">
        <v>4674</v>
      </c>
      <c r="E280" s="4297">
        <v>18.061631999999999</v>
      </c>
    </row>
    <row r="281" spans="2:5">
      <c r="B281" s="4296" t="s">
        <v>5826</v>
      </c>
      <c r="C281" s="4296" t="s">
        <v>7128</v>
      </c>
      <c r="D281" s="4296" t="s">
        <v>4674</v>
      </c>
      <c r="E281" s="4297">
        <v>17.7804</v>
      </c>
    </row>
    <row r="282" spans="2:5">
      <c r="B282" s="4296" t="s">
        <v>5828</v>
      </c>
      <c r="C282" s="4296" t="s">
        <v>7129</v>
      </c>
      <c r="D282" s="4296" t="s">
        <v>4674</v>
      </c>
      <c r="E282" s="4297">
        <v>17.628406999999999</v>
      </c>
    </row>
    <row r="283" spans="2:5">
      <c r="B283" s="4296" t="s">
        <v>5830</v>
      </c>
      <c r="C283" s="4287" t="s">
        <v>5429</v>
      </c>
      <c r="D283" s="4287" t="s">
        <v>4674</v>
      </c>
      <c r="E283" s="4297">
        <v>17.566949999999999</v>
      </c>
    </row>
    <row r="284" spans="2:5">
      <c r="B284" s="4296" t="s">
        <v>5832</v>
      </c>
      <c r="C284" s="4287" t="s">
        <v>5726</v>
      </c>
      <c r="D284" s="4287" t="s">
        <v>4674</v>
      </c>
      <c r="E284" s="4297">
        <v>17.483745000000003</v>
      </c>
    </row>
    <row r="285" spans="2:5">
      <c r="B285" s="4296" t="s">
        <v>5834</v>
      </c>
      <c r="C285" s="4296" t="s">
        <v>7130</v>
      </c>
      <c r="D285" s="4296" t="s">
        <v>4674</v>
      </c>
      <c r="E285" s="4297">
        <v>17.441969999999998</v>
      </c>
    </row>
    <row r="286" spans="2:5">
      <c r="B286" s="4296" t="s">
        <v>5836</v>
      </c>
      <c r="C286" s="4287" t="s">
        <v>5736</v>
      </c>
      <c r="D286" s="4287" t="s">
        <v>4674</v>
      </c>
      <c r="E286" s="4297">
        <v>17.279274999999998</v>
      </c>
    </row>
    <row r="287" spans="2:5">
      <c r="B287" s="4296" t="s">
        <v>5838</v>
      </c>
      <c r="C287" s="4296" t="s">
        <v>7131</v>
      </c>
      <c r="D287" s="4296" t="s">
        <v>4674</v>
      </c>
      <c r="E287" s="4297">
        <v>17.246572</v>
      </c>
    </row>
    <row r="288" spans="2:5">
      <c r="B288" s="4296" t="s">
        <v>5840</v>
      </c>
      <c r="C288" s="4296" t="s">
        <v>6238</v>
      </c>
      <c r="D288" s="4296" t="s">
        <v>4674</v>
      </c>
      <c r="E288" s="4297">
        <v>16.990063999999997</v>
      </c>
    </row>
    <row r="289" spans="2:5">
      <c r="B289" s="4296" t="s">
        <v>5842</v>
      </c>
      <c r="C289" s="4287" t="s">
        <v>5431</v>
      </c>
      <c r="D289" s="4287" t="s">
        <v>4674</v>
      </c>
      <c r="E289" s="4297">
        <v>16.973125</v>
      </c>
    </row>
    <row r="290" spans="2:5">
      <c r="B290" s="4296" t="s">
        <v>5844</v>
      </c>
      <c r="C290" s="4287" t="s">
        <v>5569</v>
      </c>
      <c r="D290" s="4287" t="s">
        <v>4674</v>
      </c>
      <c r="E290" s="4297">
        <v>16.881559999999997</v>
      </c>
    </row>
    <row r="291" spans="2:5">
      <c r="B291" s="4296" t="s">
        <v>5846</v>
      </c>
      <c r="C291" s="4287" t="s">
        <v>5515</v>
      </c>
      <c r="D291" s="4287" t="s">
        <v>4674</v>
      </c>
      <c r="E291" s="4297">
        <v>16.641500000000001</v>
      </c>
    </row>
    <row r="292" spans="2:5">
      <c r="B292" s="4296" t="s">
        <v>5848</v>
      </c>
      <c r="C292" s="4296" t="s">
        <v>5987</v>
      </c>
      <c r="D292" s="4296" t="s">
        <v>4674</v>
      </c>
      <c r="E292" s="4297">
        <v>16.595630000000003</v>
      </c>
    </row>
    <row r="293" spans="2:5">
      <c r="B293" s="4296" t="s">
        <v>5850</v>
      </c>
      <c r="C293" s="4287" t="s">
        <v>5427</v>
      </c>
      <c r="D293" s="4287" t="s">
        <v>4674</v>
      </c>
      <c r="E293" s="4297">
        <v>16.592614000000001</v>
      </c>
    </row>
    <row r="294" spans="2:5">
      <c r="B294" s="4296" t="s">
        <v>5852</v>
      </c>
      <c r="C294" s="4287" t="s">
        <v>5529</v>
      </c>
      <c r="D294" s="4287" t="s">
        <v>4674</v>
      </c>
      <c r="E294" s="4297">
        <v>16.490870000000001</v>
      </c>
    </row>
    <row r="295" spans="2:5">
      <c r="B295" s="4296" t="s">
        <v>5854</v>
      </c>
      <c r="C295" s="4296" t="s">
        <v>6052</v>
      </c>
      <c r="D295" s="4296" t="s">
        <v>4674</v>
      </c>
      <c r="E295" s="4297">
        <v>16.30592</v>
      </c>
    </row>
    <row r="296" spans="2:5">
      <c r="B296" s="4296" t="s">
        <v>5856</v>
      </c>
      <c r="C296" s="4296" t="s">
        <v>7132</v>
      </c>
      <c r="D296" s="4296" t="s">
        <v>4674</v>
      </c>
      <c r="E296" s="4297">
        <v>16.244896000000001</v>
      </c>
    </row>
    <row r="297" spans="2:5">
      <c r="B297" s="4296" t="s">
        <v>5858</v>
      </c>
      <c r="C297" s="4287" t="s">
        <v>5923</v>
      </c>
      <c r="D297" s="4287" t="s">
        <v>4674</v>
      </c>
      <c r="E297" s="4297">
        <v>15.660479999999998</v>
      </c>
    </row>
    <row r="298" spans="2:5">
      <c r="B298" s="4296" t="s">
        <v>5860</v>
      </c>
      <c r="C298" s="4296" t="s">
        <v>7133</v>
      </c>
      <c r="D298" s="4296" t="s">
        <v>4674</v>
      </c>
      <c r="E298" s="4297">
        <v>15.42193</v>
      </c>
    </row>
    <row r="299" spans="2:5">
      <c r="B299" s="4296" t="s">
        <v>5862</v>
      </c>
      <c r="C299" s="4287" t="s">
        <v>5383</v>
      </c>
      <c r="D299" s="4287" t="s">
        <v>4674</v>
      </c>
      <c r="E299" s="4297">
        <v>15.096553000000004</v>
      </c>
    </row>
    <row r="300" spans="2:5">
      <c r="B300" s="4296" t="s">
        <v>5864</v>
      </c>
      <c r="C300" s="4287" t="s">
        <v>5503</v>
      </c>
      <c r="D300" s="4287" t="s">
        <v>4674</v>
      </c>
      <c r="E300" s="4297">
        <v>14.984258000000002</v>
      </c>
    </row>
    <row r="301" spans="2:5">
      <c r="B301" s="4296" t="s">
        <v>5866</v>
      </c>
      <c r="C301" s="4287" t="s">
        <v>7134</v>
      </c>
      <c r="D301" s="4287" t="s">
        <v>4674</v>
      </c>
      <c r="E301" s="4297">
        <v>14.872020000000001</v>
      </c>
    </row>
    <row r="302" spans="2:5">
      <c r="B302" s="4296" t="s">
        <v>5868</v>
      </c>
      <c r="C302" s="4296" t="s">
        <v>7135</v>
      </c>
      <c r="D302" s="4296" t="s">
        <v>4674</v>
      </c>
      <c r="E302" s="4297">
        <v>14.870028</v>
      </c>
    </row>
    <row r="303" spans="2:5">
      <c r="B303" s="4296" t="s">
        <v>5870</v>
      </c>
      <c r="C303" s="4296" t="s">
        <v>6017</v>
      </c>
      <c r="D303" s="4296" t="s">
        <v>5222</v>
      </c>
      <c r="E303" s="4297">
        <v>14.815069000000003</v>
      </c>
    </row>
    <row r="304" spans="2:5">
      <c r="B304" s="4296" t="s">
        <v>5872</v>
      </c>
      <c r="C304" s="4287" t="s">
        <v>5501</v>
      </c>
      <c r="D304" s="4287" t="s">
        <v>4674</v>
      </c>
      <c r="E304" s="4297">
        <v>14.748485999999998</v>
      </c>
    </row>
    <row r="305" spans="2:5">
      <c r="B305" s="4296" t="s">
        <v>5874</v>
      </c>
      <c r="C305" s="4296" t="s">
        <v>5865</v>
      </c>
      <c r="D305" s="4296" t="s">
        <v>4674</v>
      </c>
      <c r="E305" s="4297">
        <v>14.580179999999997</v>
      </c>
    </row>
    <row r="306" spans="2:5">
      <c r="B306" s="4296" t="s">
        <v>5876</v>
      </c>
      <c r="C306" s="4296" t="s">
        <v>7136</v>
      </c>
      <c r="D306" s="4296" t="s">
        <v>4674</v>
      </c>
      <c r="E306" s="4297">
        <v>14.572560000000001</v>
      </c>
    </row>
    <row r="307" spans="2:5">
      <c r="B307" s="4296" t="s">
        <v>5878</v>
      </c>
      <c r="C307" s="4296" t="s">
        <v>5683</v>
      </c>
      <c r="D307" s="4296" t="s">
        <v>4674</v>
      </c>
      <c r="E307" s="4297">
        <v>14.558582999999999</v>
      </c>
    </row>
    <row r="308" spans="2:5">
      <c r="B308" s="4296" t="s">
        <v>5880</v>
      </c>
      <c r="C308" s="4287" t="s">
        <v>5381</v>
      </c>
      <c r="D308" s="4287" t="s">
        <v>4674</v>
      </c>
      <c r="E308" s="4297">
        <v>14.429447</v>
      </c>
    </row>
    <row r="309" spans="2:5">
      <c r="B309" s="4296" t="s">
        <v>5882</v>
      </c>
      <c r="C309" s="4287" t="s">
        <v>5505</v>
      </c>
      <c r="D309" s="4287" t="s">
        <v>4674</v>
      </c>
      <c r="E309" s="4297">
        <v>14.111879999999999</v>
      </c>
    </row>
    <row r="310" spans="2:5">
      <c r="B310" s="4296" t="s">
        <v>5884</v>
      </c>
      <c r="C310" s="4296" t="s">
        <v>6080</v>
      </c>
      <c r="D310" s="4296" t="s">
        <v>4674</v>
      </c>
      <c r="E310" s="4297">
        <v>14.065846000000002</v>
      </c>
    </row>
    <row r="311" spans="2:5">
      <c r="B311" s="4296" t="s">
        <v>5886</v>
      </c>
      <c r="C311" s="4296" t="s">
        <v>7137</v>
      </c>
      <c r="D311" s="4296" t="s">
        <v>4674</v>
      </c>
      <c r="E311" s="4297">
        <v>14.011559999999998</v>
      </c>
    </row>
    <row r="312" spans="2:5">
      <c r="B312" s="4296" t="s">
        <v>5888</v>
      </c>
      <c r="C312" s="4287" t="s">
        <v>5969</v>
      </c>
      <c r="D312" s="4287" t="s">
        <v>4674</v>
      </c>
      <c r="E312" s="4297">
        <v>14.008875999999997</v>
      </c>
    </row>
    <row r="313" spans="2:5">
      <c r="B313" s="4296" t="s">
        <v>5890</v>
      </c>
      <c r="C313" s="4287" t="s">
        <v>6039</v>
      </c>
      <c r="D313" s="4287" t="s">
        <v>4674</v>
      </c>
      <c r="E313" s="4297">
        <v>13.937799999999998</v>
      </c>
    </row>
    <row r="314" spans="2:5">
      <c r="B314" s="4296" t="s">
        <v>5892</v>
      </c>
      <c r="C314" s="4296" t="s">
        <v>7138</v>
      </c>
      <c r="D314" s="4296" t="s">
        <v>4674</v>
      </c>
      <c r="E314" s="4297">
        <v>13.9192</v>
      </c>
    </row>
    <row r="315" spans="2:5">
      <c r="B315" s="4296" t="s">
        <v>5894</v>
      </c>
      <c r="C315" s="4287" t="s">
        <v>5621</v>
      </c>
      <c r="D315" s="4287" t="s">
        <v>4674</v>
      </c>
      <c r="E315" s="4297">
        <v>13.592168999999997</v>
      </c>
    </row>
    <row r="316" spans="2:5">
      <c r="B316" s="4296" t="s">
        <v>5896</v>
      </c>
      <c r="C316" s="4296" t="s">
        <v>7139</v>
      </c>
      <c r="D316" s="4296" t="s">
        <v>4674</v>
      </c>
      <c r="E316" s="4297">
        <v>13.401282</v>
      </c>
    </row>
    <row r="317" spans="2:5">
      <c r="B317" s="4296" t="s">
        <v>5898</v>
      </c>
      <c r="C317" s="4287" t="s">
        <v>5691</v>
      </c>
      <c r="D317" s="4287" t="s">
        <v>4674</v>
      </c>
      <c r="E317" s="4297">
        <v>13.387623999999999</v>
      </c>
    </row>
    <row r="318" spans="2:5">
      <c r="B318" s="4296" t="s">
        <v>5900</v>
      </c>
      <c r="C318" s="4296" t="s">
        <v>7140</v>
      </c>
      <c r="D318" s="4296" t="s">
        <v>4674</v>
      </c>
      <c r="E318" s="4297">
        <v>13.379200000000001</v>
      </c>
    </row>
    <row r="319" spans="2:5">
      <c r="B319" s="4296" t="s">
        <v>5902</v>
      </c>
      <c r="C319" s="4296" t="s">
        <v>7141</v>
      </c>
      <c r="D319" s="4296" t="s">
        <v>4674</v>
      </c>
      <c r="E319" s="4297">
        <v>13.375175</v>
      </c>
    </row>
    <row r="320" spans="2:5">
      <c r="B320" s="4296" t="s">
        <v>5904</v>
      </c>
      <c r="C320" s="4296" t="s">
        <v>5905</v>
      </c>
      <c r="D320" s="4296" t="s">
        <v>5222</v>
      </c>
      <c r="E320" s="4297">
        <v>13.10685</v>
      </c>
    </row>
    <row r="321" spans="2:5">
      <c r="B321" s="4296" t="s">
        <v>5906</v>
      </c>
      <c r="C321" s="4296" t="s">
        <v>7142</v>
      </c>
      <c r="D321" s="4296" t="s">
        <v>4674</v>
      </c>
      <c r="E321" s="4297">
        <v>13.050400000000002</v>
      </c>
    </row>
    <row r="322" spans="2:5">
      <c r="B322" s="4296" t="s">
        <v>5908</v>
      </c>
      <c r="C322" s="4296" t="s">
        <v>6118</v>
      </c>
      <c r="D322" s="4296" t="s">
        <v>4674</v>
      </c>
      <c r="E322" s="4297">
        <v>13.011820999999996</v>
      </c>
    </row>
    <row r="323" spans="2:5">
      <c r="B323" s="4296" t="s">
        <v>5910</v>
      </c>
      <c r="C323" s="4296" t="s">
        <v>7143</v>
      </c>
      <c r="D323" s="4296" t="s">
        <v>5222</v>
      </c>
      <c r="E323" s="4297">
        <v>13.000000000000002</v>
      </c>
    </row>
    <row r="324" spans="2:5">
      <c r="B324" s="4296" t="s">
        <v>5912</v>
      </c>
      <c r="C324" s="4296" t="s">
        <v>7144</v>
      </c>
      <c r="D324" s="4296" t="s">
        <v>4674</v>
      </c>
      <c r="E324" s="4297">
        <v>12.954416999999999</v>
      </c>
    </row>
    <row r="325" spans="2:5">
      <c r="B325" s="4296" t="s">
        <v>5914</v>
      </c>
      <c r="C325" s="4287" t="s">
        <v>5897</v>
      </c>
      <c r="D325" s="4287" t="s">
        <v>4674</v>
      </c>
      <c r="E325" s="4297">
        <v>12.916409</v>
      </c>
    </row>
    <row r="326" spans="2:5">
      <c r="B326" s="4296" t="s">
        <v>5916</v>
      </c>
      <c r="C326" s="4296" t="s">
        <v>7145</v>
      </c>
      <c r="D326" s="4296" t="s">
        <v>4674</v>
      </c>
      <c r="E326" s="4297">
        <v>12.820387999999999</v>
      </c>
    </row>
    <row r="327" spans="2:5">
      <c r="B327" s="4296" t="s">
        <v>5918</v>
      </c>
      <c r="C327" s="4296" t="s">
        <v>6019</v>
      </c>
      <c r="D327" s="4296" t="s">
        <v>4674</v>
      </c>
      <c r="E327" s="4297">
        <v>12.808949999999999</v>
      </c>
    </row>
    <row r="328" spans="2:5">
      <c r="B328" s="4296" t="s">
        <v>5920</v>
      </c>
      <c r="C328" s="4287" t="s">
        <v>5728</v>
      </c>
      <c r="D328" s="4287" t="s">
        <v>4674</v>
      </c>
      <c r="E328" s="4297">
        <v>12.772070000000005</v>
      </c>
    </row>
    <row r="329" spans="2:5">
      <c r="B329" s="4296" t="s">
        <v>5922</v>
      </c>
      <c r="C329" s="4296" t="s">
        <v>6124</v>
      </c>
      <c r="D329" s="4296" t="s">
        <v>4674</v>
      </c>
      <c r="E329" s="4297">
        <v>12.650633000000001</v>
      </c>
    </row>
    <row r="330" spans="2:5">
      <c r="B330" s="4296" t="s">
        <v>5924</v>
      </c>
      <c r="C330" s="4296" t="s">
        <v>7146</v>
      </c>
      <c r="D330" s="4296" t="s">
        <v>4897</v>
      </c>
      <c r="E330" s="4297">
        <v>12.599999999999998</v>
      </c>
    </row>
    <row r="331" spans="2:5">
      <c r="B331" s="4296" t="s">
        <v>5926</v>
      </c>
      <c r="C331" s="4296" t="s">
        <v>7147</v>
      </c>
      <c r="D331" s="4296" t="s">
        <v>4674</v>
      </c>
      <c r="E331" s="4297">
        <v>12.599847</v>
      </c>
    </row>
    <row r="332" spans="2:5">
      <c r="B332" s="4296" t="s">
        <v>5928</v>
      </c>
      <c r="C332" s="4296" t="s">
        <v>7148</v>
      </c>
      <c r="D332" s="4296" t="s">
        <v>4674</v>
      </c>
      <c r="E332" s="4297">
        <v>12.462089999999998</v>
      </c>
    </row>
    <row r="333" spans="2:5">
      <c r="B333" s="4296" t="s">
        <v>5930</v>
      </c>
      <c r="C333" s="4296" t="s">
        <v>5919</v>
      </c>
      <c r="D333" s="4296" t="s">
        <v>4674</v>
      </c>
      <c r="E333" s="4297">
        <v>12.456</v>
      </c>
    </row>
    <row r="334" spans="2:5">
      <c r="B334" s="4296" t="s">
        <v>5932</v>
      </c>
      <c r="C334" s="4296" t="s">
        <v>7149</v>
      </c>
      <c r="D334" s="4296" t="s">
        <v>4674</v>
      </c>
      <c r="E334" s="4297">
        <v>12.441815</v>
      </c>
    </row>
    <row r="335" spans="2:5">
      <c r="B335" s="4296" t="s">
        <v>5934</v>
      </c>
      <c r="C335" s="4296" t="s">
        <v>7150</v>
      </c>
      <c r="D335" s="4296" t="s">
        <v>4674</v>
      </c>
      <c r="E335" s="4297">
        <v>12.2568</v>
      </c>
    </row>
    <row r="336" spans="2:5">
      <c r="B336" s="4296" t="s">
        <v>5936</v>
      </c>
      <c r="C336" s="4296" t="s">
        <v>7151</v>
      </c>
      <c r="D336" s="4296" t="s">
        <v>4674</v>
      </c>
      <c r="E336" s="4297">
        <v>12.080951999999998</v>
      </c>
    </row>
    <row r="337" spans="2:5">
      <c r="B337" s="4296" t="s">
        <v>5938</v>
      </c>
      <c r="C337" s="4296" t="s">
        <v>5925</v>
      </c>
      <c r="D337" s="4296" t="s">
        <v>4674</v>
      </c>
      <c r="E337" s="4297">
        <v>12.066133000000001</v>
      </c>
    </row>
    <row r="338" spans="2:5">
      <c r="B338" s="4296" t="s">
        <v>5940</v>
      </c>
      <c r="C338" s="4296" t="s">
        <v>7152</v>
      </c>
      <c r="D338" s="4296" t="s">
        <v>4897</v>
      </c>
      <c r="E338" s="4297">
        <v>12</v>
      </c>
    </row>
    <row r="339" spans="2:5">
      <c r="B339" s="4296" t="s">
        <v>5942</v>
      </c>
      <c r="C339" s="4296" t="s">
        <v>7153</v>
      </c>
      <c r="D339" s="4296" t="s">
        <v>4674</v>
      </c>
      <c r="E339" s="4297">
        <v>11.899416999999998</v>
      </c>
    </row>
    <row r="340" spans="2:5">
      <c r="B340" s="4296" t="s">
        <v>5944</v>
      </c>
      <c r="C340" s="4296" t="s">
        <v>7154</v>
      </c>
      <c r="D340" s="4296" t="s">
        <v>4897</v>
      </c>
      <c r="E340" s="4297">
        <v>11.821809</v>
      </c>
    </row>
    <row r="341" spans="2:5">
      <c r="B341" s="4296" t="s">
        <v>5946</v>
      </c>
      <c r="C341" s="4287" t="s">
        <v>5899</v>
      </c>
      <c r="D341" s="4287" t="s">
        <v>4674</v>
      </c>
      <c r="E341" s="4297">
        <v>11.690992999999997</v>
      </c>
    </row>
    <row r="342" spans="2:5">
      <c r="B342" s="4296" t="s">
        <v>5948</v>
      </c>
      <c r="C342" s="4287" t="s">
        <v>5746</v>
      </c>
      <c r="D342" s="4287" t="s">
        <v>4674</v>
      </c>
      <c r="E342" s="4297">
        <v>11.328992000000001</v>
      </c>
    </row>
    <row r="343" spans="2:5">
      <c r="B343" s="4296" t="s">
        <v>5950</v>
      </c>
      <c r="C343" s="4287" t="s">
        <v>5417</v>
      </c>
      <c r="D343" s="4287" t="s">
        <v>4674</v>
      </c>
      <c r="E343" s="4297">
        <v>11.287526</v>
      </c>
    </row>
    <row r="344" spans="2:5">
      <c r="B344" s="4296" t="s">
        <v>5952</v>
      </c>
      <c r="C344" s="4296" t="s">
        <v>6043</v>
      </c>
      <c r="D344" s="4296" t="s">
        <v>6044</v>
      </c>
      <c r="E344" s="4297">
        <v>11.244398</v>
      </c>
    </row>
    <row r="345" spans="2:5">
      <c r="B345" s="4296" t="s">
        <v>5954</v>
      </c>
      <c r="C345" s="4296" t="s">
        <v>6056</v>
      </c>
      <c r="D345" s="4296" t="s">
        <v>4674</v>
      </c>
      <c r="E345" s="4297">
        <v>11.226728000000001</v>
      </c>
    </row>
    <row r="346" spans="2:5">
      <c r="B346" s="4296" t="s">
        <v>5956</v>
      </c>
      <c r="C346" s="4287" t="s">
        <v>5543</v>
      </c>
      <c r="D346" s="4287" t="s">
        <v>4674</v>
      </c>
      <c r="E346" s="4297">
        <v>11.062081999999998</v>
      </c>
    </row>
    <row r="347" spans="2:5">
      <c r="B347" s="4296" t="s">
        <v>5958</v>
      </c>
      <c r="C347" s="4296" t="s">
        <v>7155</v>
      </c>
      <c r="D347" s="4296" t="s">
        <v>4897</v>
      </c>
      <c r="E347" s="4297">
        <v>11</v>
      </c>
    </row>
    <row r="348" spans="2:5">
      <c r="B348" s="4296" t="s">
        <v>5960</v>
      </c>
      <c r="C348" s="4296" t="s">
        <v>7156</v>
      </c>
      <c r="D348" s="4296" t="s">
        <v>4897</v>
      </c>
      <c r="E348" s="4297">
        <v>11</v>
      </c>
    </row>
    <row r="349" spans="2:5">
      <c r="B349" s="4296" t="s">
        <v>5962</v>
      </c>
      <c r="C349" s="4296" t="s">
        <v>7157</v>
      </c>
      <c r="D349" s="4296" t="s">
        <v>4674</v>
      </c>
      <c r="E349" s="4297">
        <v>10.993547999999999</v>
      </c>
    </row>
    <row r="350" spans="2:5">
      <c r="B350" s="4296" t="s">
        <v>5964</v>
      </c>
      <c r="C350" s="4296" t="s">
        <v>5967</v>
      </c>
      <c r="D350" s="4296" t="s">
        <v>4987</v>
      </c>
      <c r="E350" s="4297">
        <v>10.964160000000001</v>
      </c>
    </row>
    <row r="351" spans="2:5">
      <c r="B351" s="4296" t="s">
        <v>5966</v>
      </c>
      <c r="C351" s="4287" t="s">
        <v>5473</v>
      </c>
      <c r="D351" s="4287" t="s">
        <v>4674</v>
      </c>
      <c r="E351" s="4297">
        <v>10.963874999999998</v>
      </c>
    </row>
    <row r="352" spans="2:5">
      <c r="B352" s="4296" t="s">
        <v>5968</v>
      </c>
      <c r="C352" s="4296" t="s">
        <v>7158</v>
      </c>
      <c r="D352" s="4296" t="s">
        <v>4674</v>
      </c>
      <c r="E352" s="4297">
        <v>10.951475</v>
      </c>
    </row>
    <row r="353" spans="2:5">
      <c r="B353" s="4296" t="s">
        <v>5970</v>
      </c>
      <c r="C353" s="4287" t="s">
        <v>5539</v>
      </c>
      <c r="D353" s="4287" t="s">
        <v>4674</v>
      </c>
      <c r="E353" s="4297">
        <v>10.873382999999999</v>
      </c>
    </row>
    <row r="354" spans="2:5">
      <c r="B354" s="4296" t="s">
        <v>5972</v>
      </c>
      <c r="C354" s="4296" t="s">
        <v>7159</v>
      </c>
      <c r="D354" s="4296" t="s">
        <v>4897</v>
      </c>
      <c r="E354" s="4297">
        <v>10.8</v>
      </c>
    </row>
    <row r="355" spans="2:5">
      <c r="B355" s="4296" t="s">
        <v>5974</v>
      </c>
      <c r="C355" s="4296" t="s">
        <v>5973</v>
      </c>
      <c r="D355" s="4296" t="s">
        <v>5222</v>
      </c>
      <c r="E355" s="4297">
        <v>10.59</v>
      </c>
    </row>
    <row r="356" spans="2:5">
      <c r="B356" s="4296" t="s">
        <v>5976</v>
      </c>
      <c r="C356" s="4287" t="s">
        <v>7160</v>
      </c>
      <c r="D356" s="4287" t="s">
        <v>4674</v>
      </c>
      <c r="E356" s="4297">
        <v>10.584842000000002</v>
      </c>
    </row>
    <row r="357" spans="2:5">
      <c r="B357" s="4296" t="s">
        <v>5978</v>
      </c>
      <c r="C357" s="4287" t="s">
        <v>5547</v>
      </c>
      <c r="D357" s="4287" t="s">
        <v>4674</v>
      </c>
      <c r="E357" s="4297">
        <v>10.405666</v>
      </c>
    </row>
    <row r="358" spans="2:5">
      <c r="B358" s="4296" t="s">
        <v>5980</v>
      </c>
      <c r="C358" s="4296" t="s">
        <v>7161</v>
      </c>
      <c r="D358" s="4296" t="s">
        <v>4674</v>
      </c>
      <c r="E358" s="4297">
        <v>10.3155</v>
      </c>
    </row>
    <row r="359" spans="2:5">
      <c r="B359" s="4296" t="s">
        <v>5982</v>
      </c>
      <c r="C359" s="4296" t="s">
        <v>7162</v>
      </c>
      <c r="D359" s="4296" t="s">
        <v>4674</v>
      </c>
      <c r="E359" s="4297">
        <v>10.213080999999999</v>
      </c>
    </row>
    <row r="360" spans="2:5">
      <c r="B360" s="4296" t="s">
        <v>5984</v>
      </c>
      <c r="C360" s="4296" t="s">
        <v>7163</v>
      </c>
      <c r="D360" s="4296" t="s">
        <v>5149</v>
      </c>
      <c r="E360" s="4297">
        <v>10.199988000000001</v>
      </c>
    </row>
    <row r="361" spans="2:5">
      <c r="B361" s="4296" t="s">
        <v>5986</v>
      </c>
      <c r="C361" s="4287" t="s">
        <v>5477</v>
      </c>
      <c r="D361" s="4287" t="s">
        <v>4674</v>
      </c>
      <c r="E361" s="4297">
        <v>10.199796000000001</v>
      </c>
    </row>
    <row r="362" spans="2:5">
      <c r="B362" s="4296" t="s">
        <v>5988</v>
      </c>
      <c r="C362" s="4296" t="s">
        <v>7164</v>
      </c>
      <c r="D362" s="4296" t="s">
        <v>4897</v>
      </c>
      <c r="E362" s="4297">
        <v>10.08</v>
      </c>
    </row>
    <row r="363" spans="2:5">
      <c r="B363" s="4296" t="s">
        <v>5990</v>
      </c>
      <c r="C363" s="4296" t="s">
        <v>7165</v>
      </c>
      <c r="D363" s="4296" t="s">
        <v>4897</v>
      </c>
      <c r="E363" s="4297">
        <v>10</v>
      </c>
    </row>
    <row r="364" spans="2:5">
      <c r="B364" s="4296" t="s">
        <v>5992</v>
      </c>
      <c r="C364" s="4296" t="s">
        <v>7166</v>
      </c>
      <c r="D364" s="4296" t="s">
        <v>4897</v>
      </c>
      <c r="E364" s="4297">
        <v>10</v>
      </c>
    </row>
    <row r="365" spans="2:5">
      <c r="B365" s="4296" t="s">
        <v>5994</v>
      </c>
      <c r="C365" s="4296" t="s">
        <v>5292</v>
      </c>
      <c r="D365" s="4296" t="s">
        <v>4664</v>
      </c>
      <c r="E365" s="4297">
        <v>9.9527339999999995</v>
      </c>
    </row>
    <row r="366" spans="2:5">
      <c r="B366" s="4296" t="s">
        <v>5996</v>
      </c>
      <c r="C366" s="4296" t="s">
        <v>6338</v>
      </c>
      <c r="D366" s="4296" t="s">
        <v>4897</v>
      </c>
      <c r="E366" s="4297">
        <v>9.9452059999999971</v>
      </c>
    </row>
    <row r="367" spans="2:5">
      <c r="B367" s="4296" t="s">
        <v>5998</v>
      </c>
      <c r="C367" s="4296" t="s">
        <v>7167</v>
      </c>
      <c r="D367" s="4296" t="s">
        <v>4674</v>
      </c>
      <c r="E367" s="4297">
        <v>9.9002239999999997</v>
      </c>
    </row>
    <row r="368" spans="2:5">
      <c r="B368" s="4296" t="s">
        <v>6000</v>
      </c>
      <c r="C368" s="4296" t="s">
        <v>7168</v>
      </c>
      <c r="D368" s="4296" t="s">
        <v>4897</v>
      </c>
      <c r="E368" s="4297">
        <v>9.7650000000000006</v>
      </c>
    </row>
    <row r="369" spans="2:5">
      <c r="B369" s="4296" t="s">
        <v>6002</v>
      </c>
      <c r="C369" s="4296" t="s">
        <v>7169</v>
      </c>
      <c r="D369" s="4296" t="s">
        <v>4674</v>
      </c>
      <c r="E369" s="4297">
        <v>9.6506369999999997</v>
      </c>
    </row>
    <row r="370" spans="2:5">
      <c r="B370" s="4296" t="s">
        <v>6004</v>
      </c>
      <c r="C370" s="4287" t="s">
        <v>7170</v>
      </c>
      <c r="D370" s="4287" t="s">
        <v>4674</v>
      </c>
      <c r="E370" s="4297">
        <v>9.6413840000000004</v>
      </c>
    </row>
    <row r="371" spans="2:5">
      <c r="B371" s="4296" t="s">
        <v>6006</v>
      </c>
      <c r="C371" s="4287" t="s">
        <v>7171</v>
      </c>
      <c r="D371" s="4287" t="s">
        <v>4674</v>
      </c>
      <c r="E371" s="4297">
        <v>9.5578320000000012</v>
      </c>
    </row>
    <row r="372" spans="2:5">
      <c r="B372" s="4296" t="s">
        <v>6008</v>
      </c>
      <c r="C372" s="4296" t="s">
        <v>6102</v>
      </c>
      <c r="D372" s="4296" t="s">
        <v>4674</v>
      </c>
      <c r="E372" s="4297">
        <v>9.5232199999999985</v>
      </c>
    </row>
    <row r="373" spans="2:5">
      <c r="B373" s="4296" t="s">
        <v>6010</v>
      </c>
      <c r="C373" s="4296" t="s">
        <v>7172</v>
      </c>
      <c r="D373" s="4296" t="s">
        <v>4674</v>
      </c>
      <c r="E373" s="4297">
        <v>9.3410399999999996</v>
      </c>
    </row>
    <row r="374" spans="2:5">
      <c r="B374" s="4296" t="s">
        <v>6012</v>
      </c>
      <c r="C374" s="4296" t="s">
        <v>7173</v>
      </c>
      <c r="D374" s="4296" t="s">
        <v>4674</v>
      </c>
      <c r="E374" s="4297">
        <v>9.3069000000000006</v>
      </c>
    </row>
    <row r="375" spans="2:5">
      <c r="B375" s="4296" t="s">
        <v>6014</v>
      </c>
      <c r="C375" s="4296" t="s">
        <v>7174</v>
      </c>
      <c r="D375" s="4296" t="s">
        <v>5222</v>
      </c>
      <c r="E375" s="4297">
        <v>9.2307690000000004</v>
      </c>
    </row>
    <row r="376" spans="2:5">
      <c r="B376" s="4296" t="s">
        <v>6016</v>
      </c>
      <c r="C376" s="4296" t="s">
        <v>7175</v>
      </c>
      <c r="D376" s="4296" t="s">
        <v>4674</v>
      </c>
      <c r="E376" s="4297">
        <v>9.2004599999999996</v>
      </c>
    </row>
    <row r="377" spans="2:5">
      <c r="B377" s="4296" t="s">
        <v>6018</v>
      </c>
      <c r="C377" s="4296" t="s">
        <v>7176</v>
      </c>
      <c r="D377" s="4296" t="s">
        <v>4897</v>
      </c>
      <c r="E377" s="4297">
        <v>9.0322580000000006</v>
      </c>
    </row>
    <row r="378" spans="2:5">
      <c r="B378" s="4296" t="s">
        <v>6020</v>
      </c>
      <c r="C378" s="4287" t="s">
        <v>7177</v>
      </c>
      <c r="D378" s="4287" t="s">
        <v>4674</v>
      </c>
      <c r="E378" s="4297">
        <v>9.0044620000000002</v>
      </c>
    </row>
    <row r="379" spans="2:5">
      <c r="B379" s="4296" t="s">
        <v>6022</v>
      </c>
      <c r="C379" s="4287" t="s">
        <v>6029</v>
      </c>
      <c r="D379" s="4287" t="s">
        <v>4674</v>
      </c>
      <c r="E379" s="4297">
        <v>8.8495019999999993</v>
      </c>
    </row>
    <row r="380" spans="2:5">
      <c r="B380" s="4296" t="s">
        <v>6024</v>
      </c>
      <c r="C380" s="4296" t="s">
        <v>7178</v>
      </c>
      <c r="D380" s="4296" t="s">
        <v>4674</v>
      </c>
      <c r="E380" s="4297">
        <v>8.7514120000000002</v>
      </c>
    </row>
    <row r="381" spans="2:5">
      <c r="B381" s="4296" t="s">
        <v>6026</v>
      </c>
      <c r="C381" s="4296" t="s">
        <v>6132</v>
      </c>
      <c r="D381" s="4296" t="s">
        <v>4674</v>
      </c>
      <c r="E381" s="4297">
        <v>8.5091999999999999</v>
      </c>
    </row>
    <row r="382" spans="2:5">
      <c r="B382" s="4296" t="s">
        <v>6028</v>
      </c>
      <c r="C382" s="4296" t="s">
        <v>7179</v>
      </c>
      <c r="D382" s="4296" t="s">
        <v>4897</v>
      </c>
      <c r="E382" s="4297">
        <v>8.4</v>
      </c>
    </row>
    <row r="383" spans="2:5">
      <c r="B383" s="4296" t="s">
        <v>6030</v>
      </c>
      <c r="C383" s="4296" t="s">
        <v>7180</v>
      </c>
      <c r="D383" s="4296" t="s">
        <v>5222</v>
      </c>
      <c r="E383" s="4297">
        <v>8.3733330000000006</v>
      </c>
    </row>
    <row r="384" spans="2:5">
      <c r="B384" s="4296" t="s">
        <v>6032</v>
      </c>
      <c r="C384" s="4296" t="s">
        <v>7181</v>
      </c>
      <c r="D384" s="4296" t="s">
        <v>4674</v>
      </c>
      <c r="E384" s="4297">
        <v>8.3145190000000007</v>
      </c>
    </row>
    <row r="385" spans="2:5">
      <c r="B385" s="4296" t="s">
        <v>6034</v>
      </c>
      <c r="C385" s="4287" t="s">
        <v>5847</v>
      </c>
      <c r="D385" s="4287" t="s">
        <v>4674</v>
      </c>
      <c r="E385" s="4297">
        <v>8.3053299999999997</v>
      </c>
    </row>
    <row r="386" spans="2:5">
      <c r="B386" s="4296" t="s">
        <v>6036</v>
      </c>
      <c r="C386" s="4296" t="s">
        <v>7182</v>
      </c>
      <c r="D386" s="4296" t="s">
        <v>4674</v>
      </c>
      <c r="E386" s="4297">
        <v>8.2930239999999991</v>
      </c>
    </row>
    <row r="387" spans="2:5">
      <c r="B387" s="4296" t="s">
        <v>6038</v>
      </c>
      <c r="C387" s="4296" t="s">
        <v>7183</v>
      </c>
      <c r="D387" s="4296" t="s">
        <v>4674</v>
      </c>
      <c r="E387" s="4297">
        <v>8.2515000000000001</v>
      </c>
    </row>
    <row r="388" spans="2:5">
      <c r="B388" s="4296" t="s">
        <v>6040</v>
      </c>
      <c r="C388" s="4287" t="s">
        <v>5405</v>
      </c>
      <c r="D388" s="4287" t="s">
        <v>4674</v>
      </c>
      <c r="E388" s="4297">
        <v>8.0798419999999993</v>
      </c>
    </row>
    <row r="389" spans="2:5">
      <c r="B389" s="4296" t="s">
        <v>6042</v>
      </c>
      <c r="C389" s="4296" t="s">
        <v>7184</v>
      </c>
      <c r="D389" s="4296" t="s">
        <v>4674</v>
      </c>
      <c r="E389" s="4297">
        <v>7.9087500000000004</v>
      </c>
    </row>
    <row r="390" spans="2:5">
      <c r="B390" s="4296" t="s">
        <v>6045</v>
      </c>
      <c r="C390" s="4296" t="s">
        <v>7185</v>
      </c>
      <c r="D390" s="4296" t="s">
        <v>4674</v>
      </c>
      <c r="E390" s="4297">
        <v>7.8636720000000002</v>
      </c>
    </row>
    <row r="391" spans="2:5">
      <c r="B391" s="4296" t="s">
        <v>6047</v>
      </c>
      <c r="C391" s="4296" t="s">
        <v>6274</v>
      </c>
      <c r="D391" s="4296" t="s">
        <v>4897</v>
      </c>
      <c r="E391" s="4297">
        <v>7.8239120000000009</v>
      </c>
    </row>
    <row r="392" spans="2:5">
      <c r="B392" s="4296" t="s">
        <v>6049</v>
      </c>
      <c r="C392" s="4296" t="s">
        <v>7186</v>
      </c>
      <c r="D392" s="4296" t="s">
        <v>5222</v>
      </c>
      <c r="E392" s="4297">
        <v>7.8</v>
      </c>
    </row>
    <row r="393" spans="2:5">
      <c r="B393" s="4296" t="s">
        <v>6051</v>
      </c>
      <c r="C393" s="4296" t="s">
        <v>7187</v>
      </c>
      <c r="D393" s="4296" t="s">
        <v>4674</v>
      </c>
      <c r="E393" s="4297">
        <v>7.7896800000000006</v>
      </c>
    </row>
    <row r="394" spans="2:5">
      <c r="B394" s="4296" t="s">
        <v>6053</v>
      </c>
      <c r="C394" s="4287" t="s">
        <v>7188</v>
      </c>
      <c r="D394" s="4287" t="s">
        <v>4674</v>
      </c>
      <c r="E394" s="4297">
        <v>7.7892000000000001</v>
      </c>
    </row>
    <row r="395" spans="2:5">
      <c r="B395" s="4296" t="s">
        <v>6055</v>
      </c>
      <c r="C395" s="4296" t="s">
        <v>7189</v>
      </c>
      <c r="D395" s="4296" t="s">
        <v>4674</v>
      </c>
      <c r="E395" s="4297">
        <v>7.7114520000000004</v>
      </c>
    </row>
    <row r="396" spans="2:5">
      <c r="B396" s="4296" t="s">
        <v>6057</v>
      </c>
      <c r="C396" s="4296" t="s">
        <v>7190</v>
      </c>
      <c r="D396" s="4296" t="s">
        <v>4674</v>
      </c>
      <c r="E396" s="4297">
        <v>7.7075759999999995</v>
      </c>
    </row>
    <row r="397" spans="2:5">
      <c r="B397" s="4296" t="s">
        <v>6059</v>
      </c>
      <c r="C397" s="4287" t="s">
        <v>7191</v>
      </c>
      <c r="D397" s="4287" t="s">
        <v>4674</v>
      </c>
      <c r="E397" s="4297">
        <v>7.6823699999999997</v>
      </c>
    </row>
    <row r="398" spans="2:5">
      <c r="B398" s="4296" t="s">
        <v>6061</v>
      </c>
      <c r="C398" s="4287" t="s">
        <v>5545</v>
      </c>
      <c r="D398" s="4287" t="s">
        <v>4674</v>
      </c>
      <c r="E398" s="4297">
        <v>7.6560160000000002</v>
      </c>
    </row>
    <row r="399" spans="2:5">
      <c r="B399" s="4296" t="s">
        <v>6063</v>
      </c>
      <c r="C399" s="4287" t="s">
        <v>5619</v>
      </c>
      <c r="D399" s="4287" t="s">
        <v>4674</v>
      </c>
      <c r="E399" s="4297">
        <v>7.6140390000000018</v>
      </c>
    </row>
    <row r="400" spans="2:5">
      <c r="B400" s="4296" t="s">
        <v>6065</v>
      </c>
      <c r="C400" s="4296" t="s">
        <v>7192</v>
      </c>
      <c r="D400" s="4296" t="s">
        <v>4674</v>
      </c>
      <c r="E400" s="4297">
        <v>7.4881060000000002</v>
      </c>
    </row>
    <row r="401" spans="2:5">
      <c r="B401" s="4296" t="s">
        <v>6067</v>
      </c>
      <c r="C401" s="4296" t="s">
        <v>7193</v>
      </c>
      <c r="D401" s="4296" t="s">
        <v>5149</v>
      </c>
      <c r="E401" s="4297">
        <v>7.4334960000000008</v>
      </c>
    </row>
    <row r="402" spans="2:5">
      <c r="B402" s="4296" t="s">
        <v>6069</v>
      </c>
      <c r="C402" s="4296" t="s">
        <v>6076</v>
      </c>
      <c r="D402" s="4296" t="s">
        <v>4987</v>
      </c>
      <c r="E402" s="4297">
        <v>7.3727999999999998</v>
      </c>
    </row>
    <row r="403" spans="2:5">
      <c r="B403" s="4296" t="s">
        <v>6071</v>
      </c>
      <c r="C403" s="4296" t="s">
        <v>7194</v>
      </c>
      <c r="D403" s="4296" t="s">
        <v>4674</v>
      </c>
      <c r="E403" s="4297">
        <v>7.2712180000000011</v>
      </c>
    </row>
    <row r="404" spans="2:5">
      <c r="B404" s="4296" t="s">
        <v>6073</v>
      </c>
      <c r="C404" s="4287" t="s">
        <v>5997</v>
      </c>
      <c r="D404" s="4287" t="s">
        <v>5149</v>
      </c>
      <c r="E404" s="4297">
        <v>7.2240000000000002</v>
      </c>
    </row>
    <row r="405" spans="2:5">
      <c r="B405" s="4296" t="s">
        <v>6075</v>
      </c>
      <c r="C405" s="4287" t="s">
        <v>6090</v>
      </c>
      <c r="D405" s="4287" t="s">
        <v>4674</v>
      </c>
      <c r="E405" s="4297">
        <v>7.214039999999998</v>
      </c>
    </row>
    <row r="406" spans="2:5">
      <c r="B406" s="4296" t="s">
        <v>6077</v>
      </c>
      <c r="C406" s="4296" t="s">
        <v>7195</v>
      </c>
      <c r="D406" s="4296" t="s">
        <v>4897</v>
      </c>
      <c r="E406" s="4297">
        <v>7.2</v>
      </c>
    </row>
    <row r="407" spans="2:5">
      <c r="B407" s="4296" t="s">
        <v>6079</v>
      </c>
      <c r="C407" s="4296" t="s">
        <v>7196</v>
      </c>
      <c r="D407" s="4296" t="s">
        <v>4897</v>
      </c>
      <c r="E407" s="4297">
        <v>7.1298059999999994</v>
      </c>
    </row>
    <row r="408" spans="2:5">
      <c r="B408" s="4296" t="s">
        <v>6081</v>
      </c>
      <c r="C408" s="4287" t="s">
        <v>5811</v>
      </c>
      <c r="D408" s="4287" t="s">
        <v>4674</v>
      </c>
      <c r="E408" s="4297">
        <v>7.0551509999999995</v>
      </c>
    </row>
    <row r="409" spans="2:5">
      <c r="B409" s="4296" t="s">
        <v>6083</v>
      </c>
      <c r="C409" s="4296" t="s">
        <v>7197</v>
      </c>
      <c r="D409" s="4296" t="s">
        <v>4674</v>
      </c>
      <c r="E409" s="4297">
        <v>7.0167600000000006</v>
      </c>
    </row>
    <row r="410" spans="2:5">
      <c r="B410" s="4296" t="s">
        <v>6085</v>
      </c>
      <c r="C410" s="4296" t="s">
        <v>7198</v>
      </c>
      <c r="D410" s="4296" t="s">
        <v>4897</v>
      </c>
      <c r="E410" s="4297">
        <v>7</v>
      </c>
    </row>
    <row r="411" spans="2:5">
      <c r="B411" s="4296" t="s">
        <v>6087</v>
      </c>
      <c r="C411" s="4296" t="s">
        <v>7199</v>
      </c>
      <c r="D411" s="4296" t="s">
        <v>4897</v>
      </c>
      <c r="E411" s="4297">
        <v>7</v>
      </c>
    </row>
    <row r="412" spans="2:5">
      <c r="B412" s="4296" t="s">
        <v>6089</v>
      </c>
      <c r="C412" s="4296" t="s">
        <v>7200</v>
      </c>
      <c r="D412" s="4296" t="s">
        <v>4674</v>
      </c>
      <c r="E412" s="4297">
        <v>6.9058000000000002</v>
      </c>
    </row>
    <row r="413" spans="2:5">
      <c r="B413" s="4296" t="s">
        <v>6091</v>
      </c>
      <c r="C413" s="4287" t="s">
        <v>5651</v>
      </c>
      <c r="D413" s="4287" t="s">
        <v>4674</v>
      </c>
      <c r="E413" s="4297">
        <v>6.8987499999999997</v>
      </c>
    </row>
    <row r="414" spans="2:5">
      <c r="B414" s="4296" t="s">
        <v>6093</v>
      </c>
      <c r="C414" s="4287" t="s">
        <v>5645</v>
      </c>
      <c r="D414" s="4287" t="s">
        <v>4674</v>
      </c>
      <c r="E414" s="4297">
        <v>6.8798920000000017</v>
      </c>
    </row>
    <row r="415" spans="2:5">
      <c r="B415" s="4296" t="s">
        <v>6095</v>
      </c>
      <c r="C415" s="4296" t="s">
        <v>6594</v>
      </c>
      <c r="D415" s="4296" t="s">
        <v>6044</v>
      </c>
      <c r="E415" s="4297">
        <v>6.8772000000000002</v>
      </c>
    </row>
    <row r="416" spans="2:5">
      <c r="B416" s="4296" t="s">
        <v>6097</v>
      </c>
      <c r="C416" s="4296" t="s">
        <v>7201</v>
      </c>
      <c r="D416" s="4296" t="s">
        <v>4674</v>
      </c>
      <c r="E416" s="4297">
        <v>6.8376999999999999</v>
      </c>
    </row>
    <row r="417" spans="2:5">
      <c r="B417" s="4296" t="s">
        <v>6099</v>
      </c>
      <c r="C417" s="4296" t="s">
        <v>7202</v>
      </c>
      <c r="D417" s="4296" t="s">
        <v>5222</v>
      </c>
      <c r="E417" s="4297">
        <v>6.8282239999999987</v>
      </c>
    </row>
    <row r="418" spans="2:5">
      <c r="B418" s="4296" t="s">
        <v>6101</v>
      </c>
      <c r="C418" s="4296" t="s">
        <v>7203</v>
      </c>
      <c r="D418" s="4296" t="s">
        <v>4674</v>
      </c>
      <c r="E418" s="4297">
        <v>6.8063959999999994</v>
      </c>
    </row>
    <row r="419" spans="2:5">
      <c r="B419" s="4296" t="s">
        <v>6103</v>
      </c>
      <c r="C419" s="4296" t="s">
        <v>6508</v>
      </c>
      <c r="D419" s="4296" t="s">
        <v>4897</v>
      </c>
      <c r="E419" s="4297">
        <v>6.7808239999999991</v>
      </c>
    </row>
    <row r="420" spans="2:5">
      <c r="B420" s="4296" t="s">
        <v>6105</v>
      </c>
      <c r="C420" s="4296" t="s">
        <v>7204</v>
      </c>
      <c r="D420" s="4296" t="s">
        <v>4674</v>
      </c>
      <c r="E420" s="4297">
        <v>6.7087019999999988</v>
      </c>
    </row>
    <row r="421" spans="2:5">
      <c r="B421" s="4296" t="s">
        <v>6107</v>
      </c>
      <c r="C421" s="4296" t="s">
        <v>7205</v>
      </c>
      <c r="D421" s="4296" t="s">
        <v>4674</v>
      </c>
      <c r="E421" s="4297">
        <v>6.7006410000000001</v>
      </c>
    </row>
    <row r="422" spans="2:5">
      <c r="B422" s="4296" t="s">
        <v>6109</v>
      </c>
      <c r="C422" s="4296" t="s">
        <v>7206</v>
      </c>
      <c r="D422" s="4296" t="s">
        <v>4674</v>
      </c>
      <c r="E422" s="4297">
        <v>6.5647989999999989</v>
      </c>
    </row>
    <row r="423" spans="2:5">
      <c r="B423" s="4296" t="s">
        <v>6111</v>
      </c>
      <c r="C423" s="4287" t="s">
        <v>7207</v>
      </c>
      <c r="D423" s="4287" t="s">
        <v>4674</v>
      </c>
      <c r="E423" s="4297">
        <v>6.5587290000000005</v>
      </c>
    </row>
    <row r="424" spans="2:5">
      <c r="B424" s="4296" t="s">
        <v>6113</v>
      </c>
      <c r="C424" s="4296" t="s">
        <v>7208</v>
      </c>
      <c r="D424" s="4296" t="s">
        <v>4897</v>
      </c>
      <c r="E424" s="4297">
        <v>6.5</v>
      </c>
    </row>
    <row r="425" spans="2:5">
      <c r="B425" s="4296" t="s">
        <v>6115</v>
      </c>
      <c r="C425" s="4296" t="s">
        <v>7209</v>
      </c>
      <c r="D425" s="4296" t="s">
        <v>4897</v>
      </c>
      <c r="E425" s="4297">
        <v>6.5</v>
      </c>
    </row>
    <row r="426" spans="2:5">
      <c r="B426" s="4296" t="s">
        <v>6117</v>
      </c>
      <c r="C426" s="4287" t="s">
        <v>7210</v>
      </c>
      <c r="D426" s="4287" t="s">
        <v>4674</v>
      </c>
      <c r="E426" s="4297">
        <v>6.3811999999999998</v>
      </c>
    </row>
    <row r="427" spans="2:5">
      <c r="B427" s="4296" t="s">
        <v>6119</v>
      </c>
      <c r="C427" s="4287" t="s">
        <v>6025</v>
      </c>
      <c r="D427" s="4287" t="s">
        <v>4674</v>
      </c>
      <c r="E427" s="4297">
        <v>6.3475000000000001</v>
      </c>
    </row>
    <row r="428" spans="2:5">
      <c r="B428" s="4296" t="s">
        <v>6121</v>
      </c>
      <c r="C428" s="4296" t="s">
        <v>7211</v>
      </c>
      <c r="D428" s="4296" t="s">
        <v>4897</v>
      </c>
      <c r="E428" s="4297">
        <v>6.3</v>
      </c>
    </row>
    <row r="429" spans="2:5">
      <c r="B429" s="4296" t="s">
        <v>6123</v>
      </c>
      <c r="C429" s="4296" t="s">
        <v>7212</v>
      </c>
      <c r="D429" s="4296" t="s">
        <v>5222</v>
      </c>
      <c r="E429" s="4297">
        <v>6.3</v>
      </c>
    </row>
    <row r="430" spans="2:5">
      <c r="B430" s="4296" t="s">
        <v>6125</v>
      </c>
      <c r="C430" s="4296" t="s">
        <v>7213</v>
      </c>
      <c r="D430" s="4296" t="s">
        <v>4674</v>
      </c>
      <c r="E430" s="4297">
        <v>6.266032</v>
      </c>
    </row>
    <row r="431" spans="2:5">
      <c r="B431" s="4296" t="s">
        <v>6127</v>
      </c>
      <c r="C431" s="4296" t="s">
        <v>7214</v>
      </c>
      <c r="D431" s="4296" t="s">
        <v>4674</v>
      </c>
      <c r="E431" s="4297">
        <v>6.2354919999999998</v>
      </c>
    </row>
    <row r="432" spans="2:5">
      <c r="B432" s="4296" t="s">
        <v>6129</v>
      </c>
      <c r="C432" s="4296" t="s">
        <v>7215</v>
      </c>
      <c r="D432" s="4296" t="s">
        <v>4674</v>
      </c>
      <c r="E432" s="4297">
        <v>6.1615669999999998</v>
      </c>
    </row>
    <row r="433" spans="2:5">
      <c r="B433" s="4296" t="s">
        <v>6131</v>
      </c>
      <c r="C433" s="4296" t="s">
        <v>6712</v>
      </c>
      <c r="D433" s="4296" t="s">
        <v>5234</v>
      </c>
      <c r="E433" s="4297">
        <v>6.1338429999999997</v>
      </c>
    </row>
    <row r="434" spans="2:5">
      <c r="B434" s="4296" t="s">
        <v>6133</v>
      </c>
      <c r="C434" s="4296" t="s">
        <v>7216</v>
      </c>
      <c r="D434" s="4296" t="s">
        <v>4897</v>
      </c>
      <c r="E434" s="4297">
        <v>6</v>
      </c>
    </row>
    <row r="435" spans="2:5">
      <c r="B435" s="4296" t="s">
        <v>6135</v>
      </c>
      <c r="C435" s="4296" t="s">
        <v>7217</v>
      </c>
      <c r="D435" s="4296" t="s">
        <v>4897</v>
      </c>
      <c r="E435" s="4297">
        <v>6</v>
      </c>
    </row>
    <row r="436" spans="2:5">
      <c r="B436" s="4296" t="s">
        <v>6137</v>
      </c>
      <c r="C436" s="4296" t="s">
        <v>7218</v>
      </c>
      <c r="D436" s="4296" t="s">
        <v>4897</v>
      </c>
      <c r="E436" s="4297">
        <v>6</v>
      </c>
    </row>
    <row r="437" spans="2:5">
      <c r="B437" s="4296" t="s">
        <v>6139</v>
      </c>
      <c r="C437" s="4296" t="s">
        <v>7219</v>
      </c>
      <c r="D437" s="4296" t="s">
        <v>4897</v>
      </c>
      <c r="E437" s="4297">
        <v>6</v>
      </c>
    </row>
    <row r="438" spans="2:5">
      <c r="B438" s="4296" t="s">
        <v>6141</v>
      </c>
      <c r="C438" s="4296" t="s">
        <v>7220</v>
      </c>
      <c r="D438" s="4296" t="s">
        <v>4897</v>
      </c>
      <c r="E438" s="4297">
        <v>6</v>
      </c>
    </row>
    <row r="439" spans="2:5">
      <c r="B439" s="4296" t="s">
        <v>6143</v>
      </c>
      <c r="C439" s="4296" t="s">
        <v>7221</v>
      </c>
      <c r="D439" s="4296" t="s">
        <v>4674</v>
      </c>
      <c r="E439" s="4297">
        <v>5.981439</v>
      </c>
    </row>
    <row r="440" spans="2:5">
      <c r="B440" s="4296" t="s">
        <v>6145</v>
      </c>
      <c r="C440" s="4296" t="s">
        <v>7222</v>
      </c>
      <c r="D440" s="4296" t="s">
        <v>4674</v>
      </c>
      <c r="E440" s="4297">
        <v>5.9620800000000003</v>
      </c>
    </row>
    <row r="441" spans="2:5">
      <c r="B441" s="4296" t="s">
        <v>6147</v>
      </c>
      <c r="C441" s="4296" t="s">
        <v>7223</v>
      </c>
      <c r="D441" s="4296" t="s">
        <v>4674</v>
      </c>
      <c r="E441" s="4297">
        <v>5.9200260000000009</v>
      </c>
    </row>
    <row r="442" spans="2:5">
      <c r="B442" s="4296" t="s">
        <v>6149</v>
      </c>
      <c r="C442" s="4296" t="s">
        <v>7224</v>
      </c>
      <c r="D442" s="4296" t="s">
        <v>4674</v>
      </c>
      <c r="E442" s="4297">
        <v>5.84</v>
      </c>
    </row>
    <row r="443" spans="2:5">
      <c r="B443" s="4296" t="s">
        <v>6151</v>
      </c>
      <c r="C443" s="4287" t="s">
        <v>5511</v>
      </c>
      <c r="D443" s="4287" t="s">
        <v>4674</v>
      </c>
      <c r="E443" s="4297">
        <v>5.7311320000000006</v>
      </c>
    </row>
    <row r="444" spans="2:5">
      <c r="B444" s="4296" t="s">
        <v>6153</v>
      </c>
      <c r="C444" s="4296" t="s">
        <v>7225</v>
      </c>
      <c r="D444" s="4296" t="s">
        <v>4897</v>
      </c>
      <c r="E444" s="4297">
        <v>5.67</v>
      </c>
    </row>
    <row r="445" spans="2:5">
      <c r="B445" s="4296" t="s">
        <v>6155</v>
      </c>
      <c r="C445" s="4287" t="s">
        <v>7226</v>
      </c>
      <c r="D445" s="4287" t="s">
        <v>4674</v>
      </c>
      <c r="E445" s="4297">
        <v>5.5873619999999997</v>
      </c>
    </row>
    <row r="446" spans="2:5">
      <c r="B446" s="4296" t="s">
        <v>6157</v>
      </c>
      <c r="C446" s="4296" t="s">
        <v>7227</v>
      </c>
      <c r="D446" s="4296" t="s">
        <v>4674</v>
      </c>
      <c r="E446" s="4297">
        <v>5.5829379999999995</v>
      </c>
    </row>
    <row r="447" spans="2:5">
      <c r="B447" s="4296" t="s">
        <v>6159</v>
      </c>
      <c r="C447" s="4296" t="s">
        <v>7228</v>
      </c>
      <c r="D447" s="4296" t="s">
        <v>4987</v>
      </c>
      <c r="E447" s="4297">
        <v>5.5263600000000013</v>
      </c>
    </row>
    <row r="448" spans="2:5">
      <c r="B448" s="4296" t="s">
        <v>6161</v>
      </c>
      <c r="C448" s="4296" t="s">
        <v>7229</v>
      </c>
      <c r="D448" s="4296" t="s">
        <v>4897</v>
      </c>
      <c r="E448" s="4297">
        <v>5.5</v>
      </c>
    </row>
    <row r="449" spans="2:5">
      <c r="B449" s="4296" t="s">
        <v>6163</v>
      </c>
      <c r="C449" s="4296" t="s">
        <v>7230</v>
      </c>
      <c r="D449" s="4296" t="s">
        <v>4897</v>
      </c>
      <c r="E449" s="4297">
        <v>5.4467999999999996</v>
      </c>
    </row>
    <row r="450" spans="2:5">
      <c r="B450" s="4296" t="s">
        <v>6165</v>
      </c>
      <c r="C450" s="4296" t="s">
        <v>7231</v>
      </c>
      <c r="D450" s="4296" t="s">
        <v>4897</v>
      </c>
      <c r="E450" s="4297">
        <v>5.4</v>
      </c>
    </row>
    <row r="451" spans="2:5">
      <c r="B451" s="4296" t="s">
        <v>6167</v>
      </c>
      <c r="C451" s="4296" t="s">
        <v>7232</v>
      </c>
      <c r="D451" s="4296" t="s">
        <v>4897</v>
      </c>
      <c r="E451" s="4297">
        <v>5.4</v>
      </c>
    </row>
    <row r="452" spans="2:5">
      <c r="B452" s="4296" t="s">
        <v>6169</v>
      </c>
      <c r="C452" s="4296" t="s">
        <v>6174</v>
      </c>
      <c r="D452" s="4296" t="s">
        <v>4987</v>
      </c>
      <c r="E452" s="4297">
        <v>5.3760000000000003</v>
      </c>
    </row>
    <row r="453" spans="2:5">
      <c r="B453" s="4296" t="s">
        <v>6171</v>
      </c>
      <c r="C453" s="4296" t="s">
        <v>7233</v>
      </c>
      <c r="D453" s="4296" t="s">
        <v>4674</v>
      </c>
      <c r="E453" s="4297">
        <v>5.3559720000000004</v>
      </c>
    </row>
    <row r="454" spans="2:5">
      <c r="B454" s="4296" t="s">
        <v>6173</v>
      </c>
      <c r="C454" s="4296" t="s">
        <v>6003</v>
      </c>
      <c r="D454" s="4296" t="s">
        <v>4897</v>
      </c>
      <c r="E454" s="4297">
        <v>5.3437799999999998</v>
      </c>
    </row>
    <row r="455" spans="2:5">
      <c r="B455" s="4296" t="s">
        <v>6175</v>
      </c>
      <c r="C455" s="4296" t="s">
        <v>7234</v>
      </c>
      <c r="D455" s="4296" t="s">
        <v>4897</v>
      </c>
      <c r="E455" s="4297">
        <v>5.32</v>
      </c>
    </row>
    <row r="456" spans="2:5">
      <c r="B456" s="4296" t="s">
        <v>6177</v>
      </c>
      <c r="C456" s="4296" t="s">
        <v>6302</v>
      </c>
      <c r="D456" s="4296" t="s">
        <v>4897</v>
      </c>
      <c r="E456" s="4297">
        <v>5.2907839999999995</v>
      </c>
    </row>
    <row r="457" spans="2:5">
      <c r="B457" s="4296" t="s">
        <v>6179</v>
      </c>
      <c r="C457" s="4287" t="s">
        <v>5409</v>
      </c>
      <c r="D457" s="4287" t="s">
        <v>4674</v>
      </c>
      <c r="E457" s="4297">
        <v>5.2512589999999992</v>
      </c>
    </row>
    <row r="458" spans="2:5">
      <c r="B458" s="4296" t="s">
        <v>6181</v>
      </c>
      <c r="C458" s="4296" t="s">
        <v>7235</v>
      </c>
      <c r="D458" s="4296" t="s">
        <v>4674</v>
      </c>
      <c r="E458" s="4297">
        <v>5.1790500000000002</v>
      </c>
    </row>
    <row r="459" spans="2:5">
      <c r="B459" s="4296" t="s">
        <v>6183</v>
      </c>
      <c r="C459" s="4296" t="s">
        <v>7236</v>
      </c>
      <c r="D459" s="4296" t="s">
        <v>4674</v>
      </c>
      <c r="E459" s="4297">
        <v>5.1081199999999995</v>
      </c>
    </row>
    <row r="460" spans="2:5">
      <c r="B460" s="4296" t="s">
        <v>6185</v>
      </c>
      <c r="C460" s="4296" t="s">
        <v>7237</v>
      </c>
      <c r="D460" s="4296" t="s">
        <v>5234</v>
      </c>
      <c r="E460" s="4297">
        <v>5.0579999999999998</v>
      </c>
    </row>
    <row r="461" spans="2:5">
      <c r="B461" s="4296" t="s">
        <v>6187</v>
      </c>
      <c r="C461" s="4296" t="s">
        <v>7238</v>
      </c>
      <c r="D461" s="4296" t="s">
        <v>4897</v>
      </c>
      <c r="E461" s="4297">
        <v>5.0439559999999997</v>
      </c>
    </row>
    <row r="462" spans="2:5">
      <c r="B462" s="4296" t="s">
        <v>6189</v>
      </c>
      <c r="C462" s="4296" t="s">
        <v>7239</v>
      </c>
      <c r="D462" s="4296" t="s">
        <v>4987</v>
      </c>
      <c r="E462" s="4297">
        <v>4.9816800000000008</v>
      </c>
    </row>
    <row r="463" spans="2:5">
      <c r="B463" s="4296" t="s">
        <v>6191</v>
      </c>
      <c r="C463" s="4296" t="s">
        <v>7240</v>
      </c>
      <c r="D463" s="4296" t="s">
        <v>4897</v>
      </c>
      <c r="E463" s="4297">
        <v>4.92</v>
      </c>
    </row>
    <row r="464" spans="2:5">
      <c r="B464" s="4296" t="s">
        <v>6193</v>
      </c>
      <c r="C464" s="4287" t="s">
        <v>5497</v>
      </c>
      <c r="D464" s="4287" t="s">
        <v>4674</v>
      </c>
      <c r="E464" s="4297">
        <v>4.8106169999999997</v>
      </c>
    </row>
    <row r="465" spans="2:5">
      <c r="B465" s="4296" t="s">
        <v>6195</v>
      </c>
      <c r="C465" s="4296" t="s">
        <v>7241</v>
      </c>
      <c r="D465" s="4296" t="s">
        <v>5149</v>
      </c>
      <c r="E465" s="4297">
        <v>4.7752189999999999</v>
      </c>
    </row>
    <row r="466" spans="2:5">
      <c r="B466" s="4296" t="s">
        <v>6197</v>
      </c>
      <c r="C466" s="4296" t="s">
        <v>7242</v>
      </c>
      <c r="D466" s="4296" t="s">
        <v>4897</v>
      </c>
      <c r="E466" s="4297">
        <v>4.7737720000000001</v>
      </c>
    </row>
    <row r="467" spans="2:5">
      <c r="B467" s="4296" t="s">
        <v>6199</v>
      </c>
      <c r="C467" s="4287" t="s">
        <v>5799</v>
      </c>
      <c r="D467" s="4287" t="s">
        <v>4674</v>
      </c>
      <c r="E467" s="4297">
        <v>4.6593490000000006</v>
      </c>
    </row>
    <row r="468" spans="2:5">
      <c r="B468" s="4296" t="s">
        <v>6201</v>
      </c>
      <c r="C468" s="4296" t="s">
        <v>7243</v>
      </c>
      <c r="D468" s="4296" t="s">
        <v>4897</v>
      </c>
      <c r="E468" s="4297">
        <v>4.6500000000000004</v>
      </c>
    </row>
    <row r="469" spans="2:5">
      <c r="B469" s="4296" t="s">
        <v>6203</v>
      </c>
      <c r="C469" s="4296" t="s">
        <v>7244</v>
      </c>
      <c r="D469" s="4296" t="s">
        <v>4897</v>
      </c>
      <c r="E469" s="4297">
        <v>4.6500000000000004</v>
      </c>
    </row>
    <row r="470" spans="2:5">
      <c r="B470" s="4296" t="s">
        <v>6205</v>
      </c>
      <c r="C470" s="4296" t="s">
        <v>6200</v>
      </c>
      <c r="D470" s="4296" t="s">
        <v>5222</v>
      </c>
      <c r="E470" s="4297">
        <v>4.5238360000000011</v>
      </c>
    </row>
    <row r="471" spans="2:5">
      <c r="B471" s="4296" t="s">
        <v>6207</v>
      </c>
      <c r="C471" s="4296" t="s">
        <v>7245</v>
      </c>
      <c r="D471" s="4296" t="s">
        <v>4897</v>
      </c>
      <c r="E471" s="4297">
        <v>4.4432780000000003</v>
      </c>
    </row>
    <row r="472" spans="2:5">
      <c r="B472" s="4296" t="s">
        <v>6209</v>
      </c>
      <c r="C472" s="4296" t="s">
        <v>7246</v>
      </c>
      <c r="D472" s="4296" t="s">
        <v>4674</v>
      </c>
      <c r="E472" s="4297">
        <v>4.4039999999999999</v>
      </c>
    </row>
    <row r="473" spans="2:5">
      <c r="B473" s="4296" t="s">
        <v>6211</v>
      </c>
      <c r="C473" s="4287" t="s">
        <v>5633</v>
      </c>
      <c r="D473" s="4287" t="s">
        <v>4674</v>
      </c>
      <c r="E473" s="4297">
        <v>4.3965360000000002</v>
      </c>
    </row>
    <row r="474" spans="2:5">
      <c r="B474" s="4296" t="s">
        <v>6213</v>
      </c>
      <c r="C474" s="4296" t="s">
        <v>6188</v>
      </c>
      <c r="D474" s="4296" t="s">
        <v>4897</v>
      </c>
      <c r="E474" s="4297">
        <v>4.3397260000000006</v>
      </c>
    </row>
    <row r="475" spans="2:5">
      <c r="B475" s="4296" t="s">
        <v>6215</v>
      </c>
      <c r="C475" s="4296" t="s">
        <v>6524</v>
      </c>
      <c r="D475" s="4296" t="s">
        <v>4987</v>
      </c>
      <c r="E475" s="4297">
        <v>4.26492</v>
      </c>
    </row>
    <row r="476" spans="2:5">
      <c r="B476" s="4296" t="s">
        <v>6217</v>
      </c>
      <c r="C476" s="4287" t="s">
        <v>5559</v>
      </c>
      <c r="D476" s="4287" t="s">
        <v>4674</v>
      </c>
      <c r="E476" s="4297">
        <v>4.2263479999999998</v>
      </c>
    </row>
    <row r="477" spans="2:5">
      <c r="B477" s="4296" t="s">
        <v>6219</v>
      </c>
      <c r="C477" s="4296" t="s">
        <v>6738</v>
      </c>
      <c r="D477" s="4296" t="s">
        <v>5149</v>
      </c>
      <c r="E477" s="4297">
        <v>4.1751610000000001</v>
      </c>
    </row>
    <row r="478" spans="2:5">
      <c r="B478" s="4296" t="s">
        <v>6221</v>
      </c>
      <c r="C478" s="4296" t="s">
        <v>6898</v>
      </c>
      <c r="D478" s="4296" t="s">
        <v>4987</v>
      </c>
      <c r="E478" s="4297">
        <v>4.1158700000000001</v>
      </c>
    </row>
    <row r="479" spans="2:5">
      <c r="B479" s="4296" t="s">
        <v>6223</v>
      </c>
      <c r="C479" s="4296" t="s">
        <v>7247</v>
      </c>
      <c r="D479" s="4296" t="s">
        <v>4897</v>
      </c>
      <c r="E479" s="4297">
        <v>4.0199999999999996</v>
      </c>
    </row>
    <row r="480" spans="2:5">
      <c r="B480" s="4296" t="s">
        <v>6225</v>
      </c>
      <c r="C480" s="4296" t="s">
        <v>7248</v>
      </c>
      <c r="D480" s="4296" t="s">
        <v>4897</v>
      </c>
      <c r="E480" s="4297">
        <v>4</v>
      </c>
    </row>
    <row r="481" spans="2:5">
      <c r="B481" s="4296" t="s">
        <v>6227</v>
      </c>
      <c r="C481" s="4296" t="s">
        <v>7249</v>
      </c>
      <c r="D481" s="4296" t="s">
        <v>4897</v>
      </c>
      <c r="E481" s="4297">
        <v>4</v>
      </c>
    </row>
    <row r="482" spans="2:5">
      <c r="B482" s="4296" t="s">
        <v>6229</v>
      </c>
      <c r="C482" s="4296" t="s">
        <v>7250</v>
      </c>
      <c r="D482" s="4296" t="s">
        <v>4897</v>
      </c>
      <c r="E482" s="4297">
        <v>4</v>
      </c>
    </row>
    <row r="483" spans="2:5">
      <c r="B483" s="4296" t="s">
        <v>6231</v>
      </c>
      <c r="C483" s="4296" t="s">
        <v>7251</v>
      </c>
      <c r="D483" s="4296" t="s">
        <v>5222</v>
      </c>
      <c r="E483" s="4297">
        <v>4</v>
      </c>
    </row>
    <row r="484" spans="2:5">
      <c r="B484" s="4296" t="s">
        <v>6233</v>
      </c>
      <c r="C484" s="4296" t="s">
        <v>7252</v>
      </c>
      <c r="D484" s="4296" t="s">
        <v>5222</v>
      </c>
      <c r="E484" s="4297">
        <v>4</v>
      </c>
    </row>
    <row r="485" spans="2:5">
      <c r="B485" s="4296" t="s">
        <v>6235</v>
      </c>
      <c r="C485" s="4296" t="s">
        <v>6538</v>
      </c>
      <c r="D485" s="4296" t="s">
        <v>4897</v>
      </c>
      <c r="E485" s="4297">
        <v>3.9782620000000004</v>
      </c>
    </row>
    <row r="486" spans="2:5">
      <c r="B486" s="4296" t="s">
        <v>6237</v>
      </c>
      <c r="C486" s="4296" t="s">
        <v>7253</v>
      </c>
      <c r="D486" s="4296" t="s">
        <v>4674</v>
      </c>
      <c r="E486" s="4297">
        <v>3.9129719999999999</v>
      </c>
    </row>
    <row r="487" spans="2:5">
      <c r="B487" s="4296" t="s">
        <v>6239</v>
      </c>
      <c r="C487" s="4287" t="s">
        <v>6134</v>
      </c>
      <c r="D487" s="4287" t="s">
        <v>4674</v>
      </c>
      <c r="E487" s="4297">
        <v>3.8996140000000001</v>
      </c>
    </row>
    <row r="488" spans="2:5">
      <c r="B488" s="4296" t="s">
        <v>6241</v>
      </c>
      <c r="C488" s="4296" t="s">
        <v>7254</v>
      </c>
      <c r="D488" s="4296" t="s">
        <v>4674</v>
      </c>
      <c r="E488" s="4297">
        <v>3.8797440000000001</v>
      </c>
    </row>
    <row r="489" spans="2:5">
      <c r="B489" s="4296" t="s">
        <v>6243</v>
      </c>
      <c r="C489" s="4287" t="s">
        <v>5927</v>
      </c>
      <c r="D489" s="4287" t="s">
        <v>4674</v>
      </c>
      <c r="E489" s="4297">
        <v>3.8174999999999999</v>
      </c>
    </row>
    <row r="490" spans="2:5">
      <c r="B490" s="4296" t="s">
        <v>6245</v>
      </c>
      <c r="C490" s="4296" t="s">
        <v>7255</v>
      </c>
      <c r="D490" s="4296" t="s">
        <v>4897</v>
      </c>
      <c r="E490" s="4297">
        <v>3.8</v>
      </c>
    </row>
    <row r="491" spans="2:5">
      <c r="B491" s="4296" t="s">
        <v>6247</v>
      </c>
      <c r="C491" s="4296" t="s">
        <v>7256</v>
      </c>
      <c r="D491" s="4296" t="s">
        <v>4897</v>
      </c>
      <c r="E491" s="4297">
        <v>3.8</v>
      </c>
    </row>
    <row r="492" spans="2:5">
      <c r="B492" s="4296" t="s">
        <v>6249</v>
      </c>
      <c r="C492" s="4296" t="s">
        <v>7257</v>
      </c>
      <c r="D492" s="4296" t="s">
        <v>5222</v>
      </c>
      <c r="E492" s="4297">
        <v>3.8</v>
      </c>
    </row>
    <row r="493" spans="2:5">
      <c r="B493" s="4296" t="s">
        <v>6251</v>
      </c>
      <c r="C493" s="4287" t="s">
        <v>5889</v>
      </c>
      <c r="D493" s="4287" t="s">
        <v>4674</v>
      </c>
      <c r="E493" s="4297">
        <v>3.7312260000000004</v>
      </c>
    </row>
    <row r="494" spans="2:5">
      <c r="B494" s="4296" t="s">
        <v>6253</v>
      </c>
      <c r="C494" s="4287" t="s">
        <v>5957</v>
      </c>
      <c r="D494" s="4287" t="s">
        <v>4674</v>
      </c>
      <c r="E494" s="4297">
        <v>3.7249080000000001</v>
      </c>
    </row>
    <row r="495" spans="2:5">
      <c r="B495" s="4296" t="s">
        <v>6255</v>
      </c>
      <c r="C495" s="4296" t="s">
        <v>6078</v>
      </c>
      <c r="D495" s="4296" t="s">
        <v>4987</v>
      </c>
      <c r="E495" s="4297">
        <v>3.6643199999999996</v>
      </c>
    </row>
    <row r="496" spans="2:5">
      <c r="B496" s="4296" t="s">
        <v>6257</v>
      </c>
      <c r="C496" s="4296" t="s">
        <v>5579</v>
      </c>
      <c r="D496" s="4296" t="s">
        <v>4897</v>
      </c>
      <c r="E496" s="4297">
        <v>3.6493339999999996</v>
      </c>
    </row>
    <row r="497" spans="2:5">
      <c r="B497" s="4296" t="s">
        <v>6259</v>
      </c>
      <c r="C497" s="4296" t="s">
        <v>6304</v>
      </c>
      <c r="D497" s="4296" t="s">
        <v>5149</v>
      </c>
      <c r="E497" s="4297">
        <v>3.6374400000000002</v>
      </c>
    </row>
    <row r="498" spans="2:5">
      <c r="B498" s="4296" t="s">
        <v>6261</v>
      </c>
      <c r="C498" s="4296" t="s">
        <v>7258</v>
      </c>
      <c r="D498" s="4296" t="s">
        <v>5149</v>
      </c>
      <c r="E498" s="4297">
        <v>3.63096</v>
      </c>
    </row>
    <row r="499" spans="2:5">
      <c r="B499" s="4296" t="s">
        <v>6263</v>
      </c>
      <c r="C499" s="4296" t="s">
        <v>6496</v>
      </c>
      <c r="D499" s="4296" t="s">
        <v>5222</v>
      </c>
      <c r="E499" s="4297">
        <v>3.6129029999999998</v>
      </c>
    </row>
    <row r="500" spans="2:5">
      <c r="B500" s="4296" t="s">
        <v>6265</v>
      </c>
      <c r="C500" s="4296" t="s">
        <v>7259</v>
      </c>
      <c r="D500" s="4296" t="s">
        <v>4674</v>
      </c>
      <c r="E500" s="4297">
        <v>3.6000199999999998</v>
      </c>
    </row>
    <row r="501" spans="2:5">
      <c r="B501" s="4296" t="s">
        <v>6267</v>
      </c>
      <c r="C501" s="4296" t="s">
        <v>6588</v>
      </c>
      <c r="D501" s="4296" t="s">
        <v>5222</v>
      </c>
      <c r="E501" s="4297">
        <v>3.6</v>
      </c>
    </row>
    <row r="502" spans="2:5">
      <c r="B502" s="4296" t="s">
        <v>6269</v>
      </c>
      <c r="C502" s="4296" t="s">
        <v>7260</v>
      </c>
      <c r="D502" s="4296" t="s">
        <v>5222</v>
      </c>
      <c r="E502" s="4297">
        <v>3.6</v>
      </c>
    </row>
    <row r="503" spans="2:5">
      <c r="B503" s="4296" t="s">
        <v>6271</v>
      </c>
      <c r="C503" s="4296" t="s">
        <v>7261</v>
      </c>
      <c r="D503" s="4296" t="s">
        <v>5222</v>
      </c>
      <c r="E503" s="4297">
        <v>3.5508199999999999</v>
      </c>
    </row>
    <row r="504" spans="2:5">
      <c r="B504" s="4296" t="s">
        <v>6273</v>
      </c>
      <c r="C504" s="4296" t="s">
        <v>7262</v>
      </c>
      <c r="D504" s="4296" t="s">
        <v>4674</v>
      </c>
      <c r="E504" s="4297">
        <v>3.5421300000000002</v>
      </c>
    </row>
    <row r="505" spans="2:5">
      <c r="B505" s="4296" t="s">
        <v>6275</v>
      </c>
      <c r="C505" s="4296" t="s">
        <v>6982</v>
      </c>
      <c r="D505" s="4296" t="s">
        <v>5222</v>
      </c>
      <c r="E505" s="4297">
        <v>3.5252339999999998</v>
      </c>
    </row>
    <row r="506" spans="2:5">
      <c r="B506" s="4296" t="s">
        <v>6277</v>
      </c>
      <c r="C506" s="4296" t="s">
        <v>7263</v>
      </c>
      <c r="D506" s="4296" t="s">
        <v>4897</v>
      </c>
      <c r="E506" s="4297">
        <v>3.48</v>
      </c>
    </row>
    <row r="507" spans="2:5">
      <c r="B507" s="4296" t="s">
        <v>6279</v>
      </c>
      <c r="C507" s="4296" t="s">
        <v>7264</v>
      </c>
      <c r="D507" s="4296" t="s">
        <v>4897</v>
      </c>
      <c r="E507" s="4297">
        <v>3.48</v>
      </c>
    </row>
    <row r="508" spans="2:5">
      <c r="B508" s="4296" t="s">
        <v>6281</v>
      </c>
      <c r="C508" s="4296" t="s">
        <v>7265</v>
      </c>
      <c r="D508" s="4296" t="s">
        <v>4897</v>
      </c>
      <c r="E508" s="4297">
        <v>3.45</v>
      </c>
    </row>
    <row r="509" spans="2:5">
      <c r="B509" s="4296" t="s">
        <v>6283</v>
      </c>
      <c r="C509" s="4296" t="s">
        <v>6534</v>
      </c>
      <c r="D509" s="4296" t="s">
        <v>5222</v>
      </c>
      <c r="E509" s="4297">
        <v>3.4382900000000003</v>
      </c>
    </row>
    <row r="510" spans="2:5">
      <c r="B510" s="4296" t="s">
        <v>6285</v>
      </c>
      <c r="C510" s="4296" t="s">
        <v>7266</v>
      </c>
      <c r="D510" s="4296" t="s">
        <v>4987</v>
      </c>
      <c r="E510" s="4297">
        <v>3.4352999999999998</v>
      </c>
    </row>
    <row r="511" spans="2:5">
      <c r="B511" s="4296" t="s">
        <v>6287</v>
      </c>
      <c r="C511" s="4296" t="s">
        <v>7267</v>
      </c>
      <c r="D511" s="4296" t="s">
        <v>4897</v>
      </c>
      <c r="E511" s="4297">
        <v>3.43</v>
      </c>
    </row>
    <row r="512" spans="2:5">
      <c r="B512" s="4296" t="s">
        <v>6289</v>
      </c>
      <c r="C512" s="4296" t="s">
        <v>7268</v>
      </c>
      <c r="D512" s="4296" t="s">
        <v>4897</v>
      </c>
      <c r="E512" s="4297">
        <v>3.4</v>
      </c>
    </row>
    <row r="513" spans="2:5">
      <c r="B513" s="4296" t="s">
        <v>6291</v>
      </c>
      <c r="C513" s="4296" t="s">
        <v>7269</v>
      </c>
      <c r="D513" s="4296" t="s">
        <v>4897</v>
      </c>
      <c r="E513" s="4297">
        <v>3.4</v>
      </c>
    </row>
    <row r="514" spans="2:5">
      <c r="B514" s="4296" t="s">
        <v>6293</v>
      </c>
      <c r="C514" s="4296" t="s">
        <v>7270</v>
      </c>
      <c r="D514" s="4296" t="s">
        <v>4897</v>
      </c>
      <c r="E514" s="4297">
        <v>3.4</v>
      </c>
    </row>
    <row r="515" spans="2:5">
      <c r="B515" s="4296" t="s">
        <v>6295</v>
      </c>
      <c r="C515" s="4296" t="s">
        <v>7271</v>
      </c>
      <c r="D515" s="4296" t="s">
        <v>4897</v>
      </c>
      <c r="E515" s="4297">
        <v>3.4</v>
      </c>
    </row>
    <row r="516" spans="2:5">
      <c r="B516" s="4296" t="s">
        <v>6297</v>
      </c>
      <c r="C516" s="4296" t="s">
        <v>7272</v>
      </c>
      <c r="D516" s="4296" t="s">
        <v>4897</v>
      </c>
      <c r="E516" s="4297">
        <v>3.4</v>
      </c>
    </row>
    <row r="517" spans="2:5">
      <c r="B517" s="4296" t="s">
        <v>6299</v>
      </c>
      <c r="C517" s="4296" t="s">
        <v>6566</v>
      </c>
      <c r="D517" s="4296" t="s">
        <v>5149</v>
      </c>
      <c r="E517" s="4297">
        <v>3.3965999999999998</v>
      </c>
    </row>
    <row r="518" spans="2:5">
      <c r="B518" s="4296" t="s">
        <v>6301</v>
      </c>
      <c r="C518" s="4296" t="s">
        <v>7273</v>
      </c>
      <c r="D518" s="4296" t="s">
        <v>4674</v>
      </c>
      <c r="E518" s="4297">
        <v>3.380271</v>
      </c>
    </row>
    <row r="519" spans="2:5">
      <c r="B519" s="4296" t="s">
        <v>6303</v>
      </c>
      <c r="C519" s="4296" t="s">
        <v>7274</v>
      </c>
      <c r="D519" s="4296" t="s">
        <v>4897</v>
      </c>
      <c r="E519" s="4297">
        <v>3.36</v>
      </c>
    </row>
    <row r="520" spans="2:5">
      <c r="B520" s="4296" t="s">
        <v>6305</v>
      </c>
      <c r="C520" s="4296" t="s">
        <v>7275</v>
      </c>
      <c r="D520" s="4296" t="s">
        <v>5222</v>
      </c>
      <c r="E520" s="4297">
        <v>3.3</v>
      </c>
    </row>
    <row r="521" spans="2:5">
      <c r="B521" s="4296" t="s">
        <v>6307</v>
      </c>
      <c r="C521" s="4296" t="s">
        <v>7276</v>
      </c>
      <c r="D521" s="4296" t="s">
        <v>5222</v>
      </c>
      <c r="E521" s="4297">
        <v>3.2678569999999998</v>
      </c>
    </row>
    <row r="522" spans="2:5">
      <c r="B522" s="4296" t="s">
        <v>6309</v>
      </c>
      <c r="C522" s="4296" t="s">
        <v>7277</v>
      </c>
      <c r="D522" s="4296" t="s">
        <v>4674</v>
      </c>
      <c r="E522" s="4297">
        <v>3.2540310000000003</v>
      </c>
    </row>
    <row r="523" spans="2:5">
      <c r="B523" s="4296" t="s">
        <v>6311</v>
      </c>
      <c r="C523" s="4296" t="s">
        <v>7278</v>
      </c>
      <c r="D523" s="4296" t="s">
        <v>4674</v>
      </c>
      <c r="E523" s="4297">
        <v>3.2493599999999989</v>
      </c>
    </row>
    <row r="524" spans="2:5">
      <c r="B524" s="4296" t="s">
        <v>6313</v>
      </c>
      <c r="C524" s="4296" t="s">
        <v>7279</v>
      </c>
      <c r="D524" s="4296" t="s">
        <v>4897</v>
      </c>
      <c r="E524" s="4297">
        <v>3.24</v>
      </c>
    </row>
    <row r="525" spans="2:5">
      <c r="B525" s="4296" t="s">
        <v>6315</v>
      </c>
      <c r="C525" s="4296" t="s">
        <v>6336</v>
      </c>
      <c r="D525" s="4296" t="s">
        <v>4987</v>
      </c>
      <c r="E525" s="4297">
        <v>3.2156500000000001</v>
      </c>
    </row>
    <row r="526" spans="2:5">
      <c r="B526" s="4296" t="s">
        <v>6317</v>
      </c>
      <c r="C526" s="4296" t="s">
        <v>7280</v>
      </c>
      <c r="D526" s="4296" t="s">
        <v>4897</v>
      </c>
      <c r="E526" s="4297">
        <v>3.21</v>
      </c>
    </row>
    <row r="527" spans="2:5">
      <c r="B527" s="4296" t="s">
        <v>6319</v>
      </c>
      <c r="C527" s="4287" t="s">
        <v>5929</v>
      </c>
      <c r="D527" s="4287" t="s">
        <v>4674</v>
      </c>
      <c r="E527" s="4297">
        <v>3.2057319999999998</v>
      </c>
    </row>
    <row r="528" spans="2:5">
      <c r="B528" s="4296" t="s">
        <v>6321</v>
      </c>
      <c r="C528" s="4296" t="s">
        <v>7281</v>
      </c>
      <c r="D528" s="4296" t="s">
        <v>4897</v>
      </c>
      <c r="E528" s="4297">
        <v>3.2</v>
      </c>
    </row>
    <row r="529" spans="2:5">
      <c r="B529" s="4296" t="s">
        <v>6323</v>
      </c>
      <c r="C529" s="4296" t="s">
        <v>7282</v>
      </c>
      <c r="D529" s="4296" t="s">
        <v>4897</v>
      </c>
      <c r="E529" s="4297">
        <v>3.2</v>
      </c>
    </row>
    <row r="530" spans="2:5">
      <c r="B530" s="4296" t="s">
        <v>6325</v>
      </c>
      <c r="C530" s="4296" t="s">
        <v>7283</v>
      </c>
      <c r="D530" s="4296" t="s">
        <v>4897</v>
      </c>
      <c r="E530" s="4297">
        <v>3.2</v>
      </c>
    </row>
    <row r="531" spans="2:5">
      <c r="B531" s="4296" t="s">
        <v>6327</v>
      </c>
      <c r="C531" s="4296" t="s">
        <v>7284</v>
      </c>
      <c r="D531" s="4296" t="s">
        <v>4897</v>
      </c>
      <c r="E531" s="4297">
        <v>3.2</v>
      </c>
    </row>
    <row r="532" spans="2:5">
      <c r="B532" s="4296" t="s">
        <v>6329</v>
      </c>
      <c r="C532" s="4296" t="s">
        <v>7285</v>
      </c>
      <c r="D532" s="4296" t="s">
        <v>4897</v>
      </c>
      <c r="E532" s="4297">
        <v>3.2</v>
      </c>
    </row>
    <row r="533" spans="2:5">
      <c r="B533" s="4296" t="s">
        <v>6331</v>
      </c>
      <c r="C533" s="4296" t="s">
        <v>6292</v>
      </c>
      <c r="D533" s="4296" t="s">
        <v>4987</v>
      </c>
      <c r="E533" s="4297">
        <v>3.177</v>
      </c>
    </row>
    <row r="534" spans="2:5">
      <c r="B534" s="4296" t="s">
        <v>6333</v>
      </c>
      <c r="C534" s="4296" t="s">
        <v>7286</v>
      </c>
      <c r="D534" s="4296" t="s">
        <v>4897</v>
      </c>
      <c r="E534" s="4297">
        <v>3.1737699999999998</v>
      </c>
    </row>
    <row r="535" spans="2:5">
      <c r="B535" s="4296" t="s">
        <v>6335</v>
      </c>
      <c r="C535" s="4296" t="s">
        <v>7287</v>
      </c>
      <c r="D535" s="4296" t="s">
        <v>4897</v>
      </c>
      <c r="E535" s="4297">
        <v>3.15</v>
      </c>
    </row>
    <row r="536" spans="2:5">
      <c r="B536" s="4296" t="s">
        <v>6337</v>
      </c>
      <c r="C536" s="4296" t="s">
        <v>7288</v>
      </c>
      <c r="D536" s="4296" t="s">
        <v>4897</v>
      </c>
      <c r="E536" s="4297">
        <v>3.15</v>
      </c>
    </row>
    <row r="537" spans="2:5">
      <c r="B537" s="4296" t="s">
        <v>6339</v>
      </c>
      <c r="C537" s="4296" t="s">
        <v>7289</v>
      </c>
      <c r="D537" s="4296" t="s">
        <v>5222</v>
      </c>
      <c r="E537" s="4297">
        <v>3.15</v>
      </c>
    </row>
    <row r="538" spans="2:5">
      <c r="B538" s="4296" t="s">
        <v>6341</v>
      </c>
      <c r="C538" s="4296" t="s">
        <v>7290</v>
      </c>
      <c r="D538" s="4296" t="s">
        <v>4897</v>
      </c>
      <c r="E538" s="4297">
        <v>3.1135940000000004</v>
      </c>
    </row>
    <row r="539" spans="2:5">
      <c r="B539" s="4296" t="s">
        <v>6343</v>
      </c>
      <c r="C539" s="4296" t="s">
        <v>7291</v>
      </c>
      <c r="D539" s="4296" t="s">
        <v>5222</v>
      </c>
      <c r="E539" s="4297">
        <v>3.0978260000000004</v>
      </c>
    </row>
    <row r="540" spans="2:5">
      <c r="B540" s="4296" t="s">
        <v>6345</v>
      </c>
      <c r="C540" s="4296" t="s">
        <v>7292</v>
      </c>
      <c r="D540" s="4296" t="s">
        <v>4987</v>
      </c>
      <c r="E540" s="4297">
        <v>3.0920400000000003</v>
      </c>
    </row>
    <row r="541" spans="2:5">
      <c r="B541" s="4296" t="s">
        <v>6347</v>
      </c>
      <c r="C541" s="4296" t="s">
        <v>6442</v>
      </c>
      <c r="D541" s="4296" t="s">
        <v>5222</v>
      </c>
      <c r="E541" s="4297">
        <v>3.0709680000000001</v>
      </c>
    </row>
    <row r="542" spans="2:5">
      <c r="B542" s="4296" t="s">
        <v>6349</v>
      </c>
      <c r="C542" s="4296" t="s">
        <v>7293</v>
      </c>
      <c r="D542" s="4296" t="s">
        <v>4897</v>
      </c>
      <c r="E542" s="4297">
        <v>3.0000000000000004</v>
      </c>
    </row>
    <row r="543" spans="2:5">
      <c r="B543" s="4296" t="s">
        <v>6351</v>
      </c>
      <c r="C543" s="4296" t="s">
        <v>7294</v>
      </c>
      <c r="D543" s="4296" t="s">
        <v>5222</v>
      </c>
      <c r="E543" s="4297">
        <v>3.0000000000000004</v>
      </c>
    </row>
    <row r="544" spans="2:5">
      <c r="B544" s="4296" t="s">
        <v>6353</v>
      </c>
      <c r="C544" s="4296" t="s">
        <v>7295</v>
      </c>
      <c r="D544" s="4296" t="s">
        <v>4897</v>
      </c>
      <c r="E544" s="4297">
        <v>3</v>
      </c>
    </row>
    <row r="545" spans="2:5">
      <c r="B545" s="4296" t="s">
        <v>6355</v>
      </c>
      <c r="C545" s="4296" t="s">
        <v>7296</v>
      </c>
      <c r="D545" s="4296" t="s">
        <v>4897</v>
      </c>
      <c r="E545" s="4297">
        <v>3</v>
      </c>
    </row>
    <row r="546" spans="2:5">
      <c r="B546" s="4296" t="s">
        <v>6357</v>
      </c>
      <c r="C546" s="4296" t="s">
        <v>7297</v>
      </c>
      <c r="D546" s="4296" t="s">
        <v>4897</v>
      </c>
      <c r="E546" s="4297">
        <v>3</v>
      </c>
    </row>
    <row r="547" spans="2:5">
      <c r="B547" s="4296" t="s">
        <v>6359</v>
      </c>
      <c r="C547" s="4296" t="s">
        <v>7298</v>
      </c>
      <c r="D547" s="4296" t="s">
        <v>4897</v>
      </c>
      <c r="E547" s="4297">
        <v>3</v>
      </c>
    </row>
    <row r="548" spans="2:5">
      <c r="B548" s="4296" t="s">
        <v>6361</v>
      </c>
      <c r="C548" s="4296" t="s">
        <v>7299</v>
      </c>
      <c r="D548" s="4296" t="s">
        <v>4897</v>
      </c>
      <c r="E548" s="4297">
        <v>3</v>
      </c>
    </row>
    <row r="549" spans="2:5">
      <c r="B549" s="4296" t="s">
        <v>6363</v>
      </c>
      <c r="C549" s="4296" t="s">
        <v>7300</v>
      </c>
      <c r="D549" s="4296" t="s">
        <v>4897</v>
      </c>
      <c r="E549" s="4297">
        <v>3</v>
      </c>
    </row>
    <row r="550" spans="2:5">
      <c r="B550" s="4296" t="s">
        <v>6365</v>
      </c>
      <c r="C550" s="4296" t="s">
        <v>7301</v>
      </c>
      <c r="D550" s="4296" t="s">
        <v>4897</v>
      </c>
      <c r="E550" s="4297">
        <v>3</v>
      </c>
    </row>
    <row r="551" spans="2:5">
      <c r="B551" s="4296" t="s">
        <v>6367</v>
      </c>
      <c r="C551" s="4296" t="s">
        <v>7302</v>
      </c>
      <c r="D551" s="4296" t="s">
        <v>5222</v>
      </c>
      <c r="E551" s="4297">
        <v>3</v>
      </c>
    </row>
    <row r="552" spans="2:5">
      <c r="B552" s="4296" t="s">
        <v>6369</v>
      </c>
      <c r="C552" s="4296" t="s">
        <v>7303</v>
      </c>
      <c r="D552" s="4296" t="s">
        <v>5222</v>
      </c>
      <c r="E552" s="4297">
        <v>3</v>
      </c>
    </row>
    <row r="553" spans="2:5">
      <c r="B553" s="4296" t="s">
        <v>6371</v>
      </c>
      <c r="C553" s="4296" t="s">
        <v>7304</v>
      </c>
      <c r="D553" s="4296" t="s">
        <v>5222</v>
      </c>
      <c r="E553" s="4297">
        <v>3</v>
      </c>
    </row>
    <row r="554" spans="2:5">
      <c r="B554" s="4296" t="s">
        <v>6373</v>
      </c>
      <c r="C554" s="4296" t="s">
        <v>7305</v>
      </c>
      <c r="D554" s="4296" t="s">
        <v>5222</v>
      </c>
      <c r="E554" s="4297">
        <v>3</v>
      </c>
    </row>
    <row r="555" spans="2:5">
      <c r="B555" s="4296" t="s">
        <v>6375</v>
      </c>
      <c r="C555" s="4296" t="s">
        <v>7306</v>
      </c>
      <c r="D555" s="4296" t="s">
        <v>5222</v>
      </c>
      <c r="E555" s="4297">
        <v>3</v>
      </c>
    </row>
    <row r="556" spans="2:5">
      <c r="B556" s="4296" t="s">
        <v>6377</v>
      </c>
      <c r="C556" s="4287" t="s">
        <v>5827</v>
      </c>
      <c r="D556" s="4287" t="s">
        <v>4674</v>
      </c>
      <c r="E556" s="4297">
        <v>2.9918539999999996</v>
      </c>
    </row>
    <row r="557" spans="2:5">
      <c r="B557" s="4296" t="s">
        <v>6379</v>
      </c>
      <c r="C557" s="4287" t="s">
        <v>5617</v>
      </c>
      <c r="D557" s="4287" t="s">
        <v>4674</v>
      </c>
      <c r="E557" s="4297">
        <v>2.9897099999999996</v>
      </c>
    </row>
    <row r="558" spans="2:5">
      <c r="B558" s="4296" t="s">
        <v>6381</v>
      </c>
      <c r="C558" s="4296" t="s">
        <v>7307</v>
      </c>
      <c r="D558" s="4296" t="s">
        <v>5222</v>
      </c>
      <c r="E558" s="4297">
        <v>2.9016999999999999</v>
      </c>
    </row>
    <row r="559" spans="2:5">
      <c r="B559" s="4296" t="s">
        <v>6383</v>
      </c>
      <c r="C559" s="4296" t="s">
        <v>7308</v>
      </c>
      <c r="D559" s="4296" t="s">
        <v>4897</v>
      </c>
      <c r="E559" s="4297">
        <v>2.85</v>
      </c>
    </row>
    <row r="560" spans="2:5">
      <c r="B560" s="4296" t="s">
        <v>6385</v>
      </c>
      <c r="C560" s="4296" t="s">
        <v>7309</v>
      </c>
      <c r="D560" s="4296" t="s">
        <v>5222</v>
      </c>
      <c r="E560" s="4297">
        <v>2.8022480000000005</v>
      </c>
    </row>
    <row r="561" spans="2:5">
      <c r="B561" s="4296" t="s">
        <v>6387</v>
      </c>
      <c r="C561" s="4296" t="s">
        <v>7310</v>
      </c>
      <c r="D561" s="4296" t="s">
        <v>4897</v>
      </c>
      <c r="E561" s="4297">
        <v>2.8</v>
      </c>
    </row>
    <row r="562" spans="2:5">
      <c r="B562" s="4296" t="s">
        <v>6389</v>
      </c>
      <c r="C562" s="4296" t="s">
        <v>7311</v>
      </c>
      <c r="D562" s="4296" t="s">
        <v>4897</v>
      </c>
      <c r="E562" s="4297">
        <v>2.8</v>
      </c>
    </row>
    <row r="563" spans="2:5">
      <c r="B563" s="4296" t="s">
        <v>6391</v>
      </c>
      <c r="C563" s="4296" t="s">
        <v>6366</v>
      </c>
      <c r="D563" s="4296" t="s">
        <v>4987</v>
      </c>
      <c r="E563" s="4297">
        <v>2.769765</v>
      </c>
    </row>
    <row r="564" spans="2:5">
      <c r="B564" s="4296" t="s">
        <v>6393</v>
      </c>
      <c r="C564" s="4296" t="s">
        <v>7312</v>
      </c>
      <c r="D564" s="4296" t="s">
        <v>5149</v>
      </c>
      <c r="E564" s="4297">
        <v>2.7629999999999999</v>
      </c>
    </row>
    <row r="565" spans="2:5">
      <c r="B565" s="4296" t="s">
        <v>6395</v>
      </c>
      <c r="C565" s="4296" t="s">
        <v>7313</v>
      </c>
      <c r="D565" s="4296" t="s">
        <v>4897</v>
      </c>
      <c r="E565" s="4297">
        <v>2.7368419999999998</v>
      </c>
    </row>
    <row r="566" spans="2:5">
      <c r="B566" s="4296" t="s">
        <v>6397</v>
      </c>
      <c r="C566" s="4296" t="s">
        <v>6658</v>
      </c>
      <c r="D566" s="4296" t="s">
        <v>4987</v>
      </c>
      <c r="E566" s="4297">
        <v>2.7145999999999999</v>
      </c>
    </row>
    <row r="567" spans="2:5">
      <c r="B567" s="4296" t="s">
        <v>6399</v>
      </c>
      <c r="C567" s="4296" t="s">
        <v>7314</v>
      </c>
      <c r="D567" s="4296" t="s">
        <v>4897</v>
      </c>
      <c r="E567" s="4297">
        <v>2.7</v>
      </c>
    </row>
    <row r="568" spans="2:5">
      <c r="B568" s="4296" t="s">
        <v>6401</v>
      </c>
      <c r="C568" s="4296" t="s">
        <v>7315</v>
      </c>
      <c r="D568" s="4296" t="s">
        <v>4897</v>
      </c>
      <c r="E568" s="4297">
        <v>2.7</v>
      </c>
    </row>
    <row r="569" spans="2:5">
      <c r="B569" s="4296" t="s">
        <v>6403</v>
      </c>
      <c r="C569" s="4296" t="s">
        <v>6908</v>
      </c>
      <c r="D569" s="4296" t="s">
        <v>5222</v>
      </c>
      <c r="E569" s="4297">
        <v>2.6984029999999994</v>
      </c>
    </row>
    <row r="570" spans="2:5">
      <c r="B570" s="4296" t="s">
        <v>6405</v>
      </c>
      <c r="C570" s="4296" t="s">
        <v>6334</v>
      </c>
      <c r="D570" s="4296" t="s">
        <v>4987</v>
      </c>
      <c r="E570" s="4297">
        <v>2.6676559999999996</v>
      </c>
    </row>
    <row r="571" spans="2:5">
      <c r="B571" s="4296" t="s">
        <v>6407</v>
      </c>
      <c r="C571" s="4296" t="s">
        <v>7316</v>
      </c>
      <c r="D571" s="4296" t="s">
        <v>4897</v>
      </c>
      <c r="E571" s="4297">
        <v>2.64</v>
      </c>
    </row>
    <row r="572" spans="2:5">
      <c r="B572" s="4296" t="s">
        <v>6409</v>
      </c>
      <c r="C572" s="4296" t="s">
        <v>7317</v>
      </c>
      <c r="D572" s="4296" t="s">
        <v>4897</v>
      </c>
      <c r="E572" s="4297">
        <v>2.64</v>
      </c>
    </row>
    <row r="573" spans="2:5">
      <c r="B573" s="4296" t="s">
        <v>6411</v>
      </c>
      <c r="C573" s="4296" t="s">
        <v>7318</v>
      </c>
      <c r="D573" s="4296" t="s">
        <v>4674</v>
      </c>
      <c r="E573" s="4297">
        <v>2.6317200000000001</v>
      </c>
    </row>
    <row r="574" spans="2:5">
      <c r="B574" s="4296" t="s">
        <v>6413</v>
      </c>
      <c r="C574" s="4296" t="s">
        <v>7319</v>
      </c>
      <c r="D574" s="4296" t="s">
        <v>4674</v>
      </c>
      <c r="E574" s="4297">
        <v>2.61008</v>
      </c>
    </row>
    <row r="575" spans="2:5">
      <c r="B575" s="4296" t="s">
        <v>6415</v>
      </c>
      <c r="C575" s="4296" t="s">
        <v>7320</v>
      </c>
      <c r="D575" s="4296" t="s">
        <v>4897</v>
      </c>
      <c r="E575" s="4297">
        <v>2.6</v>
      </c>
    </row>
    <row r="576" spans="2:5">
      <c r="B576" s="4296" t="s">
        <v>6417</v>
      </c>
      <c r="C576" s="4296" t="s">
        <v>7321</v>
      </c>
      <c r="D576" s="4296" t="s">
        <v>4897</v>
      </c>
      <c r="E576" s="4297">
        <v>2.58</v>
      </c>
    </row>
    <row r="577" spans="2:5">
      <c r="B577" s="4296" t="s">
        <v>6419</v>
      </c>
      <c r="C577" s="4296" t="s">
        <v>7322</v>
      </c>
      <c r="D577" s="4296" t="s">
        <v>4897</v>
      </c>
      <c r="E577" s="4297">
        <v>2.5499999999999998</v>
      </c>
    </row>
    <row r="578" spans="2:5">
      <c r="B578" s="4296" t="s">
        <v>6421</v>
      </c>
      <c r="C578" s="4296" t="s">
        <v>7323</v>
      </c>
      <c r="D578" s="4296" t="s">
        <v>4897</v>
      </c>
      <c r="E578" s="4297">
        <v>2.5499999999999998</v>
      </c>
    </row>
    <row r="579" spans="2:5">
      <c r="B579" s="4296" t="s">
        <v>6423</v>
      </c>
      <c r="C579" s="4296" t="s">
        <v>7324</v>
      </c>
      <c r="D579" s="4296" t="s">
        <v>4897</v>
      </c>
      <c r="E579" s="4297">
        <v>2.5499999999999998</v>
      </c>
    </row>
    <row r="580" spans="2:5">
      <c r="B580" s="4296" t="s">
        <v>6425</v>
      </c>
      <c r="C580" s="4296" t="s">
        <v>7325</v>
      </c>
      <c r="D580" s="4296" t="s">
        <v>4897</v>
      </c>
      <c r="E580" s="4297">
        <v>2.538462</v>
      </c>
    </row>
    <row r="581" spans="2:5">
      <c r="B581" s="4296" t="s">
        <v>6427</v>
      </c>
      <c r="C581" s="4296" t="s">
        <v>7326</v>
      </c>
      <c r="D581" s="4296" t="s">
        <v>4897</v>
      </c>
      <c r="E581" s="4297">
        <v>2.5200000000000005</v>
      </c>
    </row>
    <row r="582" spans="2:5">
      <c r="B582" s="4296" t="s">
        <v>6429</v>
      </c>
      <c r="C582" s="4296" t="s">
        <v>7327</v>
      </c>
      <c r="D582" s="4296" t="s">
        <v>4897</v>
      </c>
      <c r="E582" s="4297">
        <v>2.52</v>
      </c>
    </row>
    <row r="583" spans="2:5">
      <c r="B583" s="4296" t="s">
        <v>6431</v>
      </c>
      <c r="C583" s="4296" t="s">
        <v>7328</v>
      </c>
      <c r="D583" s="4296" t="s">
        <v>4897</v>
      </c>
      <c r="E583" s="4297">
        <v>2.5</v>
      </c>
    </row>
    <row r="584" spans="2:5">
      <c r="B584" s="4296" t="s">
        <v>6433</v>
      </c>
      <c r="C584" s="4296" t="s">
        <v>7329</v>
      </c>
      <c r="D584" s="4296" t="s">
        <v>4897</v>
      </c>
      <c r="E584" s="4297">
        <v>2.5</v>
      </c>
    </row>
    <row r="585" spans="2:5">
      <c r="B585" s="4296" t="s">
        <v>6435</v>
      </c>
      <c r="C585" s="4296" t="s">
        <v>7330</v>
      </c>
      <c r="D585" s="4296" t="s">
        <v>4897</v>
      </c>
      <c r="E585" s="4297">
        <v>2.5</v>
      </c>
    </row>
    <row r="586" spans="2:5">
      <c r="B586" s="4296" t="s">
        <v>6437</v>
      </c>
      <c r="C586" s="4296" t="s">
        <v>7331</v>
      </c>
      <c r="D586" s="4296" t="s">
        <v>4897</v>
      </c>
      <c r="E586" s="4297">
        <v>2.5</v>
      </c>
    </row>
    <row r="587" spans="2:5">
      <c r="B587" s="4296" t="s">
        <v>6439</v>
      </c>
      <c r="C587" s="4296" t="s">
        <v>7332</v>
      </c>
      <c r="D587" s="4296" t="s">
        <v>4897</v>
      </c>
      <c r="E587" s="4297">
        <v>2.5</v>
      </c>
    </row>
    <row r="588" spans="2:5">
      <c r="B588" s="4296" t="s">
        <v>6441</v>
      </c>
      <c r="C588" s="4296" t="s">
        <v>7333</v>
      </c>
      <c r="D588" s="4296" t="s">
        <v>4897</v>
      </c>
      <c r="E588" s="4297">
        <v>2.5</v>
      </c>
    </row>
    <row r="589" spans="2:5">
      <c r="B589" s="4296" t="s">
        <v>6443</v>
      </c>
      <c r="C589" s="4296" t="s">
        <v>6320</v>
      </c>
      <c r="D589" s="4296" t="s">
        <v>5222</v>
      </c>
      <c r="E589" s="4297">
        <v>2.5</v>
      </c>
    </row>
    <row r="590" spans="2:5">
      <c r="B590" s="4296" t="s">
        <v>6445</v>
      </c>
      <c r="C590" s="4296" t="s">
        <v>7334</v>
      </c>
      <c r="D590" s="4296" t="s">
        <v>5222</v>
      </c>
      <c r="E590" s="4297">
        <v>2.5</v>
      </c>
    </row>
    <row r="591" spans="2:5">
      <c r="B591" s="4296" t="s">
        <v>6447</v>
      </c>
      <c r="C591" s="4296" t="s">
        <v>6700</v>
      </c>
      <c r="D591" s="4296" t="s">
        <v>5222</v>
      </c>
      <c r="E591" s="4297">
        <v>2.46</v>
      </c>
    </row>
    <row r="592" spans="2:5">
      <c r="B592" s="4296" t="s">
        <v>6449</v>
      </c>
      <c r="C592" s="4296" t="s">
        <v>6812</v>
      </c>
      <c r="D592" s="4296" t="s">
        <v>4987</v>
      </c>
      <c r="E592" s="4297">
        <v>2.4249599999999996</v>
      </c>
    </row>
    <row r="593" spans="2:5">
      <c r="B593" s="4296" t="s">
        <v>6451</v>
      </c>
      <c r="C593" s="4296" t="s">
        <v>7335</v>
      </c>
      <c r="D593" s="4296" t="s">
        <v>4897</v>
      </c>
      <c r="E593" s="4297">
        <v>2.4</v>
      </c>
    </row>
    <row r="594" spans="2:5">
      <c r="B594" s="4296" t="s">
        <v>6453</v>
      </c>
      <c r="C594" s="4296" t="s">
        <v>7336</v>
      </c>
      <c r="D594" s="4296" t="s">
        <v>4897</v>
      </c>
      <c r="E594" s="4297">
        <v>2.4</v>
      </c>
    </row>
    <row r="595" spans="2:5">
      <c r="B595" s="4296" t="s">
        <v>6455</v>
      </c>
      <c r="C595" s="4296" t="s">
        <v>7337</v>
      </c>
      <c r="D595" s="4296" t="s">
        <v>4897</v>
      </c>
      <c r="E595" s="4297">
        <v>2.4</v>
      </c>
    </row>
    <row r="596" spans="2:5">
      <c r="B596" s="4296" t="s">
        <v>6457</v>
      </c>
      <c r="C596" s="4296" t="s">
        <v>7338</v>
      </c>
      <c r="D596" s="4296" t="s">
        <v>5222</v>
      </c>
      <c r="E596" s="4297">
        <v>2.4</v>
      </c>
    </row>
    <row r="597" spans="2:5">
      <c r="B597" s="4296" t="s">
        <v>6459</v>
      </c>
      <c r="C597" s="4296" t="s">
        <v>6684</v>
      </c>
      <c r="D597" s="4296" t="s">
        <v>5222</v>
      </c>
      <c r="E597" s="4297">
        <v>2.4</v>
      </c>
    </row>
    <row r="598" spans="2:5">
      <c r="B598" s="4296" t="s">
        <v>6461</v>
      </c>
      <c r="C598" s="4296" t="s">
        <v>7339</v>
      </c>
      <c r="D598" s="4296" t="s">
        <v>5222</v>
      </c>
      <c r="E598" s="4297">
        <v>2.4</v>
      </c>
    </row>
    <row r="599" spans="2:5">
      <c r="B599" s="4296" t="s">
        <v>6463</v>
      </c>
      <c r="C599" s="4296" t="s">
        <v>7340</v>
      </c>
      <c r="D599" s="4296" t="s">
        <v>4987</v>
      </c>
      <c r="E599" s="4297">
        <v>2.38896</v>
      </c>
    </row>
    <row r="600" spans="2:5">
      <c r="B600" s="4296" t="s">
        <v>6465</v>
      </c>
      <c r="C600" s="4287" t="s">
        <v>5587</v>
      </c>
      <c r="D600" s="4287" t="s">
        <v>4674</v>
      </c>
      <c r="E600" s="4297">
        <v>2.3849400000000003</v>
      </c>
    </row>
    <row r="601" spans="2:5">
      <c r="B601" s="4296" t="s">
        <v>6467</v>
      </c>
      <c r="C601" s="4296" t="s">
        <v>6802</v>
      </c>
      <c r="D601" s="4296" t="s">
        <v>4897</v>
      </c>
      <c r="E601" s="4297">
        <v>2.3558219999999994</v>
      </c>
    </row>
    <row r="602" spans="2:5">
      <c r="B602" s="4296" t="s">
        <v>6469</v>
      </c>
      <c r="C602" s="4287" t="s">
        <v>5769</v>
      </c>
      <c r="D602" s="4287" t="s">
        <v>4674</v>
      </c>
      <c r="E602" s="4297">
        <v>2.3287499999999999</v>
      </c>
    </row>
    <row r="603" spans="2:5">
      <c r="B603" s="4296" t="s">
        <v>6471</v>
      </c>
      <c r="C603" s="4296" t="s">
        <v>6600</v>
      </c>
      <c r="D603" s="4296" t="s">
        <v>4987</v>
      </c>
      <c r="E603" s="4297">
        <v>2.3210400000000004</v>
      </c>
    </row>
    <row r="604" spans="2:5">
      <c r="B604" s="4296" t="s">
        <v>6473</v>
      </c>
      <c r="C604" s="4296" t="s">
        <v>7341</v>
      </c>
      <c r="D604" s="4296" t="s">
        <v>4897</v>
      </c>
      <c r="E604" s="4297">
        <v>2.2999999999999998</v>
      </c>
    </row>
    <row r="605" spans="2:5">
      <c r="B605" s="4296" t="s">
        <v>6475</v>
      </c>
      <c r="C605" s="4296" t="s">
        <v>7342</v>
      </c>
      <c r="D605" s="4296" t="s">
        <v>4897</v>
      </c>
      <c r="E605" s="4297">
        <v>2.2999999999999998</v>
      </c>
    </row>
    <row r="606" spans="2:5">
      <c r="B606" s="4296" t="s">
        <v>6477</v>
      </c>
      <c r="C606" s="4296" t="s">
        <v>7343</v>
      </c>
      <c r="D606" s="4296" t="s">
        <v>4897</v>
      </c>
      <c r="E606" s="4297">
        <v>2.2999999999999998</v>
      </c>
    </row>
    <row r="607" spans="2:5">
      <c r="B607" s="4296" t="s">
        <v>6479</v>
      </c>
      <c r="C607" s="4296" t="s">
        <v>7344</v>
      </c>
      <c r="D607" s="4296" t="s">
        <v>4897</v>
      </c>
      <c r="E607" s="4297">
        <v>2.2999999999999998</v>
      </c>
    </row>
    <row r="608" spans="2:5">
      <c r="B608" s="4296" t="s">
        <v>6481</v>
      </c>
      <c r="C608" s="4296" t="s">
        <v>7345</v>
      </c>
      <c r="D608" s="4296" t="s">
        <v>4897</v>
      </c>
      <c r="E608" s="4297">
        <v>2.2749999999999999</v>
      </c>
    </row>
    <row r="609" spans="2:5">
      <c r="B609" s="4296" t="s">
        <v>6483</v>
      </c>
      <c r="C609" s="4296" t="s">
        <v>7346</v>
      </c>
      <c r="D609" s="4296" t="s">
        <v>5222</v>
      </c>
      <c r="E609" s="4297">
        <v>2.246</v>
      </c>
    </row>
    <row r="610" spans="2:5">
      <c r="B610" s="4296" t="s">
        <v>6485</v>
      </c>
      <c r="C610" s="4287" t="s">
        <v>7347</v>
      </c>
      <c r="D610" s="4287" t="s">
        <v>4674</v>
      </c>
      <c r="E610" s="4297">
        <v>2.2335470000000002</v>
      </c>
    </row>
    <row r="611" spans="2:5">
      <c r="B611" s="4296" t="s">
        <v>6487</v>
      </c>
      <c r="C611" s="4296" t="s">
        <v>7348</v>
      </c>
      <c r="D611" s="4296" t="s">
        <v>4897</v>
      </c>
      <c r="E611" s="4297">
        <v>2.2000000000000002</v>
      </c>
    </row>
    <row r="612" spans="2:5">
      <c r="B612" s="4296" t="s">
        <v>6489</v>
      </c>
      <c r="C612" s="4296" t="s">
        <v>7349</v>
      </c>
      <c r="D612" s="4296" t="s">
        <v>4897</v>
      </c>
      <c r="E612" s="4297">
        <v>2.2000000000000002</v>
      </c>
    </row>
    <row r="613" spans="2:5">
      <c r="B613" s="4296" t="s">
        <v>6491</v>
      </c>
      <c r="C613" s="4296" t="s">
        <v>7350</v>
      </c>
      <c r="D613" s="4296" t="s">
        <v>4897</v>
      </c>
      <c r="E613" s="4297">
        <v>2.2000000000000002</v>
      </c>
    </row>
    <row r="614" spans="2:5">
      <c r="B614" s="4296" t="s">
        <v>6493</v>
      </c>
      <c r="C614" s="4296" t="s">
        <v>7351</v>
      </c>
      <c r="D614" s="4296" t="s">
        <v>4897</v>
      </c>
      <c r="E614" s="4297">
        <v>2.2000000000000002</v>
      </c>
    </row>
    <row r="615" spans="2:5">
      <c r="B615" s="4296" t="s">
        <v>6495</v>
      </c>
      <c r="C615" s="4296" t="s">
        <v>7352</v>
      </c>
      <c r="D615" s="4296" t="s">
        <v>4897</v>
      </c>
      <c r="E615" s="4297">
        <v>2.2000000000000002</v>
      </c>
    </row>
    <row r="616" spans="2:5">
      <c r="B616" s="4296" t="s">
        <v>6497</v>
      </c>
      <c r="C616" s="4296" t="s">
        <v>7353</v>
      </c>
      <c r="D616" s="4296" t="s">
        <v>4897</v>
      </c>
      <c r="E616" s="4297">
        <v>2.2000000000000002</v>
      </c>
    </row>
    <row r="617" spans="2:5">
      <c r="B617" s="4296" t="s">
        <v>6499</v>
      </c>
      <c r="C617" s="4296" t="s">
        <v>7354</v>
      </c>
      <c r="D617" s="4296" t="s">
        <v>4897</v>
      </c>
      <c r="E617" s="4297">
        <v>2.2000000000000002</v>
      </c>
    </row>
    <row r="618" spans="2:5">
      <c r="B618" s="4296" t="s">
        <v>6501</v>
      </c>
      <c r="C618" s="4296" t="s">
        <v>7355</v>
      </c>
      <c r="D618" s="4296" t="s">
        <v>4897</v>
      </c>
      <c r="E618" s="4297">
        <v>2.2000000000000002</v>
      </c>
    </row>
    <row r="619" spans="2:5">
      <c r="B619" s="4296" t="s">
        <v>6503</v>
      </c>
      <c r="C619" s="4296" t="s">
        <v>7356</v>
      </c>
      <c r="D619" s="4296" t="s">
        <v>4897</v>
      </c>
      <c r="E619" s="4297">
        <v>2.2000000000000002</v>
      </c>
    </row>
    <row r="620" spans="2:5">
      <c r="B620" s="4296" t="s">
        <v>6505</v>
      </c>
      <c r="C620" s="4287" t="s">
        <v>5699</v>
      </c>
      <c r="D620" s="4287" t="s">
        <v>4674</v>
      </c>
      <c r="E620" s="4297">
        <v>2.1785049999999999</v>
      </c>
    </row>
    <row r="621" spans="2:5">
      <c r="B621" s="4296" t="s">
        <v>6507</v>
      </c>
      <c r="C621" s="4296" t="s">
        <v>7357</v>
      </c>
      <c r="D621" s="4296" t="s">
        <v>4987</v>
      </c>
      <c r="E621" s="4297">
        <v>2.1743999999999999</v>
      </c>
    </row>
    <row r="622" spans="2:5">
      <c r="B622" s="4296" t="s">
        <v>6509</v>
      </c>
      <c r="C622" s="4296" t="s">
        <v>6894</v>
      </c>
      <c r="D622" s="4296" t="s">
        <v>4897</v>
      </c>
      <c r="E622" s="4297">
        <v>2.1365220000000003</v>
      </c>
    </row>
    <row r="623" spans="2:5">
      <c r="B623" s="4296" t="s">
        <v>6511</v>
      </c>
      <c r="C623" s="4296" t="s">
        <v>7358</v>
      </c>
      <c r="D623" s="4296" t="s">
        <v>4897</v>
      </c>
      <c r="E623" s="4297">
        <v>2.1</v>
      </c>
    </row>
    <row r="624" spans="2:5">
      <c r="B624" s="4296" t="s">
        <v>6513</v>
      </c>
      <c r="C624" s="4296" t="s">
        <v>7359</v>
      </c>
      <c r="D624" s="4296" t="s">
        <v>4897</v>
      </c>
      <c r="E624" s="4297">
        <v>2.1</v>
      </c>
    </row>
    <row r="625" spans="2:5">
      <c r="B625" s="4296" t="s">
        <v>6515</v>
      </c>
      <c r="C625" s="4296" t="s">
        <v>7360</v>
      </c>
      <c r="D625" s="4296" t="s">
        <v>4897</v>
      </c>
      <c r="E625" s="4297">
        <v>2.1</v>
      </c>
    </row>
    <row r="626" spans="2:5">
      <c r="B626" s="4296" t="s">
        <v>6517</v>
      </c>
      <c r="C626" s="4296" t="s">
        <v>7361</v>
      </c>
      <c r="D626" s="4296" t="s">
        <v>5222</v>
      </c>
      <c r="E626" s="4297">
        <v>2.1</v>
      </c>
    </row>
    <row r="627" spans="2:5">
      <c r="B627" s="4296" t="s">
        <v>6519</v>
      </c>
      <c r="C627" s="4296" t="s">
        <v>6308</v>
      </c>
      <c r="D627" s="4296" t="s">
        <v>5222</v>
      </c>
      <c r="E627" s="4297">
        <v>2.1</v>
      </c>
    </row>
    <row r="628" spans="2:5">
      <c r="B628" s="4296" t="s">
        <v>6521</v>
      </c>
      <c r="C628" s="4296" t="s">
        <v>6804</v>
      </c>
      <c r="D628" s="4296" t="s">
        <v>5149</v>
      </c>
      <c r="E628" s="4297">
        <v>2.0790000000000002</v>
      </c>
    </row>
    <row r="629" spans="2:5">
      <c r="B629" s="4296" t="s">
        <v>6523</v>
      </c>
      <c r="C629" s="4296" t="s">
        <v>7362</v>
      </c>
      <c r="D629" s="4296" t="s">
        <v>4897</v>
      </c>
      <c r="E629" s="4297">
        <v>2.0709680000000001</v>
      </c>
    </row>
    <row r="630" spans="2:5">
      <c r="B630" s="4296" t="s">
        <v>6525</v>
      </c>
      <c r="C630" s="4296" t="s">
        <v>7363</v>
      </c>
      <c r="D630" s="4296" t="s">
        <v>4897</v>
      </c>
      <c r="E630" s="4297">
        <v>2.0699999999999998</v>
      </c>
    </row>
    <row r="631" spans="2:5">
      <c r="B631" s="4296" t="s">
        <v>6527</v>
      </c>
      <c r="C631" s="4296" t="s">
        <v>7364</v>
      </c>
      <c r="D631" s="4296" t="s">
        <v>4987</v>
      </c>
      <c r="E631" s="4297">
        <v>2.0678400000000003</v>
      </c>
    </row>
    <row r="632" spans="2:5">
      <c r="B632" s="4296" t="s">
        <v>6529</v>
      </c>
      <c r="C632" s="4296" t="s">
        <v>7365</v>
      </c>
      <c r="D632" s="4296" t="s">
        <v>5222</v>
      </c>
      <c r="E632" s="4297">
        <v>2.0499999999999998</v>
      </c>
    </row>
    <row r="633" spans="2:5">
      <c r="B633" s="4296" t="s">
        <v>6531</v>
      </c>
      <c r="C633" s="4296" t="s">
        <v>6872</v>
      </c>
      <c r="D633" s="4296" t="s">
        <v>4897</v>
      </c>
      <c r="E633" s="4297">
        <v>2.01613</v>
      </c>
    </row>
    <row r="634" spans="2:5">
      <c r="B634" s="4296" t="s">
        <v>6533</v>
      </c>
      <c r="C634" s="4296" t="s">
        <v>7366</v>
      </c>
      <c r="D634" s="4296" t="s">
        <v>4897</v>
      </c>
      <c r="E634" s="4297">
        <v>2</v>
      </c>
    </row>
    <row r="635" spans="2:5">
      <c r="B635" s="4296" t="s">
        <v>6535</v>
      </c>
      <c r="C635" s="4296" t="s">
        <v>7367</v>
      </c>
      <c r="D635" s="4296" t="s">
        <v>4897</v>
      </c>
      <c r="E635" s="4297">
        <v>2</v>
      </c>
    </row>
    <row r="636" spans="2:5">
      <c r="B636" s="4296" t="s">
        <v>6537</v>
      </c>
      <c r="C636" s="4296" t="s">
        <v>7368</v>
      </c>
      <c r="D636" s="4296" t="s">
        <v>4897</v>
      </c>
      <c r="E636" s="4297">
        <v>2</v>
      </c>
    </row>
    <row r="637" spans="2:5">
      <c r="B637" s="4296" t="s">
        <v>6539</v>
      </c>
      <c r="C637" s="4296" t="s">
        <v>7369</v>
      </c>
      <c r="D637" s="4296" t="s">
        <v>4897</v>
      </c>
      <c r="E637" s="4297">
        <v>2</v>
      </c>
    </row>
    <row r="638" spans="2:5">
      <c r="B638" s="4296" t="s">
        <v>6541</v>
      </c>
      <c r="C638" s="4296" t="s">
        <v>7370</v>
      </c>
      <c r="D638" s="4296" t="s">
        <v>4897</v>
      </c>
      <c r="E638" s="4297">
        <v>2</v>
      </c>
    </row>
    <row r="639" spans="2:5">
      <c r="B639" s="4296" t="s">
        <v>6543</v>
      </c>
      <c r="C639" s="4296" t="s">
        <v>7371</v>
      </c>
      <c r="D639" s="4296" t="s">
        <v>4897</v>
      </c>
      <c r="E639" s="4297">
        <v>2</v>
      </c>
    </row>
    <row r="640" spans="2:5">
      <c r="B640" s="4296" t="s">
        <v>6545</v>
      </c>
      <c r="C640" s="4296" t="s">
        <v>7372</v>
      </c>
      <c r="D640" s="4296" t="s">
        <v>4897</v>
      </c>
      <c r="E640" s="4297">
        <v>2</v>
      </c>
    </row>
    <row r="641" spans="2:5">
      <c r="B641" s="4296" t="s">
        <v>6547</v>
      </c>
      <c r="C641" s="4296" t="s">
        <v>7373</v>
      </c>
      <c r="D641" s="4296" t="s">
        <v>4897</v>
      </c>
      <c r="E641" s="4297">
        <v>2</v>
      </c>
    </row>
    <row r="642" spans="2:5">
      <c r="B642" s="4296" t="s">
        <v>6549</v>
      </c>
      <c r="C642" s="4296" t="s">
        <v>7374</v>
      </c>
      <c r="D642" s="4296" t="s">
        <v>4897</v>
      </c>
      <c r="E642" s="4297">
        <v>2</v>
      </c>
    </row>
    <row r="643" spans="2:5">
      <c r="B643" s="4296" t="s">
        <v>6551</v>
      </c>
      <c r="C643" s="4296" t="s">
        <v>7375</v>
      </c>
      <c r="D643" s="4296" t="s">
        <v>4897</v>
      </c>
      <c r="E643" s="4297">
        <v>2</v>
      </c>
    </row>
    <row r="644" spans="2:5">
      <c r="B644" s="4296" t="s">
        <v>6553</v>
      </c>
      <c r="C644" s="4296" t="s">
        <v>7376</v>
      </c>
      <c r="D644" s="4296" t="s">
        <v>4897</v>
      </c>
      <c r="E644" s="4297">
        <v>2</v>
      </c>
    </row>
    <row r="645" spans="2:5">
      <c r="B645" s="4296" t="s">
        <v>6555</v>
      </c>
      <c r="C645" s="4296" t="s">
        <v>7377</v>
      </c>
      <c r="D645" s="4296" t="s">
        <v>4897</v>
      </c>
      <c r="E645" s="4297">
        <v>2</v>
      </c>
    </row>
    <row r="646" spans="2:5">
      <c r="B646" s="4296" t="s">
        <v>6557</v>
      </c>
      <c r="C646" s="4296" t="s">
        <v>7378</v>
      </c>
      <c r="D646" s="4296" t="s">
        <v>4897</v>
      </c>
      <c r="E646" s="4297">
        <v>2</v>
      </c>
    </row>
    <row r="647" spans="2:5">
      <c r="B647" s="4296" t="s">
        <v>6559</v>
      </c>
      <c r="C647" s="4296" t="s">
        <v>7379</v>
      </c>
      <c r="D647" s="4296" t="s">
        <v>4897</v>
      </c>
      <c r="E647" s="4297">
        <v>2</v>
      </c>
    </row>
    <row r="648" spans="2:5">
      <c r="B648" s="4296" t="s">
        <v>6561</v>
      </c>
      <c r="C648" s="4296" t="s">
        <v>7380</v>
      </c>
      <c r="D648" s="4296" t="s">
        <v>4897</v>
      </c>
      <c r="E648" s="4297">
        <v>2</v>
      </c>
    </row>
    <row r="649" spans="2:5">
      <c r="B649" s="4296" t="s">
        <v>6563</v>
      </c>
      <c r="C649" s="4296" t="s">
        <v>7381</v>
      </c>
      <c r="D649" s="4296" t="s">
        <v>5222</v>
      </c>
      <c r="E649" s="4297">
        <v>2</v>
      </c>
    </row>
    <row r="650" spans="2:5">
      <c r="B650" s="4296" t="s">
        <v>6565</v>
      </c>
      <c r="C650" s="4296" t="s">
        <v>7382</v>
      </c>
      <c r="D650" s="4296" t="s">
        <v>5222</v>
      </c>
      <c r="E650" s="4297">
        <v>2</v>
      </c>
    </row>
    <row r="651" spans="2:5">
      <c r="B651" s="4296" t="s">
        <v>6567</v>
      </c>
      <c r="C651" s="4296" t="s">
        <v>7383</v>
      </c>
      <c r="D651" s="4296" t="s">
        <v>4987</v>
      </c>
      <c r="E651" s="4297">
        <v>1.9896799999999999</v>
      </c>
    </row>
    <row r="652" spans="2:5">
      <c r="B652" s="4296" t="s">
        <v>6569</v>
      </c>
      <c r="C652" s="4287" t="s">
        <v>5304</v>
      </c>
      <c r="D652" s="4287" t="s">
        <v>4674</v>
      </c>
      <c r="E652" s="4297">
        <v>1.9681249999999999</v>
      </c>
    </row>
    <row r="653" spans="2:5">
      <c r="B653" s="4296" t="s">
        <v>6571</v>
      </c>
      <c r="C653" s="4296" t="s">
        <v>6402</v>
      </c>
      <c r="D653" s="4296" t="s">
        <v>4897</v>
      </c>
      <c r="E653" s="4297">
        <v>1.946302</v>
      </c>
    </row>
    <row r="654" spans="2:5">
      <c r="B654" s="4296" t="s">
        <v>6573</v>
      </c>
      <c r="C654" s="4287" t="s">
        <v>6394</v>
      </c>
      <c r="D654" s="4287" t="s">
        <v>4674</v>
      </c>
      <c r="E654" s="4297">
        <v>1.8277159999999999</v>
      </c>
    </row>
    <row r="655" spans="2:5">
      <c r="B655" s="4296" t="s">
        <v>6575</v>
      </c>
      <c r="C655" s="4287" t="s">
        <v>5779</v>
      </c>
      <c r="D655" s="4287" t="s">
        <v>4674</v>
      </c>
      <c r="E655" s="4297">
        <v>1.8109500000000001</v>
      </c>
    </row>
    <row r="656" spans="2:5">
      <c r="B656" s="4296" t="s">
        <v>6577</v>
      </c>
      <c r="C656" s="4296" t="s">
        <v>7384</v>
      </c>
      <c r="D656" s="4296" t="s">
        <v>4897</v>
      </c>
      <c r="E656" s="4297">
        <v>1.8</v>
      </c>
    </row>
    <row r="657" spans="2:5">
      <c r="B657" s="4296" t="s">
        <v>6579</v>
      </c>
      <c r="C657" s="4296" t="s">
        <v>7385</v>
      </c>
      <c r="D657" s="4296" t="s">
        <v>4897</v>
      </c>
      <c r="E657" s="4297">
        <v>1.8</v>
      </c>
    </row>
    <row r="658" spans="2:5">
      <c r="B658" s="4296" t="s">
        <v>6581</v>
      </c>
      <c r="C658" s="4296" t="s">
        <v>7386</v>
      </c>
      <c r="D658" s="4296" t="s">
        <v>4897</v>
      </c>
      <c r="E658" s="4297">
        <v>1.8</v>
      </c>
    </row>
    <row r="659" spans="2:5">
      <c r="B659" s="4296" t="s">
        <v>6583</v>
      </c>
      <c r="C659" s="4296" t="s">
        <v>7387</v>
      </c>
      <c r="D659" s="4296" t="s">
        <v>4897</v>
      </c>
      <c r="E659" s="4297">
        <v>1.8</v>
      </c>
    </row>
    <row r="660" spans="2:5">
      <c r="B660" s="4296" t="s">
        <v>6585</v>
      </c>
      <c r="C660" s="4296" t="s">
        <v>7388</v>
      </c>
      <c r="D660" s="4296" t="s">
        <v>5222</v>
      </c>
      <c r="E660" s="4297">
        <v>1.8</v>
      </c>
    </row>
    <row r="661" spans="2:5">
      <c r="B661" s="4296" t="s">
        <v>6587</v>
      </c>
      <c r="C661" s="4296" t="s">
        <v>7389</v>
      </c>
      <c r="D661" s="4296" t="s">
        <v>5222</v>
      </c>
      <c r="E661" s="4297">
        <v>1.8</v>
      </c>
    </row>
    <row r="662" spans="2:5">
      <c r="B662" s="4296" t="s">
        <v>6589</v>
      </c>
      <c r="C662" s="4296" t="s">
        <v>7390</v>
      </c>
      <c r="D662" s="4296" t="s">
        <v>5222</v>
      </c>
      <c r="E662" s="4297">
        <v>1.8</v>
      </c>
    </row>
    <row r="663" spans="2:5">
      <c r="B663" s="4296" t="s">
        <v>6591</v>
      </c>
      <c r="C663" s="4296" t="s">
        <v>7391</v>
      </c>
      <c r="D663" s="4296" t="s">
        <v>4897</v>
      </c>
      <c r="E663" s="4297">
        <v>1.7901639999999999</v>
      </c>
    </row>
    <row r="664" spans="2:5">
      <c r="B664" s="4296" t="s">
        <v>6593</v>
      </c>
      <c r="C664" s="4296" t="s">
        <v>6480</v>
      </c>
      <c r="D664" s="4296" t="s">
        <v>4897</v>
      </c>
      <c r="E664" s="4297">
        <v>1.7838699999999996</v>
      </c>
    </row>
    <row r="665" spans="2:5">
      <c r="B665" s="4296" t="s">
        <v>6595</v>
      </c>
      <c r="C665" s="4296" t="s">
        <v>7392</v>
      </c>
      <c r="D665" s="4296" t="s">
        <v>4897</v>
      </c>
      <c r="E665" s="4297">
        <v>1.7704920000000002</v>
      </c>
    </row>
    <row r="666" spans="2:5">
      <c r="B666" s="4296" t="s">
        <v>6597</v>
      </c>
      <c r="C666" s="4287" t="s">
        <v>5734</v>
      </c>
      <c r="D666" s="4287" t="s">
        <v>4674</v>
      </c>
      <c r="E666" s="4297">
        <v>1.7701660000000004</v>
      </c>
    </row>
    <row r="667" spans="2:5">
      <c r="B667" s="4296" t="s">
        <v>6599</v>
      </c>
      <c r="C667" s="4296" t="s">
        <v>7393</v>
      </c>
      <c r="D667" s="4296" t="s">
        <v>4987</v>
      </c>
      <c r="E667" s="4297">
        <v>1.7655000000000001</v>
      </c>
    </row>
    <row r="668" spans="2:5">
      <c r="B668" s="4296" t="s">
        <v>6601</v>
      </c>
      <c r="C668" s="4296" t="s">
        <v>7394</v>
      </c>
      <c r="D668" s="4296" t="s">
        <v>5222</v>
      </c>
      <c r="E668" s="4297">
        <v>1.74</v>
      </c>
    </row>
    <row r="669" spans="2:5">
      <c r="B669" s="4296" t="s">
        <v>6603</v>
      </c>
      <c r="C669" s="4296" t="s">
        <v>7395</v>
      </c>
      <c r="D669" s="4296" t="s">
        <v>5222</v>
      </c>
      <c r="E669" s="4297">
        <v>1.74</v>
      </c>
    </row>
    <row r="670" spans="2:5">
      <c r="B670" s="4296" t="s">
        <v>6605</v>
      </c>
      <c r="C670" s="4296" t="s">
        <v>7396</v>
      </c>
      <c r="D670" s="4296" t="s">
        <v>5222</v>
      </c>
      <c r="E670" s="4297">
        <v>1.74</v>
      </c>
    </row>
    <row r="671" spans="2:5">
      <c r="B671" s="4296" t="s">
        <v>6607</v>
      </c>
      <c r="C671" s="4296" t="s">
        <v>7397</v>
      </c>
      <c r="D671" s="4296" t="s">
        <v>4674</v>
      </c>
      <c r="E671" s="4297">
        <v>1.7221379999999997</v>
      </c>
    </row>
    <row r="672" spans="2:5">
      <c r="B672" s="4296" t="s">
        <v>6609</v>
      </c>
      <c r="C672" s="4296" t="s">
        <v>7398</v>
      </c>
      <c r="D672" s="4296" t="s">
        <v>4674</v>
      </c>
      <c r="E672" s="4297">
        <v>1.7203620000000002</v>
      </c>
    </row>
    <row r="673" spans="2:5">
      <c r="B673" s="4296" t="s">
        <v>6611</v>
      </c>
      <c r="C673" s="4296" t="s">
        <v>7399</v>
      </c>
      <c r="D673" s="4296" t="s">
        <v>5149</v>
      </c>
      <c r="E673" s="4297">
        <v>1.7104999999999999</v>
      </c>
    </row>
    <row r="674" spans="2:5">
      <c r="B674" s="4296" t="s">
        <v>6613</v>
      </c>
      <c r="C674" s="4296" t="s">
        <v>7400</v>
      </c>
      <c r="D674" s="4296" t="s">
        <v>4897</v>
      </c>
      <c r="E674" s="4297">
        <v>1.7</v>
      </c>
    </row>
    <row r="675" spans="2:5">
      <c r="B675" s="4296" t="s">
        <v>6615</v>
      </c>
      <c r="C675" s="4296" t="s">
        <v>7401</v>
      </c>
      <c r="D675" s="4296" t="s">
        <v>4897</v>
      </c>
      <c r="E675" s="4297">
        <v>1.7</v>
      </c>
    </row>
    <row r="676" spans="2:5">
      <c r="B676" s="4296" t="s">
        <v>6617</v>
      </c>
      <c r="C676" s="4296" t="s">
        <v>6966</v>
      </c>
      <c r="D676" s="4296" t="s">
        <v>4897</v>
      </c>
      <c r="E676" s="4297">
        <v>1.6728239999999999</v>
      </c>
    </row>
    <row r="677" spans="2:5">
      <c r="B677" s="4296" t="s">
        <v>6619</v>
      </c>
      <c r="C677" s="4296" t="s">
        <v>7402</v>
      </c>
      <c r="D677" s="4296" t="s">
        <v>4897</v>
      </c>
      <c r="E677" s="4297">
        <v>1.643</v>
      </c>
    </row>
    <row r="678" spans="2:5">
      <c r="B678" s="4296" t="s">
        <v>6621</v>
      </c>
      <c r="C678" s="4296" t="s">
        <v>7403</v>
      </c>
      <c r="D678" s="4296" t="s">
        <v>4987</v>
      </c>
      <c r="E678" s="4297">
        <v>1.6279429999999999</v>
      </c>
    </row>
    <row r="679" spans="2:5">
      <c r="B679" s="4296" t="s">
        <v>6623</v>
      </c>
      <c r="C679" s="4296" t="s">
        <v>6606</v>
      </c>
      <c r="D679" s="4296" t="s">
        <v>4987</v>
      </c>
      <c r="E679" s="4297">
        <v>1.62171</v>
      </c>
    </row>
    <row r="680" spans="2:5">
      <c r="B680" s="4296" t="s">
        <v>6625</v>
      </c>
      <c r="C680" s="4296" t="s">
        <v>7404</v>
      </c>
      <c r="D680" s="4296" t="s">
        <v>4897</v>
      </c>
      <c r="E680" s="4297">
        <v>1.6</v>
      </c>
    </row>
    <row r="681" spans="2:5">
      <c r="B681" s="4296" t="s">
        <v>6627</v>
      </c>
      <c r="C681" s="4296" t="s">
        <v>7405</v>
      </c>
      <c r="D681" s="4296" t="s">
        <v>4897</v>
      </c>
      <c r="E681" s="4297">
        <v>1.6</v>
      </c>
    </row>
    <row r="682" spans="2:5">
      <c r="B682" s="4296" t="s">
        <v>6629</v>
      </c>
      <c r="C682" s="4296" t="s">
        <v>7406</v>
      </c>
      <c r="D682" s="4296" t="s">
        <v>4987</v>
      </c>
      <c r="E682" s="4297">
        <v>1.5778799999999999</v>
      </c>
    </row>
    <row r="683" spans="2:5">
      <c r="B683" s="4296" t="s">
        <v>6631</v>
      </c>
      <c r="C683" s="4296" t="s">
        <v>7407</v>
      </c>
      <c r="D683" s="4296" t="s">
        <v>5222</v>
      </c>
      <c r="E683" s="4297">
        <v>1.5622370000000001</v>
      </c>
    </row>
    <row r="684" spans="2:5">
      <c r="B684" s="4296" t="s">
        <v>6633</v>
      </c>
      <c r="C684" s="4296" t="s">
        <v>7408</v>
      </c>
      <c r="D684" s="4296" t="s">
        <v>4987</v>
      </c>
      <c r="E684" s="4297">
        <v>1.5504</v>
      </c>
    </row>
    <row r="685" spans="2:5">
      <c r="B685" s="4296" t="s">
        <v>6635</v>
      </c>
      <c r="C685" s="4296" t="s">
        <v>7409</v>
      </c>
      <c r="D685" s="4296" t="s">
        <v>4897</v>
      </c>
      <c r="E685" s="4297">
        <v>1.5500000000000003</v>
      </c>
    </row>
    <row r="686" spans="2:5">
      <c r="B686" s="4296" t="s">
        <v>6637</v>
      </c>
      <c r="C686" s="4296" t="s">
        <v>7410</v>
      </c>
      <c r="D686" s="4296" t="s">
        <v>4897</v>
      </c>
      <c r="E686" s="4297">
        <v>1.55</v>
      </c>
    </row>
    <row r="687" spans="2:5">
      <c r="B687" s="4296" t="s">
        <v>6639</v>
      </c>
      <c r="C687" s="4296" t="s">
        <v>7411</v>
      </c>
      <c r="D687" s="4296" t="s">
        <v>4897</v>
      </c>
      <c r="E687" s="4297">
        <v>1.53</v>
      </c>
    </row>
    <row r="688" spans="2:5">
      <c r="B688" s="4296" t="s">
        <v>6641</v>
      </c>
      <c r="C688" s="4296" t="s">
        <v>6926</v>
      </c>
      <c r="D688" s="4296" t="s">
        <v>5222</v>
      </c>
      <c r="E688" s="4297">
        <v>1.5196720000000001</v>
      </c>
    </row>
    <row r="689" spans="2:5">
      <c r="B689" s="4296" t="s">
        <v>6643</v>
      </c>
      <c r="C689" s="4296" t="s">
        <v>7412</v>
      </c>
      <c r="D689" s="4296" t="s">
        <v>4897</v>
      </c>
      <c r="E689" s="4297">
        <v>1.5</v>
      </c>
    </row>
    <row r="690" spans="2:5">
      <c r="B690" s="4296" t="s">
        <v>6645</v>
      </c>
      <c r="C690" s="4296" t="s">
        <v>7413</v>
      </c>
      <c r="D690" s="4296" t="s">
        <v>4897</v>
      </c>
      <c r="E690" s="4297">
        <v>1.5</v>
      </c>
    </row>
    <row r="691" spans="2:5">
      <c r="B691" s="4296" t="s">
        <v>6647</v>
      </c>
      <c r="C691" s="4296" t="s">
        <v>7414</v>
      </c>
      <c r="D691" s="4296" t="s">
        <v>4897</v>
      </c>
      <c r="E691" s="4297">
        <v>1.5</v>
      </c>
    </row>
    <row r="692" spans="2:5">
      <c r="B692" s="4296" t="s">
        <v>6649</v>
      </c>
      <c r="C692" s="4296" t="s">
        <v>7415</v>
      </c>
      <c r="D692" s="4296" t="s">
        <v>4897</v>
      </c>
      <c r="E692" s="4297">
        <v>1.5</v>
      </c>
    </row>
    <row r="693" spans="2:5">
      <c r="B693" s="4296" t="s">
        <v>6651</v>
      </c>
      <c r="C693" s="4296" t="s">
        <v>7416</v>
      </c>
      <c r="D693" s="4296" t="s">
        <v>4897</v>
      </c>
      <c r="E693" s="4297">
        <v>1.5</v>
      </c>
    </row>
    <row r="694" spans="2:5">
      <c r="B694" s="4296" t="s">
        <v>6653</v>
      </c>
      <c r="C694" s="4296" t="s">
        <v>7417</v>
      </c>
      <c r="D694" s="4296" t="s">
        <v>5222</v>
      </c>
      <c r="E694" s="4297">
        <v>1.5</v>
      </c>
    </row>
    <row r="695" spans="2:5">
      <c r="B695" s="4296" t="s">
        <v>6655</v>
      </c>
      <c r="C695" s="4296" t="s">
        <v>7418</v>
      </c>
      <c r="D695" s="4296" t="s">
        <v>5222</v>
      </c>
      <c r="E695" s="4297">
        <v>1.5</v>
      </c>
    </row>
    <row r="696" spans="2:5">
      <c r="B696" s="4296" t="s">
        <v>6657</v>
      </c>
      <c r="C696" s="4296" t="s">
        <v>7419</v>
      </c>
      <c r="D696" s="4296" t="s">
        <v>5222</v>
      </c>
      <c r="E696" s="4297">
        <v>1.496774</v>
      </c>
    </row>
    <row r="697" spans="2:5">
      <c r="B697" s="4296" t="s">
        <v>6659</v>
      </c>
      <c r="C697" s="4296" t="s">
        <v>7420</v>
      </c>
      <c r="D697" s="4296" t="s">
        <v>5222</v>
      </c>
      <c r="E697" s="4297">
        <v>1.451613</v>
      </c>
    </row>
    <row r="698" spans="2:5">
      <c r="B698" s="4296" t="s">
        <v>6661</v>
      </c>
      <c r="C698" s="4287" t="s">
        <v>6668</v>
      </c>
      <c r="D698" s="4287" t="s">
        <v>5149</v>
      </c>
      <c r="E698" s="4297">
        <v>1.4485499999999998</v>
      </c>
    </row>
    <row r="699" spans="2:5">
      <c r="B699" s="4296" t="s">
        <v>6663</v>
      </c>
      <c r="C699" s="4296" t="s">
        <v>7421</v>
      </c>
      <c r="D699" s="4296" t="s">
        <v>4897</v>
      </c>
      <c r="E699" s="4297">
        <v>1.44</v>
      </c>
    </row>
    <row r="700" spans="2:5">
      <c r="B700" s="4296" t="s">
        <v>6665</v>
      </c>
      <c r="C700" s="4296" t="s">
        <v>7422</v>
      </c>
      <c r="D700" s="4296" t="s">
        <v>4987</v>
      </c>
      <c r="E700" s="4297">
        <v>1.3185200000000001</v>
      </c>
    </row>
    <row r="701" spans="2:5">
      <c r="B701" s="4296" t="s">
        <v>6667</v>
      </c>
      <c r="C701" s="4296" t="s">
        <v>7423</v>
      </c>
      <c r="D701" s="4296" t="s">
        <v>5222</v>
      </c>
      <c r="E701" s="4297">
        <v>1.3</v>
      </c>
    </row>
    <row r="702" spans="2:5">
      <c r="B702" s="4296" t="s">
        <v>6669</v>
      </c>
      <c r="C702" s="4296" t="s">
        <v>7424</v>
      </c>
      <c r="D702" s="4296" t="s">
        <v>4987</v>
      </c>
      <c r="E702" s="4297">
        <v>1.2744</v>
      </c>
    </row>
    <row r="703" spans="2:5">
      <c r="B703" s="4296" t="s">
        <v>6671</v>
      </c>
      <c r="C703" s="4296" t="s">
        <v>7425</v>
      </c>
      <c r="D703" s="4296" t="s">
        <v>5222</v>
      </c>
      <c r="E703" s="4297">
        <v>1.2431700000000001</v>
      </c>
    </row>
    <row r="704" spans="2:5">
      <c r="B704" s="4296" t="s">
        <v>6673</v>
      </c>
      <c r="C704" s="4296" t="s">
        <v>6578</v>
      </c>
      <c r="D704" s="4296" t="s">
        <v>5222</v>
      </c>
      <c r="E704" s="4297">
        <v>1.2423510000000002</v>
      </c>
    </row>
    <row r="705" spans="2:5">
      <c r="B705" s="4296" t="s">
        <v>6675</v>
      </c>
      <c r="C705" s="4296" t="s">
        <v>6978</v>
      </c>
      <c r="D705" s="4296" t="s">
        <v>4897</v>
      </c>
      <c r="E705" s="4297">
        <v>1.2161299999999999</v>
      </c>
    </row>
    <row r="706" spans="2:5">
      <c r="B706" s="4296" t="s">
        <v>6677</v>
      </c>
      <c r="C706" s="4296" t="s">
        <v>7426</v>
      </c>
      <c r="D706" s="4296" t="s">
        <v>5231</v>
      </c>
      <c r="E706" s="4297">
        <v>1.2132880000000001</v>
      </c>
    </row>
    <row r="707" spans="2:5">
      <c r="B707" s="4296" t="s">
        <v>6679</v>
      </c>
      <c r="C707" s="4296" t="s">
        <v>6932</v>
      </c>
      <c r="D707" s="4296" t="s">
        <v>4987</v>
      </c>
      <c r="E707" s="4297">
        <v>1.2087000000000001</v>
      </c>
    </row>
    <row r="708" spans="2:5">
      <c r="B708" s="4296" t="s">
        <v>6681</v>
      </c>
      <c r="C708" s="4296" t="s">
        <v>7427</v>
      </c>
      <c r="D708" s="4296" t="s">
        <v>4897</v>
      </c>
      <c r="E708" s="4297">
        <v>1.2</v>
      </c>
    </row>
    <row r="709" spans="2:5">
      <c r="B709" s="4296" t="s">
        <v>6683</v>
      </c>
      <c r="C709" s="4296" t="s">
        <v>7428</v>
      </c>
      <c r="D709" s="4296" t="s">
        <v>4897</v>
      </c>
      <c r="E709" s="4297">
        <v>1.2</v>
      </c>
    </row>
    <row r="710" spans="2:5">
      <c r="B710" s="4296" t="s">
        <v>6685</v>
      </c>
      <c r="C710" s="4296" t="s">
        <v>7429</v>
      </c>
      <c r="D710" s="4296" t="s">
        <v>4897</v>
      </c>
      <c r="E710" s="4297">
        <v>1.2</v>
      </c>
    </row>
    <row r="711" spans="2:5">
      <c r="B711" s="4296" t="s">
        <v>6687</v>
      </c>
      <c r="C711" s="4296" t="s">
        <v>7430</v>
      </c>
      <c r="D711" s="4296" t="s">
        <v>5222</v>
      </c>
      <c r="E711" s="4297">
        <v>1.2</v>
      </c>
    </row>
    <row r="712" spans="2:5">
      <c r="B712" s="4296" t="s">
        <v>6689</v>
      </c>
      <c r="C712" s="4296" t="s">
        <v>7431</v>
      </c>
      <c r="D712" s="4296" t="s">
        <v>5222</v>
      </c>
      <c r="E712" s="4297">
        <v>1.2</v>
      </c>
    </row>
    <row r="713" spans="2:5">
      <c r="B713" s="4296" t="s">
        <v>6691</v>
      </c>
      <c r="C713" s="4296" t="s">
        <v>6212</v>
      </c>
      <c r="D713" s="4296" t="s">
        <v>5222</v>
      </c>
      <c r="E713" s="4297">
        <v>1.1964809999999999</v>
      </c>
    </row>
    <row r="714" spans="2:5">
      <c r="B714" s="4296" t="s">
        <v>6693</v>
      </c>
      <c r="C714" s="4287" t="s">
        <v>6266</v>
      </c>
      <c r="D714" s="4287" t="s">
        <v>4674</v>
      </c>
      <c r="E714" s="4297">
        <v>1.1827679999999998</v>
      </c>
    </row>
    <row r="715" spans="2:5">
      <c r="B715" s="4296" t="s">
        <v>6695</v>
      </c>
      <c r="C715" s="4296" t="s">
        <v>7432</v>
      </c>
      <c r="D715" s="4296" t="s">
        <v>4897</v>
      </c>
      <c r="E715" s="4297">
        <v>1.1604869999999998</v>
      </c>
    </row>
    <row r="716" spans="2:5">
      <c r="B716" s="4296" t="s">
        <v>6697</v>
      </c>
      <c r="C716" s="4296" t="s">
        <v>6808</v>
      </c>
      <c r="D716" s="4296" t="s">
        <v>5222</v>
      </c>
      <c r="E716" s="4297">
        <v>1.156452</v>
      </c>
    </row>
    <row r="717" spans="2:5">
      <c r="B717" s="4296" t="s">
        <v>6699</v>
      </c>
      <c r="C717" s="4296" t="s">
        <v>6640</v>
      </c>
      <c r="D717" s="4296" t="s">
        <v>4987</v>
      </c>
      <c r="E717" s="4297">
        <v>1.1476</v>
      </c>
    </row>
    <row r="718" spans="2:5">
      <c r="B718" s="4296" t="s">
        <v>6701</v>
      </c>
      <c r="C718" s="4296" t="s">
        <v>6922</v>
      </c>
      <c r="D718" s="4296" t="s">
        <v>5222</v>
      </c>
      <c r="E718" s="4297">
        <v>1.1458059999999999</v>
      </c>
    </row>
    <row r="719" spans="2:5">
      <c r="B719" s="4296" t="s">
        <v>6703</v>
      </c>
      <c r="C719" s="4296" t="s">
        <v>6776</v>
      </c>
      <c r="D719" s="4296" t="s">
        <v>5222</v>
      </c>
      <c r="E719" s="4297">
        <v>1.144134</v>
      </c>
    </row>
    <row r="720" spans="2:5">
      <c r="B720" s="4296" t="s">
        <v>6705</v>
      </c>
      <c r="C720" s="4296" t="s">
        <v>7433</v>
      </c>
      <c r="D720" s="4296" t="s">
        <v>4987</v>
      </c>
      <c r="E720" s="4297">
        <v>1.132404</v>
      </c>
    </row>
    <row r="721" spans="2:5">
      <c r="B721" s="4296" t="s">
        <v>6707</v>
      </c>
      <c r="C721" s="4296" t="s">
        <v>7434</v>
      </c>
      <c r="D721" s="4296" t="s">
        <v>4987</v>
      </c>
      <c r="E721" s="4297">
        <v>1.1318999999999999</v>
      </c>
    </row>
    <row r="722" spans="2:5">
      <c r="B722" s="4296" t="s">
        <v>6709</v>
      </c>
      <c r="C722" s="4296" t="s">
        <v>6698</v>
      </c>
      <c r="D722" s="4296" t="s">
        <v>4987</v>
      </c>
      <c r="E722" s="4297">
        <v>1.1314220000000001</v>
      </c>
    </row>
    <row r="723" spans="2:5">
      <c r="B723" s="4296" t="s">
        <v>6711</v>
      </c>
      <c r="C723" s="4296" t="s">
        <v>6516</v>
      </c>
      <c r="D723" s="4296" t="s">
        <v>4987</v>
      </c>
      <c r="E723" s="4297">
        <v>1.09202</v>
      </c>
    </row>
    <row r="724" spans="2:5">
      <c r="B724" s="4296" t="s">
        <v>6713</v>
      </c>
      <c r="C724" s="4296" t="s">
        <v>6930</v>
      </c>
      <c r="D724" s="4296" t="s">
        <v>4987</v>
      </c>
      <c r="E724" s="4297">
        <v>1.08</v>
      </c>
    </row>
    <row r="725" spans="2:5">
      <c r="B725" s="4296" t="s">
        <v>6715</v>
      </c>
      <c r="C725" s="4296" t="s">
        <v>7435</v>
      </c>
      <c r="D725" s="4296" t="s">
        <v>4987</v>
      </c>
      <c r="E725" s="4297">
        <v>1.0648799999999998</v>
      </c>
    </row>
    <row r="726" spans="2:5">
      <c r="B726" s="4296" t="s">
        <v>6717</v>
      </c>
      <c r="C726" s="4296" t="s">
        <v>7436</v>
      </c>
      <c r="D726" s="4296" t="s">
        <v>4987</v>
      </c>
      <c r="E726" s="4297">
        <v>1.050605</v>
      </c>
    </row>
    <row r="727" spans="2:5">
      <c r="B727" s="4296" t="s">
        <v>6719</v>
      </c>
      <c r="C727" s="4296" t="s">
        <v>7437</v>
      </c>
      <c r="D727" s="4296" t="s">
        <v>4897</v>
      </c>
      <c r="E727" s="4297">
        <v>1.05</v>
      </c>
    </row>
    <row r="728" spans="2:5">
      <c r="B728" s="4296" t="s">
        <v>6721</v>
      </c>
      <c r="C728" s="4296" t="s">
        <v>7438</v>
      </c>
      <c r="D728" s="4296" t="s">
        <v>4987</v>
      </c>
      <c r="E728" s="4297">
        <v>1.04742</v>
      </c>
    </row>
    <row r="729" spans="2:5">
      <c r="B729" s="4296" t="s">
        <v>6723</v>
      </c>
      <c r="C729" s="4296" t="s">
        <v>6674</v>
      </c>
      <c r="D729" s="4296" t="s">
        <v>4987</v>
      </c>
      <c r="E729" s="4297">
        <v>1.0443480000000001</v>
      </c>
    </row>
    <row r="730" spans="2:5">
      <c r="B730" s="4296" t="s">
        <v>6725</v>
      </c>
      <c r="C730" s="4296" t="s">
        <v>7439</v>
      </c>
      <c r="D730" s="4296" t="s">
        <v>4897</v>
      </c>
      <c r="E730" s="4297">
        <v>1</v>
      </c>
    </row>
    <row r="731" spans="2:5">
      <c r="B731" s="4296" t="s">
        <v>6727</v>
      </c>
      <c r="C731" s="4296" t="s">
        <v>7440</v>
      </c>
      <c r="D731" s="4296" t="s">
        <v>4897</v>
      </c>
      <c r="E731" s="4297">
        <v>1</v>
      </c>
    </row>
    <row r="732" spans="2:5">
      <c r="B732" s="4296" t="s">
        <v>6729</v>
      </c>
      <c r="C732" s="4296" t="s">
        <v>7441</v>
      </c>
      <c r="D732" s="4296" t="s">
        <v>4897</v>
      </c>
      <c r="E732" s="4297">
        <v>1</v>
      </c>
    </row>
    <row r="733" spans="2:5">
      <c r="B733" s="4296" t="s">
        <v>6731</v>
      </c>
      <c r="C733" s="4296" t="s">
        <v>7442</v>
      </c>
      <c r="D733" s="4296" t="s">
        <v>4897</v>
      </c>
      <c r="E733" s="4297">
        <v>1</v>
      </c>
    </row>
    <row r="734" spans="2:5">
      <c r="B734" s="4296" t="s">
        <v>6733</v>
      </c>
      <c r="C734" s="4296" t="s">
        <v>7443</v>
      </c>
      <c r="D734" s="4296" t="s">
        <v>4897</v>
      </c>
      <c r="E734" s="4297">
        <v>1</v>
      </c>
    </row>
    <row r="735" spans="2:5">
      <c r="B735" s="4296" t="s">
        <v>6735</v>
      </c>
      <c r="C735" s="4296" t="s">
        <v>7444</v>
      </c>
      <c r="D735" s="4296" t="s">
        <v>5222</v>
      </c>
      <c r="E735" s="4297">
        <v>1</v>
      </c>
    </row>
    <row r="736" spans="2:5">
      <c r="B736" s="4296" t="s">
        <v>6737</v>
      </c>
      <c r="C736" s="4296" t="s">
        <v>7445</v>
      </c>
      <c r="D736" s="4296" t="s">
        <v>5222</v>
      </c>
      <c r="E736" s="4297">
        <v>1</v>
      </c>
    </row>
    <row r="737" spans="2:5">
      <c r="B737" s="4296" t="s">
        <v>6739</v>
      </c>
      <c r="C737" s="4296" t="s">
        <v>7446</v>
      </c>
      <c r="D737" s="4296" t="s">
        <v>5222</v>
      </c>
      <c r="E737" s="4297">
        <v>1</v>
      </c>
    </row>
    <row r="738" spans="2:5">
      <c r="B738" s="4296" t="s">
        <v>6741</v>
      </c>
      <c r="C738" s="4296" t="s">
        <v>7447</v>
      </c>
      <c r="D738" s="4296" t="s">
        <v>5222</v>
      </c>
      <c r="E738" s="4297">
        <v>1</v>
      </c>
    </row>
    <row r="739" spans="2:5">
      <c r="B739" s="4296" t="s">
        <v>6743</v>
      </c>
      <c r="C739" s="4296" t="s">
        <v>6204</v>
      </c>
      <c r="D739" s="4296" t="s">
        <v>5222</v>
      </c>
      <c r="E739" s="4297">
        <v>1</v>
      </c>
    </row>
    <row r="740" spans="2:5">
      <c r="B740" s="4296" t="s">
        <v>6745</v>
      </c>
      <c r="C740" s="4296" t="s">
        <v>7448</v>
      </c>
      <c r="D740" s="4296" t="s">
        <v>5222</v>
      </c>
      <c r="E740" s="4297">
        <v>0.98360600000000009</v>
      </c>
    </row>
    <row r="741" spans="2:5">
      <c r="B741" s="4296" t="s">
        <v>6747</v>
      </c>
      <c r="C741" s="4296" t="s">
        <v>6704</v>
      </c>
      <c r="D741" s="4296" t="s">
        <v>5222</v>
      </c>
      <c r="E741" s="4297">
        <v>0.97096800000000005</v>
      </c>
    </row>
    <row r="742" spans="2:5">
      <c r="B742" s="4296" t="s">
        <v>6749</v>
      </c>
      <c r="C742" s="4296" t="s">
        <v>6350</v>
      </c>
      <c r="D742" s="4296" t="s">
        <v>5234</v>
      </c>
      <c r="E742" s="4297">
        <v>0.93789799999999957</v>
      </c>
    </row>
    <row r="743" spans="2:5">
      <c r="B743" s="4296" t="s">
        <v>6751</v>
      </c>
      <c r="C743" s="4296" t="s">
        <v>6478</v>
      </c>
      <c r="D743" s="4296" t="s">
        <v>4987</v>
      </c>
      <c r="E743" s="4297">
        <v>0.93733299999999997</v>
      </c>
    </row>
    <row r="744" spans="2:5">
      <c r="B744" s="4296" t="s">
        <v>6753</v>
      </c>
      <c r="C744" s="4296" t="s">
        <v>7449</v>
      </c>
      <c r="D744" s="4296" t="s">
        <v>4897</v>
      </c>
      <c r="E744" s="4297">
        <v>0.90491699999999997</v>
      </c>
    </row>
    <row r="745" spans="2:5">
      <c r="B745" s="4296" t="s">
        <v>6755</v>
      </c>
      <c r="C745" s="4296" t="s">
        <v>7450</v>
      </c>
      <c r="D745" s="4296" t="s">
        <v>5222</v>
      </c>
      <c r="E745" s="4297">
        <v>0.9</v>
      </c>
    </row>
    <row r="746" spans="2:5">
      <c r="B746" s="4296" t="s">
        <v>6757</v>
      </c>
      <c r="C746" s="4296" t="s">
        <v>7451</v>
      </c>
      <c r="D746" s="4296" t="s">
        <v>5222</v>
      </c>
      <c r="E746" s="4297">
        <v>0.9</v>
      </c>
    </row>
    <row r="747" spans="2:5">
      <c r="B747" s="4296" t="s">
        <v>6759</v>
      </c>
      <c r="C747" s="4296" t="s">
        <v>7452</v>
      </c>
      <c r="D747" s="4296" t="s">
        <v>5222</v>
      </c>
      <c r="E747" s="4297">
        <v>0.8999999999999998</v>
      </c>
    </row>
    <row r="748" spans="2:5">
      <c r="B748" s="4296" t="s">
        <v>6761</v>
      </c>
      <c r="C748" s="4296" t="s">
        <v>7453</v>
      </c>
      <c r="D748" s="4296" t="s">
        <v>5222</v>
      </c>
      <c r="E748" s="4297">
        <v>0.89508199999999993</v>
      </c>
    </row>
    <row r="749" spans="2:5">
      <c r="B749" s="4296" t="s">
        <v>6763</v>
      </c>
      <c r="C749" s="4296" t="s">
        <v>7454</v>
      </c>
      <c r="D749" s="4296" t="s">
        <v>5222</v>
      </c>
      <c r="E749" s="4297">
        <v>0.88</v>
      </c>
    </row>
    <row r="750" spans="2:5">
      <c r="B750" s="4296" t="s">
        <v>6765</v>
      </c>
      <c r="C750" s="4296" t="s">
        <v>7455</v>
      </c>
      <c r="D750" s="4296" t="s">
        <v>5222</v>
      </c>
      <c r="E750" s="4297">
        <v>0.87803199999999992</v>
      </c>
    </row>
    <row r="751" spans="2:5">
      <c r="B751" s="4296" t="s">
        <v>6767</v>
      </c>
      <c r="C751" s="4296" t="s">
        <v>7456</v>
      </c>
      <c r="D751" s="4296" t="s">
        <v>4897</v>
      </c>
      <c r="E751" s="4297">
        <v>0.85</v>
      </c>
    </row>
    <row r="752" spans="2:5">
      <c r="B752" s="4296" t="s">
        <v>6769</v>
      </c>
      <c r="C752" s="4296" t="s">
        <v>7457</v>
      </c>
      <c r="D752" s="4296" t="s">
        <v>5222</v>
      </c>
      <c r="E752" s="4297">
        <v>0.85</v>
      </c>
    </row>
    <row r="753" spans="2:5">
      <c r="B753" s="4296" t="s">
        <v>6771</v>
      </c>
      <c r="C753" s="4296" t="s">
        <v>7458</v>
      </c>
      <c r="D753" s="4296" t="s">
        <v>4897</v>
      </c>
      <c r="E753" s="4297">
        <v>0.83738999999999997</v>
      </c>
    </row>
    <row r="754" spans="2:5">
      <c r="B754" s="4296" t="s">
        <v>6773</v>
      </c>
      <c r="C754" s="4296" t="s">
        <v>7459</v>
      </c>
      <c r="D754" s="4296" t="s">
        <v>4897</v>
      </c>
      <c r="E754" s="4297">
        <v>0.8</v>
      </c>
    </row>
    <row r="755" spans="2:5">
      <c r="B755" s="4296" t="s">
        <v>6775</v>
      </c>
      <c r="C755" s="4296" t="s">
        <v>7460</v>
      </c>
      <c r="D755" s="4296" t="s">
        <v>5222</v>
      </c>
      <c r="E755" s="4297">
        <v>0.8</v>
      </c>
    </row>
    <row r="756" spans="2:5">
      <c r="B756" s="4296" t="s">
        <v>6777</v>
      </c>
      <c r="C756" s="4296" t="s">
        <v>7461</v>
      </c>
      <c r="D756" s="4296" t="s">
        <v>5222</v>
      </c>
      <c r="E756" s="4297">
        <v>0.8</v>
      </c>
    </row>
    <row r="757" spans="2:5">
      <c r="B757" s="4296" t="s">
        <v>6779</v>
      </c>
      <c r="C757" s="4296" t="s">
        <v>7462</v>
      </c>
      <c r="D757" s="4296" t="s">
        <v>5222</v>
      </c>
      <c r="E757" s="4297">
        <v>0.8</v>
      </c>
    </row>
    <row r="758" spans="2:5">
      <c r="B758" s="4296" t="s">
        <v>6781</v>
      </c>
      <c r="C758" s="4296" t="s">
        <v>7463</v>
      </c>
      <c r="D758" s="4296" t="s">
        <v>5222</v>
      </c>
      <c r="E758" s="4297">
        <v>0.8</v>
      </c>
    </row>
    <row r="759" spans="2:5">
      <c r="B759" s="4296" t="s">
        <v>6783</v>
      </c>
      <c r="C759" s="4296" t="s">
        <v>7464</v>
      </c>
      <c r="D759" s="4296" t="s">
        <v>5222</v>
      </c>
      <c r="E759" s="4297">
        <v>0.8</v>
      </c>
    </row>
    <row r="760" spans="2:5">
      <c r="B760" s="4296" t="s">
        <v>6785</v>
      </c>
      <c r="C760" s="4296" t="s">
        <v>7465</v>
      </c>
      <c r="D760" s="4296" t="s">
        <v>5222</v>
      </c>
      <c r="E760" s="4297">
        <v>0.8</v>
      </c>
    </row>
    <row r="761" spans="2:5">
      <c r="B761" s="4296" t="s">
        <v>6787</v>
      </c>
      <c r="C761" s="4296" t="s">
        <v>7466</v>
      </c>
      <c r="D761" s="4296" t="s">
        <v>5222</v>
      </c>
      <c r="E761" s="4297">
        <v>0.8</v>
      </c>
    </row>
    <row r="762" spans="2:5">
      <c r="B762" s="4296" t="s">
        <v>6789</v>
      </c>
      <c r="C762" s="4296" t="s">
        <v>7467</v>
      </c>
      <c r="D762" s="4296" t="s">
        <v>5222</v>
      </c>
      <c r="E762" s="4297">
        <v>0.8</v>
      </c>
    </row>
    <row r="763" spans="2:5">
      <c r="B763" s="4296" t="s">
        <v>6791</v>
      </c>
      <c r="C763" s="4296" t="s">
        <v>7468</v>
      </c>
      <c r="D763" s="4296" t="s">
        <v>5222</v>
      </c>
      <c r="E763" s="4297">
        <v>0.8</v>
      </c>
    </row>
    <row r="764" spans="2:5">
      <c r="B764" s="4296" t="s">
        <v>6793</v>
      </c>
      <c r="C764" s="4287" t="s">
        <v>6520</v>
      </c>
      <c r="D764" s="4287" t="s">
        <v>5149</v>
      </c>
      <c r="E764" s="4297">
        <v>0.79704000000000008</v>
      </c>
    </row>
    <row r="765" spans="2:5">
      <c r="B765" s="4296" t="s">
        <v>6795</v>
      </c>
      <c r="C765" s="4296" t="s">
        <v>7469</v>
      </c>
      <c r="D765" s="4296" t="s">
        <v>5222</v>
      </c>
      <c r="E765" s="4297">
        <v>0.77875000000000005</v>
      </c>
    </row>
    <row r="766" spans="2:5">
      <c r="B766" s="4296" t="s">
        <v>6797</v>
      </c>
      <c r="C766" s="4287" t="s">
        <v>5707</v>
      </c>
      <c r="D766" s="4287" t="s">
        <v>4674</v>
      </c>
      <c r="E766" s="4297">
        <v>0.776671</v>
      </c>
    </row>
    <row r="767" spans="2:5">
      <c r="B767" s="4296" t="s">
        <v>6799</v>
      </c>
      <c r="C767" s="4296" t="s">
        <v>7470</v>
      </c>
      <c r="D767" s="4296" t="s">
        <v>5222</v>
      </c>
      <c r="E767" s="4297">
        <v>0.75519999999999998</v>
      </c>
    </row>
    <row r="768" spans="2:5">
      <c r="B768" s="4296" t="s">
        <v>6801</v>
      </c>
      <c r="C768" s="4296" t="s">
        <v>7471</v>
      </c>
      <c r="D768" s="4296" t="s">
        <v>5222</v>
      </c>
      <c r="E768" s="4297">
        <v>0.75</v>
      </c>
    </row>
    <row r="769" spans="2:5">
      <c r="B769" s="4296" t="s">
        <v>6803</v>
      </c>
      <c r="C769" s="4296" t="s">
        <v>7472</v>
      </c>
      <c r="D769" s="4296" t="s">
        <v>5222</v>
      </c>
      <c r="E769" s="4297">
        <v>0.74999999999999989</v>
      </c>
    </row>
    <row r="770" spans="2:5">
      <c r="B770" s="4296" t="s">
        <v>6805</v>
      </c>
      <c r="C770" s="4296" t="s">
        <v>7473</v>
      </c>
      <c r="D770" s="4296" t="s">
        <v>4987</v>
      </c>
      <c r="E770" s="4297">
        <v>0.73403999999999991</v>
      </c>
    </row>
    <row r="771" spans="2:5">
      <c r="B771" s="4296" t="s">
        <v>6807</v>
      </c>
      <c r="C771" s="4296" t="s">
        <v>7474</v>
      </c>
      <c r="D771" s="4296" t="s">
        <v>4987</v>
      </c>
      <c r="E771" s="4297">
        <v>0.72960000000000003</v>
      </c>
    </row>
    <row r="772" spans="2:5">
      <c r="B772" s="4296" t="s">
        <v>6809</v>
      </c>
      <c r="C772" s="4296" t="s">
        <v>7475</v>
      </c>
      <c r="D772" s="4296" t="s">
        <v>4987</v>
      </c>
      <c r="E772" s="4297">
        <v>0.72011999999999998</v>
      </c>
    </row>
    <row r="773" spans="2:5">
      <c r="B773" s="4296" t="s">
        <v>6811</v>
      </c>
      <c r="C773" s="4296" t="s">
        <v>7476</v>
      </c>
      <c r="D773" s="4296" t="s">
        <v>4897</v>
      </c>
      <c r="E773" s="4297">
        <v>0.7</v>
      </c>
    </row>
    <row r="774" spans="2:5">
      <c r="B774" s="4296" t="s">
        <v>6813</v>
      </c>
      <c r="C774" s="4296" t="s">
        <v>7477</v>
      </c>
      <c r="D774" s="4296" t="s">
        <v>5222</v>
      </c>
      <c r="E774" s="4297">
        <v>0.7</v>
      </c>
    </row>
    <row r="775" spans="2:5">
      <c r="B775" s="4296" t="s">
        <v>6815</v>
      </c>
      <c r="C775" s="4296" t="s">
        <v>7478</v>
      </c>
      <c r="D775" s="4296" t="s">
        <v>5222</v>
      </c>
      <c r="E775" s="4297">
        <v>0.7</v>
      </c>
    </row>
    <row r="776" spans="2:5">
      <c r="B776" s="4296" t="s">
        <v>6817</v>
      </c>
      <c r="C776" s="4296" t="s">
        <v>7479</v>
      </c>
      <c r="D776" s="4296" t="s">
        <v>5222</v>
      </c>
      <c r="E776" s="4297">
        <v>0.7</v>
      </c>
    </row>
    <row r="777" spans="2:5">
      <c r="B777" s="4296" t="s">
        <v>6819</v>
      </c>
      <c r="C777" s="4296" t="s">
        <v>7480</v>
      </c>
      <c r="D777" s="4296" t="s">
        <v>4897</v>
      </c>
      <c r="E777" s="4297">
        <v>0.68</v>
      </c>
    </row>
    <row r="778" spans="2:5">
      <c r="B778" s="4296" t="s">
        <v>6821</v>
      </c>
      <c r="C778" s="4287" t="s">
        <v>7481</v>
      </c>
      <c r="D778" s="4287" t="s">
        <v>4674</v>
      </c>
      <c r="E778" s="4297">
        <v>0.67741200000000001</v>
      </c>
    </row>
    <row r="779" spans="2:5">
      <c r="B779" s="4296" t="s">
        <v>6823</v>
      </c>
      <c r="C779" s="4296" t="s">
        <v>7482</v>
      </c>
      <c r="D779" s="4296" t="s">
        <v>4897</v>
      </c>
      <c r="E779" s="4297">
        <v>0.67135400000000001</v>
      </c>
    </row>
    <row r="780" spans="2:5">
      <c r="B780" s="4296" t="s">
        <v>6825</v>
      </c>
      <c r="C780" s="4296" t="s">
        <v>7483</v>
      </c>
      <c r="D780" s="4296" t="s">
        <v>5232</v>
      </c>
      <c r="E780" s="4297">
        <v>0.66025500000000004</v>
      </c>
    </row>
    <row r="781" spans="2:5">
      <c r="B781" s="4296" t="s">
        <v>6827</v>
      </c>
      <c r="C781" s="4296" t="s">
        <v>7484</v>
      </c>
      <c r="D781" s="4296" t="s">
        <v>5222</v>
      </c>
      <c r="E781" s="4297">
        <v>0.65868100000000007</v>
      </c>
    </row>
    <row r="782" spans="2:5">
      <c r="B782" s="4296" t="s">
        <v>6829</v>
      </c>
      <c r="C782" s="4296" t="s">
        <v>5869</v>
      </c>
      <c r="D782" s="4296" t="s">
        <v>5222</v>
      </c>
      <c r="E782" s="4297">
        <v>0.65806500000000001</v>
      </c>
    </row>
    <row r="783" spans="2:5">
      <c r="B783" s="4296" t="s">
        <v>6831</v>
      </c>
      <c r="C783" s="4296" t="s">
        <v>7485</v>
      </c>
      <c r="D783" s="4296" t="s">
        <v>4897</v>
      </c>
      <c r="E783" s="4297">
        <v>0.65</v>
      </c>
    </row>
    <row r="784" spans="2:5">
      <c r="B784" s="4296" t="s">
        <v>6833</v>
      </c>
      <c r="C784" s="4296" t="s">
        <v>7486</v>
      </c>
      <c r="D784" s="4296" t="s">
        <v>5222</v>
      </c>
      <c r="E784" s="4297">
        <v>0.65</v>
      </c>
    </row>
    <row r="785" spans="2:5">
      <c r="B785" s="4296" t="s">
        <v>6835</v>
      </c>
      <c r="C785" s="4296" t="s">
        <v>7487</v>
      </c>
      <c r="D785" s="4296" t="s">
        <v>4987</v>
      </c>
      <c r="E785" s="4297">
        <v>0.63539999999999996</v>
      </c>
    </row>
    <row r="786" spans="2:5">
      <c r="B786" s="4296" t="s">
        <v>6837</v>
      </c>
      <c r="C786" s="4296" t="s">
        <v>6968</v>
      </c>
      <c r="D786" s="4296" t="s">
        <v>5149</v>
      </c>
      <c r="E786" s="4297">
        <v>0.63</v>
      </c>
    </row>
    <row r="787" spans="2:5">
      <c r="B787" s="4296" t="s">
        <v>6839</v>
      </c>
      <c r="C787" s="4296" t="s">
        <v>7488</v>
      </c>
      <c r="D787" s="4296" t="s">
        <v>5232</v>
      </c>
      <c r="E787" s="4297">
        <v>0.62627999999999995</v>
      </c>
    </row>
    <row r="788" spans="2:5">
      <c r="B788" s="4296" t="s">
        <v>6841</v>
      </c>
      <c r="C788" s="4287" t="s">
        <v>5455</v>
      </c>
      <c r="D788" s="4287" t="s">
        <v>4674</v>
      </c>
      <c r="E788" s="4297">
        <v>0.62411899999999998</v>
      </c>
    </row>
    <row r="789" spans="2:5">
      <c r="B789" s="4296" t="s">
        <v>6843</v>
      </c>
      <c r="C789" s="4287" t="s">
        <v>5345</v>
      </c>
      <c r="D789" s="4287" t="s">
        <v>4674</v>
      </c>
      <c r="E789" s="4297">
        <v>0.61221899999999996</v>
      </c>
    </row>
    <row r="790" spans="2:5">
      <c r="B790" s="4296" t="s">
        <v>6845</v>
      </c>
      <c r="C790" s="4296" t="s">
        <v>7489</v>
      </c>
      <c r="D790" s="4296" t="s">
        <v>4987</v>
      </c>
      <c r="E790" s="4297">
        <v>0.60661100000000001</v>
      </c>
    </row>
    <row r="791" spans="2:5">
      <c r="B791" s="4296" t="s">
        <v>6847</v>
      </c>
      <c r="C791" s="4296" t="s">
        <v>7490</v>
      </c>
      <c r="D791" s="4296" t="s">
        <v>5222</v>
      </c>
      <c r="E791" s="4297">
        <v>0.60499999999999998</v>
      </c>
    </row>
    <row r="792" spans="2:5">
      <c r="B792" s="4296" t="s">
        <v>6849</v>
      </c>
      <c r="C792" s="4296" t="s">
        <v>7491</v>
      </c>
      <c r="D792" s="4296" t="s">
        <v>5222</v>
      </c>
      <c r="E792" s="4297">
        <v>0.60322600000000004</v>
      </c>
    </row>
    <row r="793" spans="2:5">
      <c r="B793" s="4296" t="s">
        <v>6851</v>
      </c>
      <c r="C793" s="4296" t="s">
        <v>6868</v>
      </c>
      <c r="D793" s="4296" t="s">
        <v>5222</v>
      </c>
      <c r="E793" s="4297">
        <v>0.60322600000000004</v>
      </c>
    </row>
    <row r="794" spans="2:5">
      <c r="B794" s="4296" t="s">
        <v>6853</v>
      </c>
      <c r="C794" s="4296" t="s">
        <v>7492</v>
      </c>
      <c r="D794" s="4296" t="s">
        <v>4897</v>
      </c>
      <c r="E794" s="4297">
        <v>0.6</v>
      </c>
    </row>
    <row r="795" spans="2:5">
      <c r="B795" s="4296" t="s">
        <v>6855</v>
      </c>
      <c r="C795" s="4296" t="s">
        <v>7493</v>
      </c>
      <c r="D795" s="4296" t="s">
        <v>4897</v>
      </c>
      <c r="E795" s="4297">
        <v>0.6</v>
      </c>
    </row>
    <row r="796" spans="2:5">
      <c r="B796" s="4296" t="s">
        <v>6857</v>
      </c>
      <c r="C796" s="4296" t="s">
        <v>7494</v>
      </c>
      <c r="D796" s="4296" t="s">
        <v>4897</v>
      </c>
      <c r="E796" s="4297">
        <v>0.6</v>
      </c>
    </row>
    <row r="797" spans="2:5">
      <c r="B797" s="4296" t="s">
        <v>6859</v>
      </c>
      <c r="C797" s="4296" t="s">
        <v>7495</v>
      </c>
      <c r="D797" s="4296" t="s">
        <v>4897</v>
      </c>
      <c r="E797" s="4297">
        <v>0.6</v>
      </c>
    </row>
    <row r="798" spans="2:5">
      <c r="B798" s="4296" t="s">
        <v>6861</v>
      </c>
      <c r="C798" s="4296" t="s">
        <v>7496</v>
      </c>
      <c r="D798" s="4296" t="s">
        <v>5222</v>
      </c>
      <c r="E798" s="4297">
        <v>0.6</v>
      </c>
    </row>
    <row r="799" spans="2:5">
      <c r="B799" s="4296" t="s">
        <v>6863</v>
      </c>
      <c r="C799" s="4296" t="s">
        <v>7497</v>
      </c>
      <c r="D799" s="4296" t="s">
        <v>5222</v>
      </c>
      <c r="E799" s="4297">
        <v>0.6</v>
      </c>
    </row>
    <row r="800" spans="2:5">
      <c r="B800" s="4296" t="s">
        <v>6865</v>
      </c>
      <c r="C800" s="4296" t="s">
        <v>7498</v>
      </c>
      <c r="D800" s="4296" t="s">
        <v>5222</v>
      </c>
      <c r="E800" s="4297">
        <v>0.6</v>
      </c>
    </row>
    <row r="801" spans="2:5">
      <c r="B801" s="4296" t="s">
        <v>6867</v>
      </c>
      <c r="C801" s="4296" t="s">
        <v>7499</v>
      </c>
      <c r="D801" s="4296" t="s">
        <v>5222</v>
      </c>
      <c r="E801" s="4297">
        <v>0.6</v>
      </c>
    </row>
    <row r="802" spans="2:5">
      <c r="B802" s="4296" t="s">
        <v>6869</v>
      </c>
      <c r="C802" s="4296" t="s">
        <v>7500</v>
      </c>
      <c r="D802" s="4296" t="s">
        <v>5222</v>
      </c>
      <c r="E802" s="4297">
        <v>0.6</v>
      </c>
    </row>
    <row r="803" spans="2:5">
      <c r="B803" s="4296" t="s">
        <v>6871</v>
      </c>
      <c r="C803" s="4296" t="s">
        <v>7501</v>
      </c>
      <c r="D803" s="4296" t="s">
        <v>5222</v>
      </c>
      <c r="E803" s="4297">
        <v>0.6</v>
      </c>
    </row>
    <row r="804" spans="2:5">
      <c r="B804" s="4296" t="s">
        <v>6873</v>
      </c>
      <c r="C804" s="4296" t="s">
        <v>6172</v>
      </c>
      <c r="D804" s="4296" t="s">
        <v>5222</v>
      </c>
      <c r="E804" s="4297">
        <v>0.6</v>
      </c>
    </row>
    <row r="805" spans="2:5">
      <c r="B805" s="4296" t="s">
        <v>6875</v>
      </c>
      <c r="C805" s="4296" t="s">
        <v>6764</v>
      </c>
      <c r="D805" s="4296" t="s">
        <v>5222</v>
      </c>
      <c r="E805" s="4297">
        <v>0.58709699999999998</v>
      </c>
    </row>
    <row r="806" spans="2:5">
      <c r="B806" s="4296" t="s">
        <v>6877</v>
      </c>
      <c r="C806" s="4287" t="s">
        <v>6114</v>
      </c>
      <c r="D806" s="4287" t="s">
        <v>4674</v>
      </c>
      <c r="E806" s="4297">
        <v>0.58498500000000009</v>
      </c>
    </row>
    <row r="807" spans="2:5">
      <c r="B807" s="4296" t="s">
        <v>6879</v>
      </c>
      <c r="C807" s="4296" t="s">
        <v>6116</v>
      </c>
      <c r="D807" s="4296" t="s">
        <v>5222</v>
      </c>
      <c r="E807" s="4297">
        <v>0.57999999999999996</v>
      </c>
    </row>
    <row r="808" spans="2:5">
      <c r="B808" s="4296" t="s">
        <v>6881</v>
      </c>
      <c r="C808" s="4296" t="s">
        <v>7502</v>
      </c>
      <c r="D808" s="4296" t="s">
        <v>4897</v>
      </c>
      <c r="E808" s="4297">
        <v>0.56212200000000001</v>
      </c>
    </row>
    <row r="809" spans="2:5">
      <c r="B809" s="4296" t="s">
        <v>6883</v>
      </c>
      <c r="C809" s="4296" t="s">
        <v>6580</v>
      </c>
      <c r="D809" s="4296" t="s">
        <v>4897</v>
      </c>
      <c r="E809" s="4297">
        <v>0.56000000000000005</v>
      </c>
    </row>
    <row r="810" spans="2:5">
      <c r="B810" s="4296" t="s">
        <v>6885</v>
      </c>
      <c r="C810" s="4296" t="s">
        <v>5951</v>
      </c>
      <c r="D810" s="4296" t="s">
        <v>5222</v>
      </c>
      <c r="E810" s="4297">
        <v>0.54838699999999996</v>
      </c>
    </row>
    <row r="811" spans="2:5">
      <c r="B811" s="4296" t="s">
        <v>6887</v>
      </c>
      <c r="C811" s="4296" t="s">
        <v>7503</v>
      </c>
      <c r="D811" s="4296" t="s">
        <v>5222</v>
      </c>
      <c r="E811" s="4297">
        <v>0.53064500000000003</v>
      </c>
    </row>
    <row r="812" spans="2:5">
      <c r="B812" s="4296" t="s">
        <v>6889</v>
      </c>
      <c r="C812" s="4296" t="s">
        <v>7504</v>
      </c>
      <c r="D812" s="4296" t="s">
        <v>4897</v>
      </c>
      <c r="E812" s="4297">
        <v>0.5221309999999999</v>
      </c>
    </row>
    <row r="813" spans="2:5">
      <c r="B813" s="4296" t="s">
        <v>6891</v>
      </c>
      <c r="C813" s="4296" t="s">
        <v>7505</v>
      </c>
      <c r="D813" s="4296" t="s">
        <v>4897</v>
      </c>
      <c r="E813" s="4297">
        <v>0.51040999999999992</v>
      </c>
    </row>
    <row r="814" spans="2:5">
      <c r="B814" s="4296" t="s">
        <v>6893</v>
      </c>
      <c r="C814" s="4296" t="s">
        <v>7506</v>
      </c>
      <c r="D814" s="4296" t="s">
        <v>5222</v>
      </c>
      <c r="E814" s="4297">
        <v>0.50754200000000005</v>
      </c>
    </row>
    <row r="815" spans="2:5">
      <c r="B815" s="4296" t="s">
        <v>6895</v>
      </c>
      <c r="C815" s="4296" t="s">
        <v>6416</v>
      </c>
      <c r="D815" s="4296" t="s">
        <v>4897</v>
      </c>
      <c r="E815" s="4297">
        <v>0.504</v>
      </c>
    </row>
    <row r="816" spans="2:5">
      <c r="B816" s="4296" t="s">
        <v>6897</v>
      </c>
      <c r="C816" s="4296" t="s">
        <v>7507</v>
      </c>
      <c r="D816" s="4296" t="s">
        <v>5222</v>
      </c>
      <c r="E816" s="4297">
        <v>0.5</v>
      </c>
    </row>
    <row r="817" spans="2:5">
      <c r="B817" s="4296" t="s">
        <v>6899</v>
      </c>
      <c r="C817" s="4296" t="s">
        <v>7508</v>
      </c>
      <c r="D817" s="4296" t="s">
        <v>5222</v>
      </c>
      <c r="E817" s="4297">
        <v>0.5</v>
      </c>
    </row>
    <row r="818" spans="2:5">
      <c r="B818" s="4296" t="s">
        <v>6901</v>
      </c>
      <c r="C818" s="4296" t="s">
        <v>7509</v>
      </c>
      <c r="D818" s="4296" t="s">
        <v>5222</v>
      </c>
      <c r="E818" s="4297">
        <v>0.5</v>
      </c>
    </row>
    <row r="819" spans="2:5">
      <c r="B819" s="4296" t="s">
        <v>6903</v>
      </c>
      <c r="C819" s="4296" t="s">
        <v>7510</v>
      </c>
      <c r="D819" s="4296" t="s">
        <v>5222</v>
      </c>
      <c r="E819" s="4297">
        <v>0.5</v>
      </c>
    </row>
    <row r="820" spans="2:5">
      <c r="B820" s="4296" t="s">
        <v>6905</v>
      </c>
      <c r="C820" s="4296" t="s">
        <v>7511</v>
      </c>
      <c r="D820" s="4296" t="s">
        <v>5222</v>
      </c>
      <c r="E820" s="4297">
        <v>0.5</v>
      </c>
    </row>
    <row r="821" spans="2:5">
      <c r="B821" s="4296" t="s">
        <v>6907</v>
      </c>
      <c r="C821" s="4296" t="s">
        <v>7512</v>
      </c>
      <c r="D821" s="4296" t="s">
        <v>5222</v>
      </c>
      <c r="E821" s="4297">
        <v>0.5</v>
      </c>
    </row>
    <row r="822" spans="2:5">
      <c r="B822" s="4296" t="s">
        <v>6909</v>
      </c>
      <c r="C822" s="4296" t="s">
        <v>7513</v>
      </c>
      <c r="D822" s="4296" t="s">
        <v>5222</v>
      </c>
      <c r="E822" s="4297">
        <v>0.5</v>
      </c>
    </row>
    <row r="823" spans="2:5">
      <c r="B823" s="4296" t="s">
        <v>6911</v>
      </c>
      <c r="C823" s="4296" t="s">
        <v>7514</v>
      </c>
      <c r="D823" s="4296" t="s">
        <v>5222</v>
      </c>
      <c r="E823" s="4297">
        <v>0.5</v>
      </c>
    </row>
    <row r="824" spans="2:5">
      <c r="B824" s="4296" t="s">
        <v>6913</v>
      </c>
      <c r="C824" s="4296" t="s">
        <v>7515</v>
      </c>
      <c r="D824" s="4296" t="s">
        <v>5222</v>
      </c>
      <c r="E824" s="4297">
        <v>0.5</v>
      </c>
    </row>
    <row r="825" spans="2:5">
      <c r="B825" s="4296" t="s">
        <v>6915</v>
      </c>
      <c r="C825" s="4296" t="s">
        <v>7516</v>
      </c>
      <c r="D825" s="4296" t="s">
        <v>5222</v>
      </c>
      <c r="E825" s="4297">
        <v>0.5</v>
      </c>
    </row>
    <row r="826" spans="2:5">
      <c r="B826" s="4296" t="s">
        <v>6917</v>
      </c>
      <c r="C826" s="4296" t="s">
        <v>6858</v>
      </c>
      <c r="D826" s="4296" t="s">
        <v>5222</v>
      </c>
      <c r="E826" s="4297">
        <v>0.5</v>
      </c>
    </row>
    <row r="827" spans="2:5">
      <c r="B827" s="4296" t="s">
        <v>6919</v>
      </c>
      <c r="C827" s="4296" t="s">
        <v>7517</v>
      </c>
      <c r="D827" s="4296" t="s">
        <v>4987</v>
      </c>
      <c r="E827" s="4297">
        <v>0.49563800000000002</v>
      </c>
    </row>
    <row r="828" spans="2:5">
      <c r="B828" s="4296" t="s">
        <v>6921</v>
      </c>
      <c r="C828" s="4296" t="s">
        <v>6742</v>
      </c>
      <c r="D828" s="4296" t="s">
        <v>5222</v>
      </c>
      <c r="E828" s="4297">
        <v>0.48</v>
      </c>
    </row>
    <row r="829" spans="2:5">
      <c r="B829" s="4296" t="s">
        <v>6923</v>
      </c>
      <c r="C829" s="4296" t="s">
        <v>7518</v>
      </c>
      <c r="D829" s="4296" t="s">
        <v>7519</v>
      </c>
      <c r="E829" s="4297">
        <v>0.45593999999999996</v>
      </c>
    </row>
    <row r="830" spans="2:5">
      <c r="B830" s="4296" t="s">
        <v>6925</v>
      </c>
      <c r="C830" s="4296" t="s">
        <v>7520</v>
      </c>
      <c r="D830" s="4296" t="s">
        <v>5232</v>
      </c>
      <c r="E830" s="4297">
        <v>0.4555800000000001</v>
      </c>
    </row>
    <row r="831" spans="2:5">
      <c r="B831" s="4296" t="s">
        <v>6927</v>
      </c>
      <c r="C831" s="4296" t="s">
        <v>7521</v>
      </c>
      <c r="D831" s="4296" t="s">
        <v>4897</v>
      </c>
      <c r="E831" s="4297">
        <v>0.45442599999999994</v>
      </c>
    </row>
    <row r="832" spans="2:5">
      <c r="B832" s="4296" t="s">
        <v>6929</v>
      </c>
      <c r="C832" s="4296" t="s">
        <v>7522</v>
      </c>
      <c r="D832" s="4296" t="s">
        <v>4897</v>
      </c>
      <c r="E832" s="4297">
        <v>0.45161200000000001</v>
      </c>
    </row>
    <row r="833" spans="2:5">
      <c r="B833" s="4296" t="s">
        <v>6931</v>
      </c>
      <c r="C833" s="4296" t="s">
        <v>7523</v>
      </c>
      <c r="D833" s="4296" t="s">
        <v>5222</v>
      </c>
      <c r="E833" s="4297">
        <v>0.45</v>
      </c>
    </row>
    <row r="834" spans="2:5">
      <c r="B834" s="4296" t="s">
        <v>6933</v>
      </c>
      <c r="C834" s="4296" t="s">
        <v>7524</v>
      </c>
      <c r="D834" s="4296" t="s">
        <v>5222</v>
      </c>
      <c r="E834" s="4297">
        <v>0.45</v>
      </c>
    </row>
    <row r="835" spans="2:5">
      <c r="B835" s="4296" t="s">
        <v>6935</v>
      </c>
      <c r="C835" s="4296" t="s">
        <v>7525</v>
      </c>
      <c r="D835" s="4296" t="s">
        <v>5222</v>
      </c>
      <c r="E835" s="4297">
        <v>0.45</v>
      </c>
    </row>
    <row r="836" spans="2:5">
      <c r="B836" s="4296" t="s">
        <v>6937</v>
      </c>
      <c r="C836" s="4296" t="s">
        <v>7526</v>
      </c>
      <c r="D836" s="4296" t="s">
        <v>5222</v>
      </c>
      <c r="E836" s="4297">
        <v>0.45</v>
      </c>
    </row>
    <row r="837" spans="2:5">
      <c r="B837" s="4296" t="s">
        <v>6939</v>
      </c>
      <c r="C837" s="4296" t="s">
        <v>7527</v>
      </c>
      <c r="D837" s="4296" t="s">
        <v>4987</v>
      </c>
      <c r="E837" s="4297">
        <v>0.44181300000000001</v>
      </c>
    </row>
    <row r="838" spans="2:5">
      <c r="B838" s="4296" t="s">
        <v>6941</v>
      </c>
      <c r="C838" s="4296" t="s">
        <v>6318</v>
      </c>
      <c r="D838" s="4296" t="s">
        <v>4897</v>
      </c>
      <c r="E838" s="4297">
        <v>0.42312400000000006</v>
      </c>
    </row>
    <row r="839" spans="2:5">
      <c r="B839" s="4296" t="s">
        <v>6943</v>
      </c>
      <c r="C839" s="4296" t="s">
        <v>7528</v>
      </c>
      <c r="D839" s="4296" t="s">
        <v>5222</v>
      </c>
      <c r="E839" s="4297">
        <v>0.41209099999999999</v>
      </c>
    </row>
    <row r="840" spans="2:5">
      <c r="B840" s="4296" t="s">
        <v>6945</v>
      </c>
      <c r="C840" s="4296" t="s">
        <v>7529</v>
      </c>
      <c r="D840" s="4296" t="s">
        <v>5232</v>
      </c>
      <c r="E840" s="4297">
        <v>0.40689000000000003</v>
      </c>
    </row>
    <row r="841" spans="2:5">
      <c r="B841" s="4296" t="s">
        <v>6947</v>
      </c>
      <c r="C841" s="4296" t="s">
        <v>6706</v>
      </c>
      <c r="D841" s="4296" t="s">
        <v>5222</v>
      </c>
      <c r="E841" s="4297">
        <v>0.40322600000000003</v>
      </c>
    </row>
    <row r="842" spans="2:5">
      <c r="B842" s="4296" t="s">
        <v>6949</v>
      </c>
      <c r="C842" s="4296" t="s">
        <v>7530</v>
      </c>
      <c r="D842" s="4296" t="s">
        <v>4897</v>
      </c>
      <c r="E842" s="4297">
        <v>0.4</v>
      </c>
    </row>
    <row r="843" spans="2:5">
      <c r="B843" s="4296" t="s">
        <v>6951</v>
      </c>
      <c r="C843" s="4296" t="s">
        <v>7531</v>
      </c>
      <c r="D843" s="4296" t="s">
        <v>4897</v>
      </c>
      <c r="E843" s="4297">
        <v>0.4</v>
      </c>
    </row>
    <row r="844" spans="2:5">
      <c r="B844" s="4296" t="s">
        <v>6953</v>
      </c>
      <c r="C844" s="4296" t="s">
        <v>7532</v>
      </c>
      <c r="D844" s="4296" t="s">
        <v>5222</v>
      </c>
      <c r="E844" s="4297">
        <v>0.4</v>
      </c>
    </row>
    <row r="845" spans="2:5">
      <c r="B845" s="4296" t="s">
        <v>6955</v>
      </c>
      <c r="C845" s="4296" t="s">
        <v>7533</v>
      </c>
      <c r="D845" s="4296" t="s">
        <v>5222</v>
      </c>
      <c r="E845" s="4297">
        <v>0.4</v>
      </c>
    </row>
    <row r="846" spans="2:5">
      <c r="B846" s="4296" t="s">
        <v>6957</v>
      </c>
      <c r="C846" s="4296" t="s">
        <v>7534</v>
      </c>
      <c r="D846" s="4296" t="s">
        <v>5222</v>
      </c>
      <c r="E846" s="4297">
        <v>0.4</v>
      </c>
    </row>
    <row r="847" spans="2:5">
      <c r="B847" s="4296" t="s">
        <v>6959</v>
      </c>
      <c r="C847" s="4296" t="s">
        <v>7535</v>
      </c>
      <c r="D847" s="4296" t="s">
        <v>5222</v>
      </c>
      <c r="E847" s="4297">
        <v>0.4</v>
      </c>
    </row>
    <row r="848" spans="2:5">
      <c r="B848" s="4296" t="s">
        <v>6961</v>
      </c>
      <c r="C848" s="4296" t="s">
        <v>6768</v>
      </c>
      <c r="D848" s="4296" t="s">
        <v>5222</v>
      </c>
      <c r="E848" s="4297">
        <v>0.4</v>
      </c>
    </row>
    <row r="849" spans="2:5">
      <c r="B849" s="4296" t="s">
        <v>6963</v>
      </c>
      <c r="C849" s="4296" t="s">
        <v>7536</v>
      </c>
      <c r="D849" s="4296" t="s">
        <v>5222</v>
      </c>
      <c r="E849" s="4297">
        <v>0.4</v>
      </c>
    </row>
    <row r="850" spans="2:5">
      <c r="B850" s="4296" t="s">
        <v>6965</v>
      </c>
      <c r="C850" s="4296" t="s">
        <v>7537</v>
      </c>
      <c r="D850" s="4296" t="s">
        <v>4987</v>
      </c>
      <c r="E850" s="4297">
        <v>0.39835499999999996</v>
      </c>
    </row>
    <row r="851" spans="2:5">
      <c r="B851" s="4296" t="s">
        <v>6967</v>
      </c>
      <c r="C851" s="4287" t="s">
        <v>5655</v>
      </c>
      <c r="D851" s="4287" t="s">
        <v>4674</v>
      </c>
      <c r="E851" s="4297">
        <v>0.383405</v>
      </c>
    </row>
    <row r="852" spans="2:5">
      <c r="B852" s="4296" t="s">
        <v>6969</v>
      </c>
      <c r="C852" s="4296" t="s">
        <v>7538</v>
      </c>
      <c r="D852" s="4296" t="s">
        <v>5222</v>
      </c>
      <c r="E852" s="4297">
        <v>0.37874999999999998</v>
      </c>
    </row>
    <row r="853" spans="2:5">
      <c r="B853" s="4296" t="s">
        <v>6971</v>
      </c>
      <c r="C853" s="4296" t="s">
        <v>7539</v>
      </c>
      <c r="D853" s="4296" t="s">
        <v>4987</v>
      </c>
      <c r="E853" s="4297">
        <v>0.37609700000000001</v>
      </c>
    </row>
    <row r="854" spans="2:5">
      <c r="B854" s="4296" t="s">
        <v>6973</v>
      </c>
      <c r="C854" s="4296" t="s">
        <v>7540</v>
      </c>
      <c r="D854" s="4296" t="s">
        <v>4897</v>
      </c>
      <c r="E854" s="4297">
        <v>0.36521799999999999</v>
      </c>
    </row>
    <row r="855" spans="2:5">
      <c r="B855" s="4296" t="s">
        <v>6975</v>
      </c>
      <c r="C855" s="4296" t="s">
        <v>7541</v>
      </c>
      <c r="D855" s="4296" t="s">
        <v>4987</v>
      </c>
      <c r="E855" s="4297">
        <v>0.36005999999999999</v>
      </c>
    </row>
    <row r="856" spans="2:5">
      <c r="B856" s="4296" t="s">
        <v>6977</v>
      </c>
      <c r="C856" s="4296" t="s">
        <v>7542</v>
      </c>
      <c r="D856" s="4296" t="s">
        <v>4987</v>
      </c>
      <c r="E856" s="4297">
        <v>0.36005999999999999</v>
      </c>
    </row>
    <row r="857" spans="2:5">
      <c r="B857" s="4296" t="s">
        <v>6979</v>
      </c>
      <c r="C857" s="4296" t="s">
        <v>7543</v>
      </c>
      <c r="D857" s="4296" t="s">
        <v>4987</v>
      </c>
      <c r="E857" s="4297">
        <v>0.36005999999999999</v>
      </c>
    </row>
    <row r="858" spans="2:5">
      <c r="B858" s="4296" t="s">
        <v>6981</v>
      </c>
      <c r="C858" s="4296" t="s">
        <v>7544</v>
      </c>
      <c r="D858" s="4296" t="s">
        <v>5222</v>
      </c>
      <c r="E858" s="4297">
        <v>0.36</v>
      </c>
    </row>
    <row r="859" spans="2:5">
      <c r="B859" s="4296" t="s">
        <v>6983</v>
      </c>
      <c r="C859" s="4296" t="s">
        <v>7545</v>
      </c>
      <c r="D859" s="4296" t="s">
        <v>5222</v>
      </c>
      <c r="E859" s="4297">
        <v>0.35699999999999998</v>
      </c>
    </row>
    <row r="860" spans="2:5">
      <c r="B860" s="4296" t="s">
        <v>6985</v>
      </c>
      <c r="C860" s="4296" t="s">
        <v>7546</v>
      </c>
      <c r="D860" s="4296" t="s">
        <v>5222</v>
      </c>
      <c r="E860" s="4297">
        <v>0.35</v>
      </c>
    </row>
    <row r="861" spans="2:5">
      <c r="B861" s="4296" t="s">
        <v>6987</v>
      </c>
      <c r="C861" s="4296" t="s">
        <v>7547</v>
      </c>
      <c r="D861" s="4296" t="s">
        <v>5222</v>
      </c>
      <c r="E861" s="4297">
        <v>0.35</v>
      </c>
    </row>
    <row r="862" spans="2:5">
      <c r="B862" s="4296" t="s">
        <v>6989</v>
      </c>
      <c r="C862" s="4296" t="s">
        <v>7548</v>
      </c>
      <c r="D862" s="4296" t="s">
        <v>4987</v>
      </c>
      <c r="E862" s="4297">
        <v>0.34731799999999996</v>
      </c>
    </row>
    <row r="863" spans="2:5">
      <c r="B863" s="4296" t="s">
        <v>6991</v>
      </c>
      <c r="C863" s="4296" t="s">
        <v>7549</v>
      </c>
      <c r="D863" s="4296" t="s">
        <v>4987</v>
      </c>
      <c r="E863" s="4297">
        <v>0.34570899999999999</v>
      </c>
    </row>
    <row r="864" spans="2:5">
      <c r="B864" s="4296" t="s">
        <v>6993</v>
      </c>
      <c r="C864" s="4296" t="s">
        <v>7550</v>
      </c>
      <c r="D864" s="4296" t="s">
        <v>4987</v>
      </c>
      <c r="E864" s="4297">
        <v>0.33848600000000001</v>
      </c>
    </row>
    <row r="865" spans="2:5">
      <c r="B865" s="4296" t="s">
        <v>6995</v>
      </c>
      <c r="C865" s="4296" t="s">
        <v>6660</v>
      </c>
      <c r="D865" s="4296" t="s">
        <v>4897</v>
      </c>
      <c r="E865" s="4297">
        <v>0.33</v>
      </c>
    </row>
    <row r="866" spans="2:5">
      <c r="B866" s="4296" t="s">
        <v>6997</v>
      </c>
      <c r="C866" s="4296" t="s">
        <v>7551</v>
      </c>
      <c r="D866" s="4296" t="s">
        <v>5222</v>
      </c>
      <c r="E866" s="4297">
        <v>0.33</v>
      </c>
    </row>
    <row r="867" spans="2:5">
      <c r="B867" s="4296" t="s">
        <v>6999</v>
      </c>
      <c r="C867" s="4296" t="s">
        <v>7552</v>
      </c>
      <c r="D867" s="4296" t="s">
        <v>5222</v>
      </c>
      <c r="E867" s="4297">
        <v>0.32600000000000001</v>
      </c>
    </row>
    <row r="868" spans="2:5">
      <c r="B868" s="4296" t="s">
        <v>7001</v>
      </c>
      <c r="C868" s="4296" t="s">
        <v>7553</v>
      </c>
      <c r="D868" s="4296" t="s">
        <v>4897</v>
      </c>
      <c r="E868" s="4297">
        <v>0.32131199999999993</v>
      </c>
    </row>
    <row r="869" spans="2:5">
      <c r="B869" s="4296" t="s">
        <v>7003</v>
      </c>
      <c r="C869" s="4296" t="s">
        <v>7554</v>
      </c>
      <c r="D869" s="4296" t="s">
        <v>4987</v>
      </c>
      <c r="E869" s="4297">
        <v>0.31391999999999998</v>
      </c>
    </row>
    <row r="870" spans="2:5">
      <c r="B870" s="4296" t="s">
        <v>7005</v>
      </c>
      <c r="C870" s="4296" t="s">
        <v>7555</v>
      </c>
      <c r="D870" s="4296" t="s">
        <v>5222</v>
      </c>
      <c r="E870" s="4297">
        <v>0.3</v>
      </c>
    </row>
    <row r="871" spans="2:5">
      <c r="B871" s="4296" t="s">
        <v>7007</v>
      </c>
      <c r="C871" s="4296" t="s">
        <v>7556</v>
      </c>
      <c r="D871" s="4296" t="s">
        <v>5222</v>
      </c>
      <c r="E871" s="4297">
        <v>0.3</v>
      </c>
    </row>
    <row r="872" spans="2:5">
      <c r="B872" s="4296" t="s">
        <v>7009</v>
      </c>
      <c r="C872" s="4296" t="s">
        <v>7557</v>
      </c>
      <c r="D872" s="4296" t="s">
        <v>5222</v>
      </c>
      <c r="E872" s="4297">
        <v>0.3</v>
      </c>
    </row>
    <row r="873" spans="2:5">
      <c r="B873" s="4296" t="s">
        <v>7011</v>
      </c>
      <c r="C873" s="4296" t="s">
        <v>7558</v>
      </c>
      <c r="D873" s="4296" t="s">
        <v>5222</v>
      </c>
      <c r="E873" s="4297">
        <v>0.3</v>
      </c>
    </row>
    <row r="874" spans="2:5">
      <c r="B874" s="4296" t="s">
        <v>7013</v>
      </c>
      <c r="C874" s="4296" t="s">
        <v>7559</v>
      </c>
      <c r="D874" s="4296" t="s">
        <v>5222</v>
      </c>
      <c r="E874" s="4297">
        <v>0.3</v>
      </c>
    </row>
    <row r="875" spans="2:5">
      <c r="B875" s="4296" t="s">
        <v>7015</v>
      </c>
      <c r="C875" s="4296" t="s">
        <v>7560</v>
      </c>
      <c r="D875" s="4296" t="s">
        <v>4897</v>
      </c>
      <c r="E875" s="4297">
        <v>0.29999999999999993</v>
      </c>
    </row>
    <row r="876" spans="2:5">
      <c r="B876" s="4296" t="s">
        <v>7017</v>
      </c>
      <c r="C876" s="4296" t="s">
        <v>7561</v>
      </c>
      <c r="D876" s="4296" t="s">
        <v>5222</v>
      </c>
      <c r="E876" s="4297">
        <v>0.29548400000000002</v>
      </c>
    </row>
    <row r="877" spans="2:5">
      <c r="B877" s="4296" t="s">
        <v>7562</v>
      </c>
      <c r="C877" s="4296" t="s">
        <v>6362</v>
      </c>
      <c r="D877" s="4296" t="s">
        <v>4987</v>
      </c>
      <c r="E877" s="4297">
        <v>0.28320000000000001</v>
      </c>
    </row>
    <row r="878" spans="2:5">
      <c r="B878" s="4296" t="s">
        <v>7563</v>
      </c>
      <c r="C878" s="4296" t="s">
        <v>7564</v>
      </c>
      <c r="D878" s="4296" t="s">
        <v>5222</v>
      </c>
      <c r="E878" s="4297">
        <v>0.28275800000000001</v>
      </c>
    </row>
    <row r="879" spans="2:5">
      <c r="B879" s="4296" t="s">
        <v>7565</v>
      </c>
      <c r="C879" s="4296" t="s">
        <v>7566</v>
      </c>
      <c r="D879" s="4296" t="s">
        <v>4987</v>
      </c>
      <c r="E879" s="4297">
        <v>0.27105000000000001</v>
      </c>
    </row>
    <row r="880" spans="2:5">
      <c r="B880" s="4296" t="s">
        <v>7567</v>
      </c>
      <c r="C880" s="4296" t="s">
        <v>6976</v>
      </c>
      <c r="D880" s="4296" t="s">
        <v>5222</v>
      </c>
      <c r="E880" s="4297">
        <v>0.27</v>
      </c>
    </row>
    <row r="881" spans="2:5">
      <c r="B881" s="4296" t="s">
        <v>7568</v>
      </c>
      <c r="C881" s="4296" t="s">
        <v>7569</v>
      </c>
      <c r="D881" s="4296" t="s">
        <v>4987</v>
      </c>
      <c r="E881" s="4297">
        <v>0.26874499999999996</v>
      </c>
    </row>
    <row r="882" spans="2:5">
      <c r="B882" s="4296" t="s">
        <v>7570</v>
      </c>
      <c r="C882" s="4296" t="s">
        <v>7571</v>
      </c>
      <c r="D882" s="4296" t="s">
        <v>4897</v>
      </c>
      <c r="E882" s="4297">
        <v>0.26589400000000002</v>
      </c>
    </row>
    <row r="883" spans="2:5">
      <c r="B883" s="4296" t="s">
        <v>7572</v>
      </c>
      <c r="C883" s="4296" t="s">
        <v>7573</v>
      </c>
      <c r="D883" s="4296" t="s">
        <v>4674</v>
      </c>
      <c r="E883" s="4297">
        <v>0.25419000000000003</v>
      </c>
    </row>
    <row r="884" spans="2:5">
      <c r="B884" s="4296" t="s">
        <v>7574</v>
      </c>
      <c r="C884" s="4296" t="s">
        <v>6670</v>
      </c>
      <c r="D884" s="4296" t="s">
        <v>5231</v>
      </c>
      <c r="E884" s="4297">
        <v>0.248637</v>
      </c>
    </row>
    <row r="885" spans="2:5">
      <c r="B885" s="4296" t="s">
        <v>7575</v>
      </c>
      <c r="C885" s="4296" t="s">
        <v>7576</v>
      </c>
      <c r="D885" s="4296" t="s">
        <v>4987</v>
      </c>
      <c r="E885" s="4297">
        <v>0.24862600000000001</v>
      </c>
    </row>
    <row r="886" spans="2:5">
      <c r="B886" s="4296" t="s">
        <v>7577</v>
      </c>
      <c r="C886" s="4296" t="s">
        <v>7578</v>
      </c>
      <c r="D886" s="4296" t="s">
        <v>4987</v>
      </c>
      <c r="E886" s="4297">
        <v>0.2472</v>
      </c>
    </row>
    <row r="887" spans="2:5">
      <c r="B887" s="4296" t="s">
        <v>7579</v>
      </c>
      <c r="C887" s="4296" t="s">
        <v>7580</v>
      </c>
      <c r="D887" s="4296" t="s">
        <v>5222</v>
      </c>
      <c r="E887" s="4297">
        <v>0.23</v>
      </c>
    </row>
    <row r="888" spans="2:5">
      <c r="B888" s="4296" t="s">
        <v>7581</v>
      </c>
      <c r="C888" s="4296" t="s">
        <v>7582</v>
      </c>
      <c r="D888" s="4296" t="s">
        <v>5222</v>
      </c>
      <c r="E888" s="4297">
        <v>0.22580600000000001</v>
      </c>
    </row>
    <row r="889" spans="2:5">
      <c r="B889" s="4296" t="s">
        <v>7583</v>
      </c>
      <c r="C889" s="4296" t="s">
        <v>7584</v>
      </c>
      <c r="D889" s="4296" t="s">
        <v>5222</v>
      </c>
      <c r="E889" s="4297">
        <v>0.20602399999999998</v>
      </c>
    </row>
    <row r="890" spans="2:5">
      <c r="B890" s="4296" t="s">
        <v>7585</v>
      </c>
      <c r="C890" s="4296" t="s">
        <v>6958</v>
      </c>
      <c r="D890" s="4296" t="s">
        <v>4897</v>
      </c>
      <c r="E890" s="4297">
        <v>0.20043900000000001</v>
      </c>
    </row>
    <row r="891" spans="2:5">
      <c r="B891" s="4296" t="s">
        <v>7586</v>
      </c>
      <c r="C891" s="4296" t="s">
        <v>7587</v>
      </c>
      <c r="D891" s="4296" t="s">
        <v>4897</v>
      </c>
      <c r="E891" s="4297">
        <v>0.2</v>
      </c>
    </row>
    <row r="892" spans="2:5">
      <c r="B892" s="4296" t="s">
        <v>7588</v>
      </c>
      <c r="C892" s="4296" t="s">
        <v>7589</v>
      </c>
      <c r="D892" s="4296" t="s">
        <v>5222</v>
      </c>
      <c r="E892" s="4297">
        <v>0.2</v>
      </c>
    </row>
    <row r="893" spans="2:5">
      <c r="B893" s="4296" t="s">
        <v>7590</v>
      </c>
      <c r="C893" s="4296" t="s">
        <v>7591</v>
      </c>
      <c r="D893" s="4296" t="s">
        <v>5222</v>
      </c>
      <c r="E893" s="4297">
        <v>0.2</v>
      </c>
    </row>
    <row r="894" spans="2:5">
      <c r="B894" s="4296" t="s">
        <v>7592</v>
      </c>
      <c r="C894" s="4296" t="s">
        <v>6960</v>
      </c>
      <c r="D894" s="4296" t="s">
        <v>4897</v>
      </c>
      <c r="E894" s="4297">
        <v>0.18148400000000001</v>
      </c>
    </row>
    <row r="895" spans="2:5">
      <c r="B895" s="4296" t="s">
        <v>7593</v>
      </c>
      <c r="C895" s="4296" t="s">
        <v>6750</v>
      </c>
      <c r="D895" s="4296" t="s">
        <v>5222</v>
      </c>
      <c r="E895" s="4297">
        <v>0.164516</v>
      </c>
    </row>
    <row r="896" spans="2:5">
      <c r="B896" s="4296" t="s">
        <v>7594</v>
      </c>
      <c r="C896" s="4296" t="s">
        <v>7595</v>
      </c>
      <c r="D896" s="4296" t="s">
        <v>5232</v>
      </c>
      <c r="E896" s="4297">
        <v>0.16021400000000002</v>
      </c>
    </row>
    <row r="897" spans="2:5">
      <c r="B897" s="4296" t="s">
        <v>7596</v>
      </c>
      <c r="C897" s="4296" t="s">
        <v>7597</v>
      </c>
      <c r="D897" s="4296" t="s">
        <v>5232</v>
      </c>
      <c r="E897" s="4297">
        <v>0.15879000000000001</v>
      </c>
    </row>
    <row r="898" spans="2:5">
      <c r="B898" s="4296" t="s">
        <v>7598</v>
      </c>
      <c r="C898" s="4296" t="s">
        <v>7599</v>
      </c>
      <c r="D898" s="4296" t="s">
        <v>4987</v>
      </c>
      <c r="E898" s="4297">
        <v>0.15054000000000001</v>
      </c>
    </row>
    <row r="899" spans="2:5">
      <c r="B899" s="4296" t="s">
        <v>7600</v>
      </c>
      <c r="C899" s="4296" t="s">
        <v>7601</v>
      </c>
      <c r="D899" s="4296" t="s">
        <v>5222</v>
      </c>
      <c r="E899" s="4297">
        <v>0.15</v>
      </c>
    </row>
    <row r="900" spans="2:5">
      <c r="B900" s="4296" t="s">
        <v>7602</v>
      </c>
      <c r="C900" s="4296" t="s">
        <v>7603</v>
      </c>
      <c r="D900" s="4296" t="s">
        <v>5222</v>
      </c>
      <c r="E900" s="4297">
        <v>0.15</v>
      </c>
    </row>
    <row r="901" spans="2:5">
      <c r="B901" s="4296" t="s">
        <v>7604</v>
      </c>
      <c r="C901" s="4296" t="s">
        <v>7605</v>
      </c>
      <c r="D901" s="4296" t="s">
        <v>5232</v>
      </c>
      <c r="E901" s="4297">
        <v>0.14553099999999999</v>
      </c>
    </row>
    <row r="902" spans="2:5">
      <c r="B902" s="4296" t="s">
        <v>7606</v>
      </c>
      <c r="C902" s="4296" t="s">
        <v>5744</v>
      </c>
      <c r="D902" s="4296" t="s">
        <v>4674</v>
      </c>
      <c r="E902" s="4297">
        <v>0.13314799999999999</v>
      </c>
    </row>
    <row r="903" spans="2:5">
      <c r="B903" s="4296" t="s">
        <v>7607</v>
      </c>
      <c r="C903" s="4296" t="s">
        <v>7608</v>
      </c>
      <c r="D903" s="4296" t="s">
        <v>5222</v>
      </c>
      <c r="E903" s="4297">
        <v>0.13114800000000001</v>
      </c>
    </row>
    <row r="904" spans="2:5">
      <c r="B904" s="4296" t="s">
        <v>7609</v>
      </c>
      <c r="C904" s="4296" t="s">
        <v>6934</v>
      </c>
      <c r="D904" s="4296" t="s">
        <v>5222</v>
      </c>
      <c r="E904" s="4297">
        <v>0.12</v>
      </c>
    </row>
    <row r="905" spans="2:5">
      <c r="B905" s="4296" t="s">
        <v>7610</v>
      </c>
      <c r="C905" s="4296" t="s">
        <v>7611</v>
      </c>
      <c r="D905" s="4296" t="s">
        <v>5232</v>
      </c>
      <c r="E905" s="4297">
        <v>0.115666</v>
      </c>
    </row>
    <row r="906" spans="2:5">
      <c r="B906" s="4296" t="s">
        <v>7612</v>
      </c>
      <c r="C906" s="4296" t="s">
        <v>7613</v>
      </c>
      <c r="D906" s="4296" t="s">
        <v>4987</v>
      </c>
      <c r="E906" s="4297">
        <v>0.115381</v>
      </c>
    </row>
    <row r="907" spans="2:5">
      <c r="B907" s="4296" t="s">
        <v>7614</v>
      </c>
      <c r="C907" s="4296" t="s">
        <v>7615</v>
      </c>
      <c r="D907" s="4296" t="s">
        <v>4897</v>
      </c>
      <c r="E907" s="4297">
        <v>0.11475399999999999</v>
      </c>
    </row>
    <row r="908" spans="2:5">
      <c r="B908" s="4296" t="s">
        <v>7616</v>
      </c>
      <c r="C908" s="4296" t="s">
        <v>7617</v>
      </c>
      <c r="D908" s="4296" t="s">
        <v>5222</v>
      </c>
      <c r="E908" s="4297">
        <v>0.1</v>
      </c>
    </row>
    <row r="909" spans="2:5">
      <c r="B909" s="4296" t="s">
        <v>7618</v>
      </c>
      <c r="C909" s="4296" t="s">
        <v>7004</v>
      </c>
      <c r="D909" s="4296" t="s">
        <v>5232</v>
      </c>
      <c r="E909" s="4297">
        <v>9.1358999999999996E-2</v>
      </c>
    </row>
    <row r="910" spans="2:5">
      <c r="B910" s="4296" t="s">
        <v>7619</v>
      </c>
      <c r="C910" s="4296" t="s">
        <v>7620</v>
      </c>
      <c r="D910" s="4296" t="s">
        <v>5232</v>
      </c>
      <c r="E910" s="4297">
        <v>7.8654000000000002E-2</v>
      </c>
    </row>
    <row r="911" spans="2:5">
      <c r="B911" s="4296" t="s">
        <v>7621</v>
      </c>
      <c r="C911" s="4296" t="s">
        <v>6154</v>
      </c>
      <c r="D911" s="4296" t="s">
        <v>5222</v>
      </c>
      <c r="E911" s="4297">
        <v>7.7951999999999994E-2</v>
      </c>
    </row>
    <row r="912" spans="2:5">
      <c r="B912" s="4296" t="s">
        <v>7622</v>
      </c>
      <c r="C912" s="4296" t="s">
        <v>7623</v>
      </c>
      <c r="D912" s="4296" t="s">
        <v>5232</v>
      </c>
      <c r="E912" s="4297">
        <v>7.6081999999999997E-2</v>
      </c>
    </row>
    <row r="913" spans="2:5">
      <c r="B913" s="4296" t="s">
        <v>7624</v>
      </c>
      <c r="C913" s="4296" t="s">
        <v>7625</v>
      </c>
      <c r="D913" s="4296" t="s">
        <v>4674</v>
      </c>
      <c r="E913" s="4297">
        <v>7.2839999999999988E-2</v>
      </c>
    </row>
    <row r="914" spans="2:5">
      <c r="B914" s="4296" t="s">
        <v>7626</v>
      </c>
      <c r="C914" s="4296" t="s">
        <v>7627</v>
      </c>
      <c r="D914" s="4296" t="s">
        <v>5222</v>
      </c>
      <c r="E914" s="4297">
        <v>6.8400000000000002E-2</v>
      </c>
    </row>
    <row r="915" spans="2:5">
      <c r="B915" s="4296" t="s">
        <v>7628</v>
      </c>
      <c r="C915" s="4296" t="s">
        <v>7008</v>
      </c>
      <c r="D915" s="4296" t="s">
        <v>5232</v>
      </c>
      <c r="E915" s="4297">
        <v>6.311399999999999E-2</v>
      </c>
    </row>
    <row r="916" spans="2:5">
      <c r="B916" s="4296" t="s">
        <v>7629</v>
      </c>
      <c r="C916" s="4296" t="s">
        <v>7630</v>
      </c>
      <c r="D916" s="4296" t="s">
        <v>5232</v>
      </c>
      <c r="E916" s="4297">
        <v>6.2475000000000003E-2</v>
      </c>
    </row>
    <row r="917" spans="2:5">
      <c r="B917" s="4296" t="s">
        <v>7631</v>
      </c>
      <c r="C917" s="4296" t="s">
        <v>7632</v>
      </c>
      <c r="D917" s="4296" t="s">
        <v>5232</v>
      </c>
      <c r="E917" s="4297">
        <v>6.1749999999999999E-2</v>
      </c>
    </row>
    <row r="918" spans="2:5">
      <c r="B918" s="4296" t="s">
        <v>7633</v>
      </c>
      <c r="C918" s="4296" t="s">
        <v>7634</v>
      </c>
      <c r="D918" s="4296" t="s">
        <v>5232</v>
      </c>
      <c r="E918" s="4297">
        <v>6.0435000000000016E-2</v>
      </c>
    </row>
    <row r="919" spans="2:5">
      <c r="B919" s="4296" t="s">
        <v>7635</v>
      </c>
      <c r="C919" s="4296" t="s">
        <v>7636</v>
      </c>
      <c r="D919" s="4296" t="s">
        <v>5232</v>
      </c>
      <c r="E919" s="4297">
        <v>5.9400000000000001E-2</v>
      </c>
    </row>
    <row r="920" spans="2:5">
      <c r="B920" s="4296" t="s">
        <v>7637</v>
      </c>
      <c r="C920" s="4296" t="s">
        <v>7638</v>
      </c>
      <c r="D920" s="4296" t="s">
        <v>5232</v>
      </c>
      <c r="E920" s="4297">
        <v>5.1366000000000009E-2</v>
      </c>
    </row>
    <row r="921" spans="2:5">
      <c r="B921" s="4296" t="s">
        <v>7639</v>
      </c>
      <c r="C921" s="4296" t="s">
        <v>7640</v>
      </c>
      <c r="D921" s="4296" t="s">
        <v>5222</v>
      </c>
      <c r="E921" s="4297">
        <v>0.05</v>
      </c>
    </row>
    <row r="922" spans="2:5">
      <c r="B922" s="4296" t="s">
        <v>7641</v>
      </c>
      <c r="C922" s="4296" t="s">
        <v>7642</v>
      </c>
      <c r="D922" s="4296" t="s">
        <v>5222</v>
      </c>
      <c r="E922" s="4297">
        <v>0.05</v>
      </c>
    </row>
    <row r="923" spans="2:5">
      <c r="B923" s="4296" t="s">
        <v>7643</v>
      </c>
      <c r="C923" s="4296" t="s">
        <v>7644</v>
      </c>
      <c r="D923" s="4296" t="s">
        <v>5222</v>
      </c>
      <c r="E923" s="4297">
        <v>0.05</v>
      </c>
    </row>
    <row r="924" spans="2:5">
      <c r="B924" s="4296" t="s">
        <v>7645</v>
      </c>
      <c r="C924" s="4296" t="s">
        <v>7646</v>
      </c>
      <c r="D924" s="4296" t="s">
        <v>5232</v>
      </c>
      <c r="E924" s="4297">
        <v>4.9500000000000002E-2</v>
      </c>
    </row>
    <row r="925" spans="2:5">
      <c r="B925" s="4296" t="s">
        <v>7647</v>
      </c>
      <c r="C925" s="4296" t="s">
        <v>7010</v>
      </c>
      <c r="D925" s="4296" t="s">
        <v>5232</v>
      </c>
      <c r="E925" s="4297">
        <v>4.1800999999999998E-2</v>
      </c>
    </row>
    <row r="926" spans="2:5">
      <c r="B926" s="4296" t="s">
        <v>7648</v>
      </c>
      <c r="C926" s="4296" t="s">
        <v>7649</v>
      </c>
      <c r="D926" s="4296" t="s">
        <v>5232</v>
      </c>
      <c r="E926" s="4297">
        <v>4.1475999999999992E-2</v>
      </c>
    </row>
    <row r="927" spans="2:5">
      <c r="B927" s="4296" t="s">
        <v>7650</v>
      </c>
      <c r="C927" s="4296" t="s">
        <v>7651</v>
      </c>
      <c r="D927" s="4296" t="s">
        <v>5232</v>
      </c>
      <c r="E927" s="4297">
        <v>4.1056000000000009E-2</v>
      </c>
    </row>
    <row r="928" spans="2:5">
      <c r="B928" s="4296" t="s">
        <v>7652</v>
      </c>
      <c r="C928" s="4296" t="s">
        <v>7653</v>
      </c>
      <c r="D928" s="4296" t="s">
        <v>5232</v>
      </c>
      <c r="E928" s="4297">
        <v>4.0346999999999994E-2</v>
      </c>
    </row>
    <row r="929" spans="2:5">
      <c r="B929" s="4296" t="s">
        <v>7654</v>
      </c>
      <c r="C929" s="4296" t="s">
        <v>6992</v>
      </c>
      <c r="D929" s="4296" t="s">
        <v>5222</v>
      </c>
      <c r="E929" s="4297">
        <v>3.7097000000000005E-2</v>
      </c>
    </row>
    <row r="930" spans="2:5">
      <c r="B930" s="4296" t="s">
        <v>7655</v>
      </c>
      <c r="C930" s="4296" t="s">
        <v>7656</v>
      </c>
      <c r="D930" s="4296" t="s">
        <v>5232</v>
      </c>
      <c r="E930" s="4297">
        <v>3.7002999999999994E-2</v>
      </c>
    </row>
    <row r="931" spans="2:5">
      <c r="B931" s="4296" t="s">
        <v>7657</v>
      </c>
      <c r="C931" s="4296" t="s">
        <v>7658</v>
      </c>
      <c r="D931" s="4296" t="s">
        <v>5232</v>
      </c>
      <c r="E931" s="4297">
        <v>3.0811999999999999E-2</v>
      </c>
    </row>
    <row r="932" spans="2:5">
      <c r="B932" s="4296" t="s">
        <v>7659</v>
      </c>
      <c r="C932" s="4296" t="s">
        <v>7016</v>
      </c>
      <c r="D932" s="4296" t="s">
        <v>5232</v>
      </c>
      <c r="E932" s="4297">
        <v>2.9250000000000005E-2</v>
      </c>
    </row>
    <row r="933" spans="2:5">
      <c r="B933" s="4296" t="s">
        <v>7660</v>
      </c>
      <c r="C933" s="4296" t="s">
        <v>6928</v>
      </c>
      <c r="D933" s="4296" t="s">
        <v>5222</v>
      </c>
      <c r="E933" s="4297">
        <v>2.3484999999999999E-2</v>
      </c>
    </row>
    <row r="934" spans="2:5">
      <c r="B934" s="4296" t="s">
        <v>7661</v>
      </c>
      <c r="C934" s="4296" t="s">
        <v>7662</v>
      </c>
      <c r="D934" s="4296" t="s">
        <v>5232</v>
      </c>
      <c r="E934" s="4297">
        <v>2.3084999999999998E-2</v>
      </c>
    </row>
    <row r="935" spans="2:5">
      <c r="B935" s="4296" t="s">
        <v>7663</v>
      </c>
      <c r="C935" s="4296" t="s">
        <v>7664</v>
      </c>
      <c r="D935" s="4296" t="s">
        <v>5232</v>
      </c>
      <c r="E935" s="4297">
        <v>1.9E-2</v>
      </c>
    </row>
    <row r="936" spans="2:5">
      <c r="B936" s="4296" t="s">
        <v>7665</v>
      </c>
      <c r="C936" s="4296" t="s">
        <v>7000</v>
      </c>
      <c r="D936" s="4296" t="s">
        <v>5232</v>
      </c>
      <c r="E936" s="4297">
        <v>1.7506999999999998E-2</v>
      </c>
    </row>
    <row r="937" spans="2:5">
      <c r="B937" s="4296" t="s">
        <v>7666</v>
      </c>
      <c r="C937" s="4296" t="s">
        <v>7667</v>
      </c>
      <c r="D937" s="4296" t="s">
        <v>5232</v>
      </c>
      <c r="E937" s="4297">
        <v>1.6905E-2</v>
      </c>
    </row>
    <row r="938" spans="2:5">
      <c r="B938" s="4296" t="s">
        <v>7668</v>
      </c>
      <c r="C938" s="4296" t="s">
        <v>7669</v>
      </c>
      <c r="D938" s="4296" t="s">
        <v>5232</v>
      </c>
      <c r="E938" s="4297">
        <v>1.66E-2</v>
      </c>
    </row>
    <row r="939" spans="2:5">
      <c r="B939" s="4296" t="s">
        <v>7670</v>
      </c>
      <c r="C939" s="4296" t="s">
        <v>7671</v>
      </c>
      <c r="D939" s="4296" t="s">
        <v>5232</v>
      </c>
      <c r="E939" s="4297">
        <v>1.4725E-2</v>
      </c>
    </row>
    <row r="940" spans="2:5">
      <c r="B940" s="4296" t="s">
        <v>7672</v>
      </c>
      <c r="C940" s="4296" t="s">
        <v>7673</v>
      </c>
      <c r="D940" s="4296" t="s">
        <v>5232</v>
      </c>
      <c r="E940" s="4297">
        <v>1.4313999999999999E-2</v>
      </c>
    </row>
    <row r="941" spans="2:5">
      <c r="B941" s="4296" t="s">
        <v>7674</v>
      </c>
      <c r="C941" s="4296" t="s">
        <v>7675</v>
      </c>
      <c r="D941" s="4296" t="s">
        <v>5232</v>
      </c>
      <c r="E941" s="4297">
        <v>1.2406E-2</v>
      </c>
    </row>
    <row r="942" spans="2:5">
      <c r="B942" s="4296" t="s">
        <v>7676</v>
      </c>
      <c r="C942" s="4296" t="s">
        <v>7677</v>
      </c>
      <c r="D942" s="4296" t="s">
        <v>5232</v>
      </c>
      <c r="E942" s="4297">
        <v>1.2077000000000003E-2</v>
      </c>
    </row>
    <row r="943" spans="2:5">
      <c r="B943" s="4296" t="s">
        <v>7678</v>
      </c>
      <c r="C943" s="4296" t="s">
        <v>7679</v>
      </c>
      <c r="D943" s="4296" t="s">
        <v>5232</v>
      </c>
      <c r="E943" s="4297">
        <v>1.1760000000000001E-2</v>
      </c>
    </row>
    <row r="944" spans="2:5">
      <c r="B944" s="4296" t="s">
        <v>7680</v>
      </c>
      <c r="C944" s="4296" t="s">
        <v>7681</v>
      </c>
      <c r="D944" s="4296" t="s">
        <v>5232</v>
      </c>
      <c r="E944" s="4297">
        <v>9.9620000000000004E-3</v>
      </c>
    </row>
    <row r="945" spans="2:5">
      <c r="B945" s="4296" t="s">
        <v>7682</v>
      </c>
      <c r="C945" s="4296" t="s">
        <v>7683</v>
      </c>
      <c r="D945" s="4296" t="s">
        <v>5232</v>
      </c>
      <c r="E945" s="4297">
        <v>8.9999999999999993E-3</v>
      </c>
    </row>
    <row r="946" spans="2:5">
      <c r="B946" s="4296" t="s">
        <v>7684</v>
      </c>
      <c r="C946" s="4296" t="s">
        <v>7685</v>
      </c>
      <c r="D946" s="4296" t="s">
        <v>5232</v>
      </c>
      <c r="E946" s="4297">
        <v>8.4700000000000018E-3</v>
      </c>
    </row>
    <row r="947" spans="2:5">
      <c r="B947" s="4296" t="s">
        <v>7686</v>
      </c>
      <c r="C947" s="4296" t="s">
        <v>7687</v>
      </c>
      <c r="D947" s="4296" t="s">
        <v>5232</v>
      </c>
      <c r="E947" s="4297">
        <v>7.2679999999999993E-3</v>
      </c>
    </row>
    <row r="948" spans="2:5">
      <c r="B948" s="4296" t="s">
        <v>7688</v>
      </c>
      <c r="C948" s="4296" t="s">
        <v>6998</v>
      </c>
      <c r="D948" s="4296" t="s">
        <v>5232</v>
      </c>
      <c r="E948" s="4297">
        <v>7.2370000000000004E-3</v>
      </c>
    </row>
    <row r="949" spans="2:5">
      <c r="B949" s="4296" t="s">
        <v>7689</v>
      </c>
      <c r="C949" s="4296" t="s">
        <v>7690</v>
      </c>
      <c r="D949" s="4296" t="s">
        <v>5232</v>
      </c>
      <c r="E949" s="4297">
        <v>6.4600000000000005E-3</v>
      </c>
    </row>
    <row r="950" spans="2:5">
      <c r="B950" s="4296" t="s">
        <v>7691</v>
      </c>
      <c r="C950" s="4296" t="s">
        <v>7692</v>
      </c>
      <c r="D950" s="4296" t="s">
        <v>5232</v>
      </c>
      <c r="E950" s="4297">
        <v>6.3510000000000007E-3</v>
      </c>
    </row>
    <row r="951" spans="2:5">
      <c r="B951" s="4296" t="s">
        <v>7693</v>
      </c>
      <c r="C951" s="4296" t="s">
        <v>7694</v>
      </c>
      <c r="D951" s="4296" t="s">
        <v>5232</v>
      </c>
      <c r="E951" s="4297">
        <v>6.0690000000000006E-3</v>
      </c>
    </row>
    <row r="952" spans="2:5">
      <c r="B952" s="4296" t="s">
        <v>7695</v>
      </c>
      <c r="C952" s="4296" t="s">
        <v>7696</v>
      </c>
      <c r="D952" s="4296" t="s">
        <v>5232</v>
      </c>
      <c r="E952" s="4297">
        <v>5.4000000000000003E-3</v>
      </c>
    </row>
    <row r="953" spans="2:5">
      <c r="B953" s="4296" t="s">
        <v>7697</v>
      </c>
      <c r="C953" s="4296" t="s">
        <v>7698</v>
      </c>
      <c r="D953" s="4296" t="s">
        <v>5232</v>
      </c>
      <c r="E953" s="4297">
        <v>5.2660000000000007E-3</v>
      </c>
    </row>
    <row r="954" spans="2:5">
      <c r="B954" s="4296" t="s">
        <v>7699</v>
      </c>
      <c r="C954" s="4296" t="s">
        <v>7700</v>
      </c>
      <c r="D954" s="4296" t="s">
        <v>5232</v>
      </c>
      <c r="E954" s="4297">
        <v>4.9399999999999999E-3</v>
      </c>
    </row>
    <row r="955" spans="2:5">
      <c r="B955" s="4296" t="s">
        <v>7701</v>
      </c>
      <c r="C955" s="4296" t="s">
        <v>7702</v>
      </c>
      <c r="D955" s="4296" t="s">
        <v>5232</v>
      </c>
      <c r="E955" s="4297">
        <v>3.7549999999999997E-3</v>
      </c>
    </row>
    <row r="956" spans="2:5">
      <c r="B956" s="4296" t="s">
        <v>7703</v>
      </c>
      <c r="C956" s="4296" t="s">
        <v>7704</v>
      </c>
      <c r="D956" s="4296" t="s">
        <v>5232</v>
      </c>
      <c r="E956" s="4297">
        <v>3.4009999999999999E-3</v>
      </c>
    </row>
    <row r="957" spans="2:5">
      <c r="B957" s="4296" t="s">
        <v>7705</v>
      </c>
      <c r="C957" s="4296" t="s">
        <v>7706</v>
      </c>
      <c r="D957" s="4296" t="s">
        <v>5232</v>
      </c>
      <c r="E957" s="4297">
        <v>2.9709999999999992E-3</v>
      </c>
    </row>
    <row r="958" spans="2:5">
      <c r="B958" s="4296" t="s">
        <v>7707</v>
      </c>
      <c r="C958" s="4296" t="s">
        <v>7708</v>
      </c>
      <c r="D958" s="4296" t="s">
        <v>5232</v>
      </c>
      <c r="E958" s="4297">
        <v>2.7000000000000001E-3</v>
      </c>
    </row>
    <row r="959" spans="2:5">
      <c r="B959" s="4296" t="s">
        <v>7709</v>
      </c>
      <c r="C959" s="4296" t="s">
        <v>7710</v>
      </c>
      <c r="D959" s="4296" t="s">
        <v>5232</v>
      </c>
      <c r="E959" s="4297">
        <v>2.415E-3</v>
      </c>
    </row>
    <row r="960" spans="2:5">
      <c r="B960" s="4296" t="s">
        <v>7711</v>
      </c>
      <c r="C960" s="4296" t="s">
        <v>7712</v>
      </c>
      <c r="D960" s="4296" t="s">
        <v>5232</v>
      </c>
      <c r="E960" s="4297">
        <v>2.2499999999999998E-3</v>
      </c>
    </row>
    <row r="961" spans="2:5">
      <c r="B961" s="4296" t="s">
        <v>7713</v>
      </c>
      <c r="C961" s="4296" t="s">
        <v>7714</v>
      </c>
      <c r="D961" s="4296" t="s">
        <v>5232</v>
      </c>
      <c r="E961" s="4297">
        <v>1.9139999999999997E-3</v>
      </c>
    </row>
    <row r="962" spans="2:5">
      <c r="B962" s="4296" t="s">
        <v>7715</v>
      </c>
      <c r="C962" s="4296" t="s">
        <v>7716</v>
      </c>
      <c r="D962" s="4296" t="s">
        <v>5232</v>
      </c>
      <c r="E962" s="4297">
        <v>1.861E-3</v>
      </c>
    </row>
    <row r="963" spans="2:5">
      <c r="B963" s="4296" t="s">
        <v>7717</v>
      </c>
      <c r="C963" s="4296" t="s">
        <v>7718</v>
      </c>
      <c r="D963" s="4296" t="s">
        <v>5232</v>
      </c>
      <c r="E963" s="4297">
        <v>1.3799999999999997E-3</v>
      </c>
    </row>
    <row r="964" spans="2:5">
      <c r="B964" s="4296" t="s">
        <v>7719</v>
      </c>
      <c r="C964" s="4296" t="s">
        <v>7720</v>
      </c>
      <c r="D964" s="4296" t="s">
        <v>5232</v>
      </c>
      <c r="E964" s="4297">
        <v>1.14E-3</v>
      </c>
    </row>
    <row r="965" spans="2:5">
      <c r="B965" s="4296" t="s">
        <v>7721</v>
      </c>
      <c r="C965" s="4296" t="s">
        <v>7722</v>
      </c>
      <c r="D965" s="4296" t="s">
        <v>5232</v>
      </c>
      <c r="E965" s="4297">
        <v>7.9000000000000001E-4</v>
      </c>
    </row>
    <row r="966" spans="2:5">
      <c r="B966" s="4296" t="s">
        <v>7723</v>
      </c>
      <c r="C966" s="4296" t="s">
        <v>7724</v>
      </c>
      <c r="D966" s="4296" t="s">
        <v>5232</v>
      </c>
      <c r="E966" s="4297">
        <v>7.7899999999999996E-4</v>
      </c>
    </row>
    <row r="967" spans="2:5">
      <c r="B967" s="4296" t="s">
        <v>7725</v>
      </c>
      <c r="C967" s="4296" t="s">
        <v>7726</v>
      </c>
      <c r="D967" s="4296" t="s">
        <v>5232</v>
      </c>
      <c r="E967" s="4297">
        <v>5.5199999999999997E-4</v>
      </c>
    </row>
    <row r="968" spans="2:5">
      <c r="B968" s="4296" t="s">
        <v>7727</v>
      </c>
      <c r="C968" s="4296" t="s">
        <v>7728</v>
      </c>
      <c r="D968" s="4296" t="s">
        <v>5232</v>
      </c>
      <c r="E968" s="4297">
        <v>5.44E-4</v>
      </c>
    </row>
    <row r="969" spans="2:5">
      <c r="B969" s="4296" t="s">
        <v>7729</v>
      </c>
      <c r="C969" s="4296" t="s">
        <v>7730</v>
      </c>
      <c r="D969" s="4296" t="s">
        <v>5232</v>
      </c>
      <c r="E969" s="4297">
        <v>5.0000000000000001E-4</v>
      </c>
    </row>
    <row r="970" spans="2:5">
      <c r="B970" s="4296" t="s">
        <v>7731</v>
      </c>
      <c r="C970" s="4296" t="s">
        <v>7732</v>
      </c>
      <c r="D970" s="4296" t="s">
        <v>5232</v>
      </c>
      <c r="E970" s="4297">
        <v>4.8999999999999998E-4</v>
      </c>
    </row>
    <row r="971" spans="2:5">
      <c r="B971" s="4296" t="s">
        <v>7733</v>
      </c>
      <c r="C971" s="4296" t="s">
        <v>7734</v>
      </c>
      <c r="D971" s="4296" t="s">
        <v>5232</v>
      </c>
      <c r="E971" s="4297">
        <v>4.4999999999999999E-4</v>
      </c>
    </row>
    <row r="972" spans="2:5">
      <c r="B972" s="4296" t="s">
        <v>7735</v>
      </c>
      <c r="C972" s="4296" t="s">
        <v>7736</v>
      </c>
      <c r="D972" s="4296" t="s">
        <v>5232</v>
      </c>
      <c r="E972" s="4297">
        <v>4.4999999999999999E-4</v>
      </c>
    </row>
    <row r="973" spans="2:5">
      <c r="B973" s="4296" t="s">
        <v>7737</v>
      </c>
      <c r="C973" s="4296" t="s">
        <v>7738</v>
      </c>
      <c r="D973" s="4296" t="s">
        <v>5232</v>
      </c>
      <c r="E973" s="4297">
        <v>4.4100000000000004E-4</v>
      </c>
    </row>
    <row r="974" spans="2:5">
      <c r="B974" s="4296" t="s">
        <v>7739</v>
      </c>
      <c r="C974" s="4296" t="s">
        <v>7740</v>
      </c>
      <c r="D974" s="4296" t="s">
        <v>5232</v>
      </c>
      <c r="E974" s="4297">
        <v>1.9599999999999999E-4</v>
      </c>
    </row>
    <row r="975" spans="2:5">
      <c r="B975" s="4296" t="s">
        <v>7741</v>
      </c>
      <c r="C975" s="4296" t="s">
        <v>7742</v>
      </c>
      <c r="D975" s="4296" t="s">
        <v>5232</v>
      </c>
      <c r="E975" s="4297">
        <v>1.47E-4</v>
      </c>
    </row>
    <row r="976" spans="2:5">
      <c r="B976" s="4296" t="s">
        <v>7743</v>
      </c>
      <c r="C976" s="4296" t="s">
        <v>7744</v>
      </c>
      <c r="D976" s="4296" t="s">
        <v>5232</v>
      </c>
      <c r="E976" s="4297">
        <v>7.2999999999999999E-5</v>
      </c>
    </row>
    <row r="977" spans="2:5">
      <c r="B977" s="4296" t="s">
        <v>7745</v>
      </c>
      <c r="C977" s="4296" t="s">
        <v>7746</v>
      </c>
      <c r="D977" s="4296" t="s">
        <v>5232</v>
      </c>
      <c r="E977" s="4297">
        <v>4.8999999999999998E-5</v>
      </c>
    </row>
  </sheetData>
  <autoFilter ref="C2:F28" xr:uid="{00000000-0009-0000-0000-000007000000}">
    <sortState xmlns:xlrd2="http://schemas.microsoft.com/office/spreadsheetml/2017/richdata2" ref="C3:E993">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52699-913D-4E86-ADBE-50813A9B43CA}">
  <dimension ref="B1:H1141"/>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64" t="s">
        <v>7019</v>
      </c>
      <c r="C1" s="4764"/>
      <c r="D1" s="4764"/>
      <c r="E1" s="4765"/>
    </row>
    <row r="2" spans="2:8" ht="15">
      <c r="B2" s="4294" t="s">
        <v>4651</v>
      </c>
      <c r="C2" s="4294" t="s">
        <v>5267</v>
      </c>
      <c r="D2" s="4294" t="s">
        <v>4652</v>
      </c>
      <c r="E2" s="4295" t="s">
        <v>5268</v>
      </c>
    </row>
    <row r="3" spans="2:8">
      <c r="B3" s="4296" t="s">
        <v>5269</v>
      </c>
      <c r="C3" s="4296" t="s">
        <v>5277</v>
      </c>
      <c r="D3" s="4296" t="s">
        <v>4657</v>
      </c>
      <c r="E3" s="4297">
        <v>628.63416799999993</v>
      </c>
      <c r="G3" s="4300" t="s">
        <v>5272</v>
      </c>
      <c r="H3" s="4301">
        <f>SUM(E3:E1141)</f>
        <v>20446.728577999966</v>
      </c>
    </row>
    <row r="4" spans="2:8">
      <c r="B4" s="4296" t="s">
        <v>5273</v>
      </c>
      <c r="C4" s="4296" t="s">
        <v>5270</v>
      </c>
      <c r="D4" s="4296" t="s">
        <v>4657</v>
      </c>
      <c r="E4" s="4297">
        <v>433.51733599999983</v>
      </c>
    </row>
    <row r="5" spans="2:8">
      <c r="B5" s="4296" t="s">
        <v>5276</v>
      </c>
      <c r="C5" s="4296" t="s">
        <v>7020</v>
      </c>
      <c r="D5" s="4296" t="s">
        <v>4664</v>
      </c>
      <c r="E5" s="4297">
        <v>410.31923699999999</v>
      </c>
    </row>
    <row r="6" spans="2:8">
      <c r="B6" s="4296" t="s">
        <v>5279</v>
      </c>
      <c r="C6" s="4296" t="s">
        <v>5274</v>
      </c>
      <c r="D6" s="4296" t="s">
        <v>4664</v>
      </c>
      <c r="E6" s="4297">
        <v>261.88595199999997</v>
      </c>
    </row>
    <row r="7" spans="2:8">
      <c r="B7" s="4296" t="s">
        <v>5281</v>
      </c>
      <c r="C7" s="4296" t="s">
        <v>5280</v>
      </c>
      <c r="D7" s="4296" t="s">
        <v>4674</v>
      </c>
      <c r="E7" s="4297">
        <v>214.25366299999999</v>
      </c>
    </row>
    <row r="8" spans="2:8">
      <c r="B8" s="4296" t="s">
        <v>5283</v>
      </c>
      <c r="C8" s="4296" t="s">
        <v>5284</v>
      </c>
      <c r="D8" s="4296" t="s">
        <v>4674</v>
      </c>
      <c r="E8" s="4297">
        <v>191.62313699999993</v>
      </c>
    </row>
    <row r="9" spans="2:8">
      <c r="B9" s="4296" t="s">
        <v>5285</v>
      </c>
      <c r="C9" s="4296" t="s">
        <v>5292</v>
      </c>
      <c r="D9" s="4296" t="s">
        <v>4674</v>
      </c>
      <c r="E9" s="4297">
        <v>178.14097200000003</v>
      </c>
    </row>
    <row r="10" spans="2:8">
      <c r="B10" s="4296" t="s">
        <v>5287</v>
      </c>
      <c r="C10" s="4296" t="s">
        <v>7021</v>
      </c>
      <c r="D10" s="4296" t="s">
        <v>4674</v>
      </c>
      <c r="E10" s="4297">
        <v>175.53198499999996</v>
      </c>
    </row>
    <row r="11" spans="2:8">
      <c r="B11" s="4296" t="s">
        <v>5289</v>
      </c>
      <c r="C11" s="4296" t="s">
        <v>5419</v>
      </c>
      <c r="D11" s="4296" t="s">
        <v>4674</v>
      </c>
      <c r="E11" s="4297">
        <v>167.08595100000005</v>
      </c>
    </row>
    <row r="12" spans="2:8">
      <c r="B12" s="4296" t="s">
        <v>5291</v>
      </c>
      <c r="C12" s="4296" t="s">
        <v>5379</v>
      </c>
      <c r="D12" s="4296" t="s">
        <v>4674</v>
      </c>
      <c r="E12" s="4297">
        <v>157.000955</v>
      </c>
    </row>
    <row r="13" spans="2:8">
      <c r="B13" s="4296" t="s">
        <v>5293</v>
      </c>
      <c r="C13" s="4296" t="s">
        <v>5306</v>
      </c>
      <c r="D13" s="4296" t="s">
        <v>4674</v>
      </c>
      <c r="E13" s="4297">
        <v>153.05075300000001</v>
      </c>
    </row>
    <row r="14" spans="2:8">
      <c r="B14" s="4296" t="s">
        <v>5295</v>
      </c>
      <c r="C14" s="4287" t="s">
        <v>7057</v>
      </c>
      <c r="D14" s="4287" t="s">
        <v>5231</v>
      </c>
      <c r="E14" s="4297">
        <v>142.28199700000002</v>
      </c>
    </row>
    <row r="15" spans="2:8">
      <c r="B15" s="4296" t="s">
        <v>5297</v>
      </c>
      <c r="C15" s="4296" t="s">
        <v>5341</v>
      </c>
      <c r="D15" s="4296" t="s">
        <v>4674</v>
      </c>
      <c r="E15" s="4297">
        <v>140.60261799999995</v>
      </c>
    </row>
    <row r="16" spans="2:8">
      <c r="B16" s="4296" t="s">
        <v>5299</v>
      </c>
      <c r="C16" s="4296" t="s">
        <v>5296</v>
      </c>
      <c r="D16" s="4296" t="s">
        <v>4674</v>
      </c>
      <c r="E16" s="4297">
        <v>131.65751400000002</v>
      </c>
    </row>
    <row r="17" spans="2:5">
      <c r="B17" s="4296" t="s">
        <v>5301</v>
      </c>
      <c r="C17" s="4296" t="s">
        <v>5750</v>
      </c>
      <c r="D17" s="4296" t="s">
        <v>4674</v>
      </c>
      <c r="E17" s="4297">
        <v>130.85689399999998</v>
      </c>
    </row>
    <row r="18" spans="2:5">
      <c r="B18" s="4296" t="s">
        <v>5303</v>
      </c>
      <c r="C18" s="4296" t="s">
        <v>5326</v>
      </c>
      <c r="D18" s="4296" t="s">
        <v>4674</v>
      </c>
      <c r="E18" s="4297">
        <v>124.33533600000001</v>
      </c>
    </row>
    <row r="19" spans="2:5">
      <c r="B19" s="4296" t="s">
        <v>5305</v>
      </c>
      <c r="C19" s="4296" t="s">
        <v>5697</v>
      </c>
      <c r="D19" s="4296" t="s">
        <v>4674</v>
      </c>
      <c r="E19" s="4297">
        <v>119.87882500000002</v>
      </c>
    </row>
    <row r="20" spans="2:5">
      <c r="B20" s="4296" t="s">
        <v>5307</v>
      </c>
      <c r="C20" s="4296" t="s">
        <v>5286</v>
      </c>
      <c r="D20" s="4296" t="s">
        <v>4674</v>
      </c>
      <c r="E20" s="4297">
        <v>119.68453000000001</v>
      </c>
    </row>
    <row r="21" spans="2:5">
      <c r="B21" s="4296" t="s">
        <v>5309</v>
      </c>
      <c r="C21" s="4296" t="s">
        <v>5356</v>
      </c>
      <c r="D21" s="4296" t="s">
        <v>4674</v>
      </c>
      <c r="E21" s="4297">
        <v>118.47908900000002</v>
      </c>
    </row>
    <row r="22" spans="2:5">
      <c r="B22" s="4296" t="s">
        <v>5311</v>
      </c>
      <c r="C22" s="4296" t="s">
        <v>7747</v>
      </c>
      <c r="D22" s="4296" t="s">
        <v>4674</v>
      </c>
      <c r="E22" s="4297">
        <v>118.07319200000002</v>
      </c>
    </row>
    <row r="23" spans="2:5">
      <c r="B23" s="4296" t="s">
        <v>5313</v>
      </c>
      <c r="C23" s="4296" t="s">
        <v>7748</v>
      </c>
      <c r="D23" s="4296" t="s">
        <v>4674</v>
      </c>
      <c r="E23" s="4297">
        <v>112.70897899999999</v>
      </c>
    </row>
    <row r="24" spans="2:5">
      <c r="B24" s="4296" t="s">
        <v>5315</v>
      </c>
      <c r="C24" s="4296" t="s">
        <v>7749</v>
      </c>
      <c r="D24" s="4296" t="s">
        <v>4674</v>
      </c>
      <c r="E24" s="4297">
        <v>112.56045499999998</v>
      </c>
    </row>
    <row r="25" spans="2:5">
      <c r="B25" s="4296" t="s">
        <v>5317</v>
      </c>
      <c r="C25" s="4296" t="s">
        <v>7034</v>
      </c>
      <c r="D25" s="4296" t="s">
        <v>4674</v>
      </c>
      <c r="E25" s="4297">
        <v>111.63035299999999</v>
      </c>
    </row>
    <row r="26" spans="2:5">
      <c r="B26" s="4296" t="s">
        <v>5319</v>
      </c>
      <c r="C26" s="4296" t="s">
        <v>7033</v>
      </c>
      <c r="D26" s="4296" t="s">
        <v>4674</v>
      </c>
      <c r="E26" s="4297">
        <v>108.12339399999999</v>
      </c>
    </row>
    <row r="27" spans="2:5">
      <c r="B27" s="4296" t="s">
        <v>5321</v>
      </c>
      <c r="C27" s="4296" t="s">
        <v>5771</v>
      </c>
      <c r="D27" s="4296" t="s">
        <v>4674</v>
      </c>
      <c r="E27" s="4297">
        <v>107.65627199999994</v>
      </c>
    </row>
    <row r="28" spans="2:5">
      <c r="B28" s="4296" t="s">
        <v>5323</v>
      </c>
      <c r="C28" s="4296" t="s">
        <v>5353</v>
      </c>
      <c r="D28" s="4296" t="s">
        <v>4674</v>
      </c>
      <c r="E28" s="4297">
        <v>107.21589600000001</v>
      </c>
    </row>
    <row r="29" spans="2:5">
      <c r="B29" s="4296" t="s">
        <v>5325</v>
      </c>
      <c r="C29" s="4287" t="s">
        <v>5375</v>
      </c>
      <c r="D29" s="4287" t="s">
        <v>4674</v>
      </c>
      <c r="E29" s="4297">
        <v>106.599349</v>
      </c>
    </row>
    <row r="30" spans="2:5">
      <c r="B30" s="4296" t="s">
        <v>5327</v>
      </c>
      <c r="C30" s="4296" t="s">
        <v>5373</v>
      </c>
      <c r="D30" s="4296" t="s">
        <v>4674</v>
      </c>
      <c r="E30" s="4297">
        <v>105.67125699999995</v>
      </c>
    </row>
    <row r="31" spans="2:5">
      <c r="B31" s="4296" t="s">
        <v>5329</v>
      </c>
      <c r="C31" s="4296" t="s">
        <v>5358</v>
      </c>
      <c r="D31" s="4296" t="s">
        <v>4674</v>
      </c>
      <c r="E31" s="4297">
        <v>104.34791900000008</v>
      </c>
    </row>
    <row r="32" spans="2:5">
      <c r="B32" s="4296" t="s">
        <v>5331</v>
      </c>
      <c r="C32" s="4296" t="s">
        <v>7750</v>
      </c>
      <c r="D32" s="4296" t="s">
        <v>4674</v>
      </c>
      <c r="E32" s="4297">
        <v>104.33442099999999</v>
      </c>
    </row>
    <row r="33" spans="2:5">
      <c r="B33" s="4296" t="s">
        <v>5333</v>
      </c>
      <c r="C33" s="4296" t="s">
        <v>5314</v>
      </c>
      <c r="D33" s="4296" t="s">
        <v>4674</v>
      </c>
      <c r="E33" s="4297">
        <v>103.76850100000004</v>
      </c>
    </row>
    <row r="34" spans="2:5">
      <c r="B34" s="4296" t="s">
        <v>5335</v>
      </c>
      <c r="C34" s="4296" t="s">
        <v>6027</v>
      </c>
      <c r="D34" s="4296" t="s">
        <v>4674</v>
      </c>
      <c r="E34" s="4297">
        <v>103.326393</v>
      </c>
    </row>
    <row r="35" spans="2:5">
      <c r="B35" s="4296" t="s">
        <v>5337</v>
      </c>
      <c r="C35" s="4296" t="s">
        <v>5359</v>
      </c>
      <c r="D35" s="4296" t="s">
        <v>4674</v>
      </c>
      <c r="E35" s="4297">
        <v>102.47548000000003</v>
      </c>
    </row>
    <row r="36" spans="2:5">
      <c r="B36" s="4296" t="s">
        <v>5339</v>
      </c>
      <c r="C36" s="4296" t="s">
        <v>7037</v>
      </c>
      <c r="D36" s="4296" t="s">
        <v>4674</v>
      </c>
      <c r="E36" s="4297">
        <v>102.21300099999996</v>
      </c>
    </row>
    <row r="37" spans="2:5">
      <c r="B37" s="4296" t="s">
        <v>4008</v>
      </c>
      <c r="C37" s="4296" t="s">
        <v>7751</v>
      </c>
      <c r="D37" s="4296" t="s">
        <v>4674</v>
      </c>
      <c r="E37" s="4297">
        <v>101.80672400000002</v>
      </c>
    </row>
    <row r="38" spans="2:5">
      <c r="B38" s="4296" t="s">
        <v>5342</v>
      </c>
      <c r="C38" s="4296" t="s">
        <v>7752</v>
      </c>
      <c r="D38" s="4296" t="s">
        <v>4674</v>
      </c>
      <c r="E38" s="4297">
        <v>100.532489</v>
      </c>
    </row>
    <row r="39" spans="2:5">
      <c r="B39" s="4296" t="s">
        <v>5344</v>
      </c>
      <c r="C39" s="4296" t="s">
        <v>7753</v>
      </c>
      <c r="D39" s="4296" t="s">
        <v>4674</v>
      </c>
      <c r="E39" s="4297">
        <v>100.52199999999998</v>
      </c>
    </row>
    <row r="40" spans="2:5">
      <c r="B40" s="4296" t="s">
        <v>5346</v>
      </c>
      <c r="C40" s="4296" t="s">
        <v>7029</v>
      </c>
      <c r="D40" s="4296" t="s">
        <v>4674</v>
      </c>
      <c r="E40" s="4297">
        <v>98.399613000000016</v>
      </c>
    </row>
    <row r="41" spans="2:5">
      <c r="B41" s="4296" t="s">
        <v>5348</v>
      </c>
      <c r="C41" s="4287" t="s">
        <v>5399</v>
      </c>
      <c r="D41" s="4287" t="s">
        <v>4674</v>
      </c>
      <c r="E41" s="4297">
        <v>97.227801999999997</v>
      </c>
    </row>
    <row r="42" spans="2:5">
      <c r="B42" s="4296" t="s">
        <v>5350</v>
      </c>
      <c r="C42" s="4296" t="s">
        <v>7754</v>
      </c>
      <c r="D42" s="4296" t="s">
        <v>4674</v>
      </c>
      <c r="E42" s="4297">
        <v>95.241232999999994</v>
      </c>
    </row>
    <row r="43" spans="2:5">
      <c r="B43" s="4296" t="s">
        <v>5352</v>
      </c>
      <c r="C43" s="4296" t="s">
        <v>7755</v>
      </c>
      <c r="D43" s="4296" t="s">
        <v>4674</v>
      </c>
      <c r="E43" s="4297">
        <v>95.16596899999999</v>
      </c>
    </row>
    <row r="44" spans="2:5">
      <c r="B44" s="4296" t="s">
        <v>4000</v>
      </c>
      <c r="C44" s="4296" t="s">
        <v>7055</v>
      </c>
      <c r="D44" s="4296" t="s">
        <v>4674</v>
      </c>
      <c r="E44" s="4297">
        <v>94.256983999999974</v>
      </c>
    </row>
    <row r="45" spans="2:5">
      <c r="B45" s="4296" t="s">
        <v>5355</v>
      </c>
      <c r="C45" s="4296" t="s">
        <v>5343</v>
      </c>
      <c r="D45" s="4296" t="s">
        <v>4674</v>
      </c>
      <c r="E45" s="4297">
        <v>93.080504999999988</v>
      </c>
    </row>
    <row r="46" spans="2:5">
      <c r="B46" s="4296" t="s">
        <v>5357</v>
      </c>
      <c r="C46" s="4287" t="s">
        <v>7026</v>
      </c>
      <c r="D46" s="4287" t="s">
        <v>4674</v>
      </c>
      <c r="E46" s="4297">
        <v>92.447510000000023</v>
      </c>
    </row>
    <row r="47" spans="2:5">
      <c r="B47" s="4296" t="s">
        <v>3997</v>
      </c>
      <c r="C47" s="4287" t="s">
        <v>7756</v>
      </c>
      <c r="D47" s="4287" t="s">
        <v>4674</v>
      </c>
      <c r="E47" s="4297">
        <v>91.586362000000008</v>
      </c>
    </row>
    <row r="48" spans="2:5">
      <c r="B48" s="4296" t="s">
        <v>5360</v>
      </c>
      <c r="C48" s="4287" t="s">
        <v>5310</v>
      </c>
      <c r="D48" s="4287" t="s">
        <v>4674</v>
      </c>
      <c r="E48" s="4297">
        <v>91.064114999999987</v>
      </c>
    </row>
    <row r="49" spans="2:5">
      <c r="B49" s="4296" t="s">
        <v>5362</v>
      </c>
      <c r="C49" s="4296" t="s">
        <v>5421</v>
      </c>
      <c r="D49" s="4296" t="s">
        <v>4674</v>
      </c>
      <c r="E49" s="4297">
        <v>90.402014000000008</v>
      </c>
    </row>
    <row r="50" spans="2:5">
      <c r="B50" s="4296" t="s">
        <v>5364</v>
      </c>
      <c r="C50" s="4296" t="s">
        <v>7030</v>
      </c>
      <c r="D50" s="4296" t="s">
        <v>4674</v>
      </c>
      <c r="E50" s="4297">
        <v>89.983395000000016</v>
      </c>
    </row>
    <row r="51" spans="2:5">
      <c r="B51" s="4296" t="s">
        <v>5366</v>
      </c>
      <c r="C51" s="4296" t="s">
        <v>7757</v>
      </c>
      <c r="D51" s="4296" t="s">
        <v>4674</v>
      </c>
      <c r="E51" s="4297">
        <v>89.188215000000014</v>
      </c>
    </row>
    <row r="52" spans="2:5">
      <c r="B52" s="4296" t="s">
        <v>5368</v>
      </c>
      <c r="C52" s="4296" t="s">
        <v>7064</v>
      </c>
      <c r="D52" s="4296" t="s">
        <v>4674</v>
      </c>
      <c r="E52" s="4297">
        <v>88.841754999999992</v>
      </c>
    </row>
    <row r="53" spans="2:5">
      <c r="B53" s="4296" t="s">
        <v>5370</v>
      </c>
      <c r="C53" s="4296" t="s">
        <v>7758</v>
      </c>
      <c r="D53" s="4296" t="s">
        <v>4674</v>
      </c>
      <c r="E53" s="4297">
        <v>88.332599999999999</v>
      </c>
    </row>
    <row r="54" spans="2:5">
      <c r="B54" s="4296" t="s">
        <v>5372</v>
      </c>
      <c r="C54" s="4296" t="s">
        <v>7074</v>
      </c>
      <c r="D54" s="4296" t="s">
        <v>4674</v>
      </c>
      <c r="E54" s="4297">
        <v>88.059844999999981</v>
      </c>
    </row>
    <row r="55" spans="2:5">
      <c r="B55" s="4296" t="s">
        <v>5374</v>
      </c>
      <c r="C55" s="4296" t="s">
        <v>7024</v>
      </c>
      <c r="D55" s="4296" t="s">
        <v>4674</v>
      </c>
      <c r="E55" s="4297">
        <v>86.173797999999991</v>
      </c>
    </row>
    <row r="56" spans="2:5">
      <c r="B56" s="4296" t="s">
        <v>5376</v>
      </c>
      <c r="C56" s="4287" t="s">
        <v>7173</v>
      </c>
      <c r="D56" s="4287" t="s">
        <v>4674</v>
      </c>
      <c r="E56" s="4297">
        <v>85.131135</v>
      </c>
    </row>
    <row r="57" spans="2:5">
      <c r="B57" s="4296" t="s">
        <v>5378</v>
      </c>
      <c r="C57" s="4296" t="s">
        <v>7061</v>
      </c>
      <c r="D57" s="4296" t="s">
        <v>4674</v>
      </c>
      <c r="E57" s="4297">
        <v>84.984172000000001</v>
      </c>
    </row>
    <row r="58" spans="2:5">
      <c r="B58" s="4296" t="s">
        <v>5380</v>
      </c>
      <c r="C58" s="4296" t="s">
        <v>7759</v>
      </c>
      <c r="D58" s="4296" t="s">
        <v>4674</v>
      </c>
      <c r="E58" s="4297">
        <v>83.770084000000026</v>
      </c>
    </row>
    <row r="59" spans="2:5">
      <c r="B59" s="4296" t="s">
        <v>5382</v>
      </c>
      <c r="C59" s="4296" t="s">
        <v>5411</v>
      </c>
      <c r="D59" s="4296" t="s">
        <v>4674</v>
      </c>
      <c r="E59" s="4297">
        <v>83.348456999999982</v>
      </c>
    </row>
    <row r="60" spans="2:5">
      <c r="B60" s="4296" t="s">
        <v>5384</v>
      </c>
      <c r="C60" s="4296" t="s">
        <v>5433</v>
      </c>
      <c r="D60" s="4296" t="s">
        <v>4674</v>
      </c>
      <c r="E60" s="4297">
        <v>83.114078000000006</v>
      </c>
    </row>
    <row r="61" spans="2:5">
      <c r="B61" s="4296" t="s">
        <v>5386</v>
      </c>
      <c r="C61" s="4296" t="s">
        <v>7760</v>
      </c>
      <c r="D61" s="4296" t="s">
        <v>4674</v>
      </c>
      <c r="E61" s="4297">
        <v>82.646800999999982</v>
      </c>
    </row>
    <row r="62" spans="2:5">
      <c r="B62" s="4296" t="s">
        <v>5388</v>
      </c>
      <c r="C62" s="4296" t="s">
        <v>7761</v>
      </c>
      <c r="D62" s="4296" t="s">
        <v>4674</v>
      </c>
      <c r="E62" s="4297">
        <v>82.372758999999988</v>
      </c>
    </row>
    <row r="63" spans="2:5">
      <c r="B63" s="4296" t="s">
        <v>5390</v>
      </c>
      <c r="C63" s="4287" t="s">
        <v>7762</v>
      </c>
      <c r="D63" s="4287" t="s">
        <v>4674</v>
      </c>
      <c r="E63" s="4297">
        <v>81.769807999999998</v>
      </c>
    </row>
    <row r="64" spans="2:5">
      <c r="B64" s="4296" t="s">
        <v>5392</v>
      </c>
      <c r="C64" s="4296" t="s">
        <v>7070</v>
      </c>
      <c r="D64" s="4296" t="s">
        <v>4674</v>
      </c>
      <c r="E64" s="4297">
        <v>81.176236000000017</v>
      </c>
    </row>
    <row r="65" spans="2:5">
      <c r="B65" s="4296" t="s">
        <v>5394</v>
      </c>
      <c r="C65" s="4296" t="s">
        <v>7763</v>
      </c>
      <c r="D65" s="4296" t="s">
        <v>4674</v>
      </c>
      <c r="E65" s="4297">
        <v>80.634352000000007</v>
      </c>
    </row>
    <row r="66" spans="2:5">
      <c r="B66" s="4296" t="s">
        <v>5396</v>
      </c>
      <c r="C66" s="4296" t="s">
        <v>5439</v>
      </c>
      <c r="D66" s="4296" t="s">
        <v>4674</v>
      </c>
      <c r="E66" s="4297">
        <v>79.683488999999994</v>
      </c>
    </row>
    <row r="67" spans="2:5">
      <c r="B67" s="4296" t="s">
        <v>5398</v>
      </c>
      <c r="C67" s="4296" t="s">
        <v>7764</v>
      </c>
      <c r="D67" s="4296" t="s">
        <v>4674</v>
      </c>
      <c r="E67" s="4297">
        <v>79.254531999999983</v>
      </c>
    </row>
    <row r="68" spans="2:5">
      <c r="B68" s="4296" t="s">
        <v>5400</v>
      </c>
      <c r="C68" s="4296" t="s">
        <v>7765</v>
      </c>
      <c r="D68" s="4296" t="s">
        <v>4674</v>
      </c>
      <c r="E68" s="4297">
        <v>79.040573000000009</v>
      </c>
    </row>
    <row r="69" spans="2:5">
      <c r="B69" s="4296" t="s">
        <v>5402</v>
      </c>
      <c r="C69" s="4296" t="s">
        <v>5809</v>
      </c>
      <c r="D69" s="4296" t="s">
        <v>4674</v>
      </c>
      <c r="E69" s="4297">
        <v>77.480281000000005</v>
      </c>
    </row>
    <row r="70" spans="2:5">
      <c r="B70" s="4296" t="s">
        <v>5404</v>
      </c>
      <c r="C70" s="4296" t="s">
        <v>7766</v>
      </c>
      <c r="D70" s="4296" t="s">
        <v>4674</v>
      </c>
      <c r="E70" s="4297">
        <v>76.397672000000014</v>
      </c>
    </row>
    <row r="71" spans="2:5">
      <c r="B71" s="4296" t="s">
        <v>5406</v>
      </c>
      <c r="C71" s="4296" t="s">
        <v>7122</v>
      </c>
      <c r="D71" s="4296" t="s">
        <v>4674</v>
      </c>
      <c r="E71" s="4297">
        <v>75.64632399999995</v>
      </c>
    </row>
    <row r="72" spans="2:5">
      <c r="B72" s="4296" t="s">
        <v>5408</v>
      </c>
      <c r="C72" s="4296" t="s">
        <v>5415</v>
      </c>
      <c r="D72" s="4296" t="s">
        <v>4674</v>
      </c>
      <c r="E72" s="4297">
        <v>73.766070000000013</v>
      </c>
    </row>
    <row r="73" spans="2:5">
      <c r="B73" s="4296" t="s">
        <v>5410</v>
      </c>
      <c r="C73" s="4296" t="s">
        <v>7767</v>
      </c>
      <c r="D73" s="4296" t="s">
        <v>4674</v>
      </c>
      <c r="E73" s="4297">
        <v>73.500134000000003</v>
      </c>
    </row>
    <row r="74" spans="2:5">
      <c r="B74" s="4296" t="s">
        <v>5412</v>
      </c>
      <c r="C74" s="4296" t="s">
        <v>5389</v>
      </c>
      <c r="D74" s="4296" t="s">
        <v>4674</v>
      </c>
      <c r="E74" s="4297">
        <v>73.292521999999991</v>
      </c>
    </row>
    <row r="75" spans="2:5">
      <c r="B75" s="4296" t="s">
        <v>5414</v>
      </c>
      <c r="C75" s="4296" t="s">
        <v>7768</v>
      </c>
      <c r="D75" s="4296" t="s">
        <v>4674</v>
      </c>
      <c r="E75" s="4297">
        <v>73.224370999999991</v>
      </c>
    </row>
    <row r="76" spans="2:5">
      <c r="B76" s="4296" t="s">
        <v>5416</v>
      </c>
      <c r="C76" s="4296" t="s">
        <v>7038</v>
      </c>
      <c r="D76" s="4296" t="s">
        <v>4674</v>
      </c>
      <c r="E76" s="4297">
        <v>73.165832000000009</v>
      </c>
    </row>
    <row r="77" spans="2:5">
      <c r="B77" s="4296" t="s">
        <v>5418</v>
      </c>
      <c r="C77" s="4296" t="s">
        <v>7051</v>
      </c>
      <c r="D77" s="4296" t="s">
        <v>4674</v>
      </c>
      <c r="E77" s="4297">
        <v>72.840828000000016</v>
      </c>
    </row>
    <row r="78" spans="2:5">
      <c r="B78" s="4296" t="s">
        <v>5420</v>
      </c>
      <c r="C78" s="4296" t="s">
        <v>7769</v>
      </c>
      <c r="D78" s="4296" t="s">
        <v>4674</v>
      </c>
      <c r="E78" s="4297">
        <v>72.829031000000015</v>
      </c>
    </row>
    <row r="79" spans="2:5">
      <c r="B79" s="4296" t="s">
        <v>5422</v>
      </c>
      <c r="C79" s="4296" t="s">
        <v>7770</v>
      </c>
      <c r="D79" s="4296" t="s">
        <v>4674</v>
      </c>
      <c r="E79" s="4297">
        <v>72.447941999999998</v>
      </c>
    </row>
    <row r="80" spans="2:5">
      <c r="B80" s="4296" t="s">
        <v>5424</v>
      </c>
      <c r="C80" s="4296" t="s">
        <v>7771</v>
      </c>
      <c r="D80" s="4296" t="s">
        <v>4674</v>
      </c>
      <c r="E80" s="4297">
        <v>71.501649000000029</v>
      </c>
    </row>
    <row r="81" spans="2:5">
      <c r="B81" s="4296" t="s">
        <v>5426</v>
      </c>
      <c r="C81" s="4296" t="s">
        <v>7150</v>
      </c>
      <c r="D81" s="4296" t="s">
        <v>4674</v>
      </c>
      <c r="E81" s="4297">
        <v>70.973399999999998</v>
      </c>
    </row>
    <row r="82" spans="2:5">
      <c r="B82" s="4296" t="s">
        <v>5428</v>
      </c>
      <c r="C82" s="4296" t="s">
        <v>7772</v>
      </c>
      <c r="D82" s="4296" t="s">
        <v>4674</v>
      </c>
      <c r="E82" s="4297">
        <v>70.787067000000008</v>
      </c>
    </row>
    <row r="83" spans="2:5">
      <c r="B83" s="4296" t="s">
        <v>5430</v>
      </c>
      <c r="C83" s="4287" t="s">
        <v>7773</v>
      </c>
      <c r="D83" s="4287" t="s">
        <v>4674</v>
      </c>
      <c r="E83" s="4297">
        <v>69.218277</v>
      </c>
    </row>
    <row r="84" spans="2:5">
      <c r="B84" s="4296" t="s">
        <v>5432</v>
      </c>
      <c r="C84" s="4296" t="s">
        <v>7081</v>
      </c>
      <c r="D84" s="4296" t="s">
        <v>4674</v>
      </c>
      <c r="E84" s="4297">
        <v>68.29292199999999</v>
      </c>
    </row>
    <row r="85" spans="2:5">
      <c r="B85" s="4296" t="s">
        <v>5434</v>
      </c>
      <c r="C85" s="4287" t="s">
        <v>7127</v>
      </c>
      <c r="D85" s="4287" t="s">
        <v>4674</v>
      </c>
      <c r="E85" s="4297">
        <v>67.917007999999981</v>
      </c>
    </row>
    <row r="86" spans="2:5">
      <c r="B86" s="4296" t="s">
        <v>5436</v>
      </c>
      <c r="C86" s="4296" t="s">
        <v>5471</v>
      </c>
      <c r="D86" s="4296" t="s">
        <v>4674</v>
      </c>
      <c r="E86" s="4297">
        <v>67.567772000000005</v>
      </c>
    </row>
    <row r="87" spans="2:5">
      <c r="B87" s="4296" t="s">
        <v>5438</v>
      </c>
      <c r="C87" s="4296" t="s">
        <v>7774</v>
      </c>
      <c r="D87" s="4296" t="s">
        <v>4674</v>
      </c>
      <c r="E87" s="4297">
        <v>67.378912</v>
      </c>
    </row>
    <row r="88" spans="2:5">
      <c r="B88" s="4296" t="s">
        <v>5440</v>
      </c>
      <c r="C88" s="4296" t="s">
        <v>7775</v>
      </c>
      <c r="D88" s="4296" t="s">
        <v>4674</v>
      </c>
      <c r="E88" s="4297">
        <v>66.484324000000001</v>
      </c>
    </row>
    <row r="89" spans="2:5">
      <c r="B89" s="4296" t="s">
        <v>5442</v>
      </c>
      <c r="C89" s="4296" t="s">
        <v>7776</v>
      </c>
      <c r="D89" s="4296" t="s">
        <v>4674</v>
      </c>
      <c r="E89" s="4297">
        <v>65.517914000000005</v>
      </c>
    </row>
    <row r="90" spans="2:5">
      <c r="B90" s="4296" t="s">
        <v>5444</v>
      </c>
      <c r="C90" s="4296" t="s">
        <v>7777</v>
      </c>
      <c r="D90" s="4296" t="s">
        <v>4674</v>
      </c>
      <c r="E90" s="4297">
        <v>65.029987000000006</v>
      </c>
    </row>
    <row r="91" spans="2:5">
      <c r="B91" s="4296" t="s">
        <v>5446</v>
      </c>
      <c r="C91" s="4296" t="s">
        <v>7778</v>
      </c>
      <c r="D91" s="4296" t="s">
        <v>4674</v>
      </c>
      <c r="E91" s="4297">
        <v>64.471693000000002</v>
      </c>
    </row>
    <row r="92" spans="2:5">
      <c r="B92" s="4296" t="s">
        <v>5448</v>
      </c>
      <c r="C92" s="4296" t="s">
        <v>7779</v>
      </c>
      <c r="D92" s="4296" t="s">
        <v>4674</v>
      </c>
      <c r="E92" s="4297">
        <v>63.745591000000012</v>
      </c>
    </row>
    <row r="93" spans="2:5">
      <c r="B93" s="4296" t="s">
        <v>5450</v>
      </c>
      <c r="C93" s="4296" t="s">
        <v>7103</v>
      </c>
      <c r="D93" s="4296" t="s">
        <v>4674</v>
      </c>
      <c r="E93" s="4297">
        <v>63.646419999999992</v>
      </c>
    </row>
    <row r="94" spans="2:5">
      <c r="B94" s="4296" t="s">
        <v>5452</v>
      </c>
      <c r="C94" s="4296" t="s">
        <v>5601</v>
      </c>
      <c r="D94" s="4296" t="s">
        <v>4674</v>
      </c>
      <c r="E94" s="4297">
        <v>62.941028000000017</v>
      </c>
    </row>
    <row r="95" spans="2:5">
      <c r="B95" s="4296" t="s">
        <v>5454</v>
      </c>
      <c r="C95" s="4296" t="s">
        <v>7087</v>
      </c>
      <c r="D95" s="4296" t="s">
        <v>4674</v>
      </c>
      <c r="E95" s="4297">
        <v>62.36575599999999</v>
      </c>
    </row>
    <row r="96" spans="2:5">
      <c r="B96" s="4296" t="s">
        <v>5456</v>
      </c>
      <c r="C96" s="4296" t="s">
        <v>7780</v>
      </c>
      <c r="D96" s="4296" t="s">
        <v>4674</v>
      </c>
      <c r="E96" s="4297">
        <v>61.836999000000013</v>
      </c>
    </row>
    <row r="97" spans="2:5">
      <c r="B97" s="4296" t="s">
        <v>5458</v>
      </c>
      <c r="C97" s="4296" t="s">
        <v>7052</v>
      </c>
      <c r="D97" s="4296" t="s">
        <v>4674</v>
      </c>
      <c r="E97" s="4297">
        <v>60.690961999999999</v>
      </c>
    </row>
    <row r="98" spans="2:5">
      <c r="B98" s="4296" t="s">
        <v>5460</v>
      </c>
      <c r="C98" s="4296" t="s">
        <v>5336</v>
      </c>
      <c r="D98" s="4296" t="s">
        <v>4674</v>
      </c>
      <c r="E98" s="4297">
        <v>60.624480000000005</v>
      </c>
    </row>
    <row r="99" spans="2:5">
      <c r="B99" s="4296" t="s">
        <v>5462</v>
      </c>
      <c r="C99" s="4296" t="s">
        <v>7072</v>
      </c>
      <c r="D99" s="4296" t="s">
        <v>4674</v>
      </c>
      <c r="E99" s="4297">
        <v>59.268057000000006</v>
      </c>
    </row>
    <row r="100" spans="2:5">
      <c r="B100" s="4296" t="s">
        <v>5464</v>
      </c>
      <c r="C100" s="4296" t="s">
        <v>7781</v>
      </c>
      <c r="D100" s="4296" t="s">
        <v>4674</v>
      </c>
      <c r="E100" s="4297">
        <v>59.069882999999997</v>
      </c>
    </row>
    <row r="101" spans="2:5">
      <c r="B101" s="4296" t="s">
        <v>5466</v>
      </c>
      <c r="C101" s="4287" t="s">
        <v>7782</v>
      </c>
      <c r="D101" s="4287" t="s">
        <v>4674</v>
      </c>
      <c r="E101" s="4297">
        <v>58.946109999999997</v>
      </c>
    </row>
    <row r="102" spans="2:5">
      <c r="B102" s="4296" t="s">
        <v>5468</v>
      </c>
      <c r="C102" s="4287" t="s">
        <v>7783</v>
      </c>
      <c r="D102" s="4287" t="s">
        <v>4674</v>
      </c>
      <c r="E102" s="4297">
        <v>58.743628000000001</v>
      </c>
    </row>
    <row r="103" spans="2:5">
      <c r="B103" s="4296" t="s">
        <v>5470</v>
      </c>
      <c r="C103" s="4296" t="s">
        <v>7784</v>
      </c>
      <c r="D103" s="4296" t="s">
        <v>4674</v>
      </c>
      <c r="E103" s="4297">
        <v>58.304124999999999</v>
      </c>
    </row>
    <row r="104" spans="2:5">
      <c r="B104" s="4296" t="s">
        <v>5472</v>
      </c>
      <c r="C104" s="4296" t="s">
        <v>7785</v>
      </c>
      <c r="D104" s="4296" t="s">
        <v>4674</v>
      </c>
      <c r="E104" s="4297">
        <v>58.079555000000006</v>
      </c>
    </row>
    <row r="105" spans="2:5">
      <c r="B105" s="4296" t="s">
        <v>5474</v>
      </c>
      <c r="C105" s="4296" t="s">
        <v>7786</v>
      </c>
      <c r="D105" s="4296" t="s">
        <v>4674</v>
      </c>
      <c r="E105" s="4297">
        <v>58.008658999999994</v>
      </c>
    </row>
    <row r="106" spans="2:5">
      <c r="B106" s="4296" t="s">
        <v>5476</v>
      </c>
      <c r="C106" s="4296" t="s">
        <v>5861</v>
      </c>
      <c r="D106" s="4296" t="s">
        <v>4674</v>
      </c>
      <c r="E106" s="4297">
        <v>57.778591000000013</v>
      </c>
    </row>
    <row r="107" spans="2:5">
      <c r="B107" s="4296" t="s">
        <v>5478</v>
      </c>
      <c r="C107" s="4296" t="s">
        <v>7056</v>
      </c>
      <c r="D107" s="4296" t="s">
        <v>4674</v>
      </c>
      <c r="E107" s="4297">
        <v>56.465488000000001</v>
      </c>
    </row>
    <row r="108" spans="2:5">
      <c r="B108" s="4296" t="s">
        <v>5480</v>
      </c>
      <c r="C108" s="4296" t="s">
        <v>5447</v>
      </c>
      <c r="D108" s="4296" t="s">
        <v>4674</v>
      </c>
      <c r="E108" s="4297">
        <v>56.172647999999995</v>
      </c>
    </row>
    <row r="109" spans="2:5">
      <c r="B109" s="4296" t="s">
        <v>5482</v>
      </c>
      <c r="C109" s="4287" t="s">
        <v>5521</v>
      </c>
      <c r="D109" s="4287" t="s">
        <v>4674</v>
      </c>
      <c r="E109" s="4297">
        <v>56.066569999999999</v>
      </c>
    </row>
    <row r="110" spans="2:5">
      <c r="B110" s="4296" t="s">
        <v>5484</v>
      </c>
      <c r="C110" s="4296" t="s">
        <v>7023</v>
      </c>
      <c r="D110" s="4296" t="s">
        <v>4674</v>
      </c>
      <c r="E110" s="4297">
        <v>56.052799999999998</v>
      </c>
    </row>
    <row r="111" spans="2:5">
      <c r="B111" s="4296" t="s">
        <v>5486</v>
      </c>
      <c r="C111" s="4296" t="s">
        <v>7085</v>
      </c>
      <c r="D111" s="4296" t="s">
        <v>4674</v>
      </c>
      <c r="E111" s="4297">
        <v>55.936497000000017</v>
      </c>
    </row>
    <row r="112" spans="2:5">
      <c r="B112" s="4296" t="s">
        <v>5488</v>
      </c>
      <c r="C112" s="4287" t="s">
        <v>5623</v>
      </c>
      <c r="D112" s="4287" t="s">
        <v>4674</v>
      </c>
      <c r="E112" s="4297">
        <v>54.699750999999999</v>
      </c>
    </row>
    <row r="113" spans="2:5">
      <c r="B113" s="4296" t="s">
        <v>5490</v>
      </c>
      <c r="C113" s="4296" t="s">
        <v>7787</v>
      </c>
      <c r="D113" s="4296" t="s">
        <v>4674</v>
      </c>
      <c r="E113" s="4297">
        <v>54.458879999999994</v>
      </c>
    </row>
    <row r="114" spans="2:5">
      <c r="B114" s="4296" t="s">
        <v>5492</v>
      </c>
      <c r="C114" s="4296" t="s">
        <v>7788</v>
      </c>
      <c r="D114" s="4296" t="s">
        <v>4674</v>
      </c>
      <c r="E114" s="4297">
        <v>54.389380999999993</v>
      </c>
    </row>
    <row r="115" spans="2:5">
      <c r="B115" s="4296" t="s">
        <v>5494</v>
      </c>
      <c r="C115" s="4296" t="s">
        <v>7132</v>
      </c>
      <c r="D115" s="4296" t="s">
        <v>4674</v>
      </c>
      <c r="E115" s="4297">
        <v>54.218164999999999</v>
      </c>
    </row>
    <row r="116" spans="2:5">
      <c r="B116" s="4296" t="s">
        <v>5496</v>
      </c>
      <c r="C116" s="4296" t="s">
        <v>7789</v>
      </c>
      <c r="D116" s="4296" t="s">
        <v>4674</v>
      </c>
      <c r="E116" s="4297">
        <v>54.191110000000009</v>
      </c>
    </row>
    <row r="117" spans="2:5">
      <c r="B117" s="4296" t="s">
        <v>5498</v>
      </c>
      <c r="C117" s="4296" t="s">
        <v>7123</v>
      </c>
      <c r="D117" s="4296" t="s">
        <v>4674</v>
      </c>
      <c r="E117" s="4297">
        <v>53.867546999999988</v>
      </c>
    </row>
    <row r="118" spans="2:5">
      <c r="B118" s="4296" t="s">
        <v>5500</v>
      </c>
      <c r="C118" s="4296" t="s">
        <v>7790</v>
      </c>
      <c r="D118" s="4296" t="s">
        <v>4674</v>
      </c>
      <c r="E118" s="4297">
        <v>53.831228999999993</v>
      </c>
    </row>
    <row r="119" spans="2:5">
      <c r="B119" s="4296" t="s">
        <v>5502</v>
      </c>
      <c r="C119" s="4296" t="s">
        <v>7791</v>
      </c>
      <c r="D119" s="4296" t="s">
        <v>4674</v>
      </c>
      <c r="E119" s="4297">
        <v>53.561152000000014</v>
      </c>
    </row>
    <row r="120" spans="2:5">
      <c r="B120" s="4296" t="s">
        <v>5504</v>
      </c>
      <c r="C120" s="4296" t="s">
        <v>7792</v>
      </c>
      <c r="D120" s="4296" t="s">
        <v>4674</v>
      </c>
      <c r="E120" s="4297">
        <v>53.45353200000001</v>
      </c>
    </row>
    <row r="121" spans="2:5">
      <c r="B121" s="4296" t="s">
        <v>5506</v>
      </c>
      <c r="C121" s="4287" t="s">
        <v>6009</v>
      </c>
      <c r="D121" s="4287" t="s">
        <v>4674</v>
      </c>
      <c r="E121" s="4297">
        <v>53.401359999999983</v>
      </c>
    </row>
    <row r="122" spans="2:5">
      <c r="B122" s="4296" t="s">
        <v>5508</v>
      </c>
      <c r="C122" s="4296" t="s">
        <v>5451</v>
      </c>
      <c r="D122" s="4296" t="s">
        <v>4674</v>
      </c>
      <c r="E122" s="4297">
        <v>53.14424499999997</v>
      </c>
    </row>
    <row r="123" spans="2:5">
      <c r="B123" s="4296" t="s">
        <v>5510</v>
      </c>
      <c r="C123" s="4296" t="s">
        <v>7793</v>
      </c>
      <c r="D123" s="4296" t="s">
        <v>4674</v>
      </c>
      <c r="E123" s="4297">
        <v>53.099750999999976</v>
      </c>
    </row>
    <row r="124" spans="2:5">
      <c r="B124" s="4296" t="s">
        <v>5512</v>
      </c>
      <c r="C124" s="4296" t="s">
        <v>5593</v>
      </c>
      <c r="D124" s="4296" t="s">
        <v>4674</v>
      </c>
      <c r="E124" s="4297">
        <v>52.47654</v>
      </c>
    </row>
    <row r="125" spans="2:5">
      <c r="B125" s="4296" t="s">
        <v>5514</v>
      </c>
      <c r="C125" s="4296" t="s">
        <v>7794</v>
      </c>
      <c r="D125" s="4296" t="s">
        <v>4674</v>
      </c>
      <c r="E125" s="4297">
        <v>51.764336999999998</v>
      </c>
    </row>
    <row r="126" spans="2:5">
      <c r="B126" s="4296" t="s">
        <v>5516</v>
      </c>
      <c r="C126" s="4296" t="s">
        <v>7795</v>
      </c>
      <c r="D126" s="4296" t="s">
        <v>4674</v>
      </c>
      <c r="E126" s="4297">
        <v>51.37502700000001</v>
      </c>
    </row>
    <row r="127" spans="2:5">
      <c r="B127" s="4296" t="s">
        <v>5518</v>
      </c>
      <c r="C127" s="4296" t="s">
        <v>7796</v>
      </c>
      <c r="D127" s="4296" t="s">
        <v>4674</v>
      </c>
      <c r="E127" s="4297">
        <v>50.397199999999998</v>
      </c>
    </row>
    <row r="128" spans="2:5">
      <c r="B128" s="4296" t="s">
        <v>5520</v>
      </c>
      <c r="C128" s="4287" t="s">
        <v>7060</v>
      </c>
      <c r="D128" s="4287" t="s">
        <v>4674</v>
      </c>
      <c r="E128" s="4297">
        <v>50.232398000000011</v>
      </c>
    </row>
    <row r="129" spans="2:5">
      <c r="B129" s="4296" t="s">
        <v>5522</v>
      </c>
      <c r="C129" s="4296" t="s">
        <v>7573</v>
      </c>
      <c r="D129" s="4296" t="s">
        <v>4674</v>
      </c>
      <c r="E129" s="4297">
        <v>49.958953000000001</v>
      </c>
    </row>
    <row r="130" spans="2:5">
      <c r="B130" s="4296" t="s">
        <v>5524</v>
      </c>
      <c r="C130" s="4296" t="s">
        <v>7797</v>
      </c>
      <c r="D130" s="4296" t="s">
        <v>4674</v>
      </c>
      <c r="E130" s="4297">
        <v>48.646531999999986</v>
      </c>
    </row>
    <row r="131" spans="2:5">
      <c r="B131" s="4296" t="s">
        <v>5526</v>
      </c>
      <c r="C131" s="4287" t="s">
        <v>7798</v>
      </c>
      <c r="D131" s="4287" t="s">
        <v>4674</v>
      </c>
      <c r="E131" s="4297">
        <v>48.276910999999998</v>
      </c>
    </row>
    <row r="132" spans="2:5">
      <c r="B132" s="4296" t="s">
        <v>5528</v>
      </c>
      <c r="C132" s="4296" t="s">
        <v>7799</v>
      </c>
      <c r="D132" s="4296" t="s">
        <v>4674</v>
      </c>
      <c r="E132" s="4297">
        <v>47.836283000000009</v>
      </c>
    </row>
    <row r="133" spans="2:5">
      <c r="B133" s="4296" t="s">
        <v>5530</v>
      </c>
      <c r="C133" s="4296" t="s">
        <v>7096</v>
      </c>
      <c r="D133" s="4296" t="s">
        <v>4674</v>
      </c>
      <c r="E133" s="4297">
        <v>46.855759999999997</v>
      </c>
    </row>
    <row r="134" spans="2:5">
      <c r="B134" s="4296" t="s">
        <v>5532</v>
      </c>
      <c r="C134" s="4287" t="s">
        <v>7111</v>
      </c>
      <c r="D134" s="4287" t="s">
        <v>4674</v>
      </c>
      <c r="E134" s="4297">
        <v>46.511920000000003</v>
      </c>
    </row>
    <row r="135" spans="2:5">
      <c r="B135" s="4296" t="s">
        <v>5534</v>
      </c>
      <c r="C135" s="4287" t="s">
        <v>7800</v>
      </c>
      <c r="D135" s="4287" t="s">
        <v>4674</v>
      </c>
      <c r="E135" s="4297">
        <v>46.453148999999989</v>
      </c>
    </row>
    <row r="136" spans="2:5">
      <c r="B136" s="4296" t="s">
        <v>5536</v>
      </c>
      <c r="C136" s="4287" t="s">
        <v>5605</v>
      </c>
      <c r="D136" s="4287" t="s">
        <v>4674</v>
      </c>
      <c r="E136" s="4297">
        <v>46.450194000000003</v>
      </c>
    </row>
    <row r="137" spans="2:5">
      <c r="B137" s="4296" t="s">
        <v>5538</v>
      </c>
      <c r="C137" s="4287" t="s">
        <v>7084</v>
      </c>
      <c r="D137" s="4287" t="s">
        <v>4674</v>
      </c>
      <c r="E137" s="4297">
        <v>45.407240999999992</v>
      </c>
    </row>
    <row r="138" spans="2:5">
      <c r="B138" s="4296" t="s">
        <v>5540</v>
      </c>
      <c r="C138" s="4296" t="s">
        <v>7080</v>
      </c>
      <c r="D138" s="4296" t="s">
        <v>4674</v>
      </c>
      <c r="E138" s="4297">
        <v>45.310230000000011</v>
      </c>
    </row>
    <row r="139" spans="2:5">
      <c r="B139" s="4296" t="s">
        <v>5542</v>
      </c>
      <c r="C139" s="4296" t="s">
        <v>7148</v>
      </c>
      <c r="D139" s="4296" t="s">
        <v>4674</v>
      </c>
      <c r="E139" s="4297">
        <v>45.296295000000001</v>
      </c>
    </row>
    <row r="140" spans="2:5">
      <c r="B140" s="4296" t="s">
        <v>5544</v>
      </c>
      <c r="C140" s="4287" t="s">
        <v>5519</v>
      </c>
      <c r="D140" s="4287" t="s">
        <v>4674</v>
      </c>
      <c r="E140" s="4297">
        <v>45.144144999999988</v>
      </c>
    </row>
    <row r="141" spans="2:5">
      <c r="B141" s="4296" t="s">
        <v>5546</v>
      </c>
      <c r="C141" s="4296" t="s">
        <v>5537</v>
      </c>
      <c r="D141" s="4296" t="s">
        <v>4674</v>
      </c>
      <c r="E141" s="4297">
        <v>45.140747999999995</v>
      </c>
    </row>
    <row r="142" spans="2:5">
      <c r="B142" s="4296" t="s">
        <v>5548</v>
      </c>
      <c r="C142" s="4296" t="s">
        <v>7801</v>
      </c>
      <c r="D142" s="4296" t="s">
        <v>4674</v>
      </c>
      <c r="E142" s="4297">
        <v>45.126399999999997</v>
      </c>
    </row>
    <row r="143" spans="2:5">
      <c r="B143" s="4296" t="s">
        <v>5550</v>
      </c>
      <c r="C143" s="4287" t="s">
        <v>5851</v>
      </c>
      <c r="D143" s="4287" t="s">
        <v>4674</v>
      </c>
      <c r="E143" s="4297">
        <v>45.064839000000006</v>
      </c>
    </row>
    <row r="144" spans="2:5">
      <c r="B144" s="4296" t="s">
        <v>5552</v>
      </c>
      <c r="C144" s="4296" t="s">
        <v>5752</v>
      </c>
      <c r="D144" s="4296" t="s">
        <v>5753</v>
      </c>
      <c r="E144" s="4297">
        <v>45</v>
      </c>
    </row>
    <row r="145" spans="2:5">
      <c r="B145" s="4296" t="s">
        <v>5554</v>
      </c>
      <c r="C145" s="4296" t="s">
        <v>7802</v>
      </c>
      <c r="D145" s="4296" t="s">
        <v>4674</v>
      </c>
      <c r="E145" s="4297">
        <v>44.66597999999999</v>
      </c>
    </row>
    <row r="146" spans="2:5">
      <c r="B146" s="4296" t="s">
        <v>5556</v>
      </c>
      <c r="C146" s="4296" t="s">
        <v>7088</v>
      </c>
      <c r="D146" s="4296" t="s">
        <v>4674</v>
      </c>
      <c r="E146" s="4297">
        <v>44.52861</v>
      </c>
    </row>
    <row r="147" spans="2:5">
      <c r="B147" s="4296" t="s">
        <v>5558</v>
      </c>
      <c r="C147" s="4296" t="s">
        <v>7803</v>
      </c>
      <c r="D147" s="4296" t="s">
        <v>4674</v>
      </c>
      <c r="E147" s="4297">
        <v>44.383086000000006</v>
      </c>
    </row>
    <row r="148" spans="2:5">
      <c r="B148" s="4296" t="s">
        <v>5560</v>
      </c>
      <c r="C148" s="4296" t="s">
        <v>5294</v>
      </c>
      <c r="D148" s="4296" t="s">
        <v>4674</v>
      </c>
      <c r="E148" s="4297">
        <v>44.283215000000006</v>
      </c>
    </row>
    <row r="149" spans="2:5">
      <c r="B149" s="4296" t="s">
        <v>5562</v>
      </c>
      <c r="C149" s="4296" t="s">
        <v>7804</v>
      </c>
      <c r="D149" s="4296" t="s">
        <v>4674</v>
      </c>
      <c r="E149" s="4297">
        <v>44.162403999999995</v>
      </c>
    </row>
    <row r="150" spans="2:5">
      <c r="B150" s="4296" t="s">
        <v>5564</v>
      </c>
      <c r="C150" s="4296" t="s">
        <v>7115</v>
      </c>
      <c r="D150" s="4296" t="s">
        <v>4674</v>
      </c>
      <c r="E150" s="4297">
        <v>43.823999999999998</v>
      </c>
    </row>
    <row r="151" spans="2:5">
      <c r="B151" s="4296" t="s">
        <v>5566</v>
      </c>
      <c r="C151" s="4296" t="s">
        <v>5681</v>
      </c>
      <c r="D151" s="4296" t="s">
        <v>4674</v>
      </c>
      <c r="E151" s="4297">
        <v>43.233355000000003</v>
      </c>
    </row>
    <row r="152" spans="2:5">
      <c r="B152" s="4296" t="s">
        <v>5568</v>
      </c>
      <c r="C152" s="4296" t="s">
        <v>7078</v>
      </c>
      <c r="D152" s="4296" t="s">
        <v>4674</v>
      </c>
      <c r="E152" s="4297">
        <v>43.122618000000003</v>
      </c>
    </row>
    <row r="153" spans="2:5">
      <c r="B153" s="4296" t="s">
        <v>5570</v>
      </c>
      <c r="C153" s="4296" t="s">
        <v>7805</v>
      </c>
      <c r="D153" s="4296" t="s">
        <v>4674</v>
      </c>
      <c r="E153" s="4297">
        <v>43.048837999999996</v>
      </c>
    </row>
    <row r="154" spans="2:5">
      <c r="B154" s="4296" t="s">
        <v>5572</v>
      </c>
      <c r="C154" s="4296" t="s">
        <v>5322</v>
      </c>
      <c r="D154" s="4296" t="s">
        <v>4674</v>
      </c>
      <c r="E154" s="4297">
        <v>42.277070000000009</v>
      </c>
    </row>
    <row r="155" spans="2:5">
      <c r="B155" s="4296" t="s">
        <v>5574</v>
      </c>
      <c r="C155" s="4296" t="s">
        <v>7806</v>
      </c>
      <c r="D155" s="4296" t="s">
        <v>4674</v>
      </c>
      <c r="E155" s="4297">
        <v>42.215393000000013</v>
      </c>
    </row>
    <row r="156" spans="2:5">
      <c r="B156" s="4296" t="s">
        <v>5576</v>
      </c>
      <c r="C156" s="4296" t="s">
        <v>7137</v>
      </c>
      <c r="D156" s="4296" t="s">
        <v>4674</v>
      </c>
      <c r="E156" s="4297">
        <v>42.034680000000002</v>
      </c>
    </row>
    <row r="157" spans="2:5">
      <c r="B157" s="4296" t="s">
        <v>5578</v>
      </c>
      <c r="C157" s="4296" t="s">
        <v>7047</v>
      </c>
      <c r="D157" s="4296" t="s">
        <v>4674</v>
      </c>
      <c r="E157" s="4297">
        <v>41.660499999999999</v>
      </c>
    </row>
    <row r="158" spans="2:5">
      <c r="B158" s="4296" t="s">
        <v>5580</v>
      </c>
      <c r="C158" s="4296" t="s">
        <v>7077</v>
      </c>
      <c r="D158" s="4296" t="s">
        <v>4674</v>
      </c>
      <c r="E158" s="4297">
        <v>41.235112000000008</v>
      </c>
    </row>
    <row r="159" spans="2:5">
      <c r="B159" s="4296" t="s">
        <v>5582</v>
      </c>
      <c r="C159" s="4296" t="s">
        <v>5713</v>
      </c>
      <c r="D159" s="4296" t="s">
        <v>4674</v>
      </c>
      <c r="E159" s="4297">
        <v>41.116799999999998</v>
      </c>
    </row>
    <row r="160" spans="2:5">
      <c r="B160" s="4296" t="s">
        <v>5584</v>
      </c>
      <c r="C160" s="4296" t="s">
        <v>7075</v>
      </c>
      <c r="D160" s="4296" t="s">
        <v>4674</v>
      </c>
      <c r="E160" s="4297">
        <v>40.614899999999999</v>
      </c>
    </row>
    <row r="161" spans="2:5">
      <c r="B161" s="4296" t="s">
        <v>5586</v>
      </c>
      <c r="C161" s="4296" t="s">
        <v>5401</v>
      </c>
      <c r="D161" s="4296" t="s">
        <v>4674</v>
      </c>
      <c r="E161" s="4297">
        <v>39.764629999999997</v>
      </c>
    </row>
    <row r="162" spans="2:5">
      <c r="B162" s="4296" t="s">
        <v>5588</v>
      </c>
      <c r="C162" s="4296" t="s">
        <v>7091</v>
      </c>
      <c r="D162" s="4296" t="s">
        <v>4674</v>
      </c>
      <c r="E162" s="4297">
        <v>39.425453999999995</v>
      </c>
    </row>
    <row r="163" spans="2:5">
      <c r="B163" s="4296" t="s">
        <v>5590</v>
      </c>
      <c r="C163" s="4296" t="s">
        <v>5677</v>
      </c>
      <c r="D163" s="4296" t="s">
        <v>4674</v>
      </c>
      <c r="E163" s="4297">
        <v>39.387540000000001</v>
      </c>
    </row>
    <row r="164" spans="2:5">
      <c r="B164" s="4296" t="s">
        <v>5592</v>
      </c>
      <c r="C164" s="4296" t="s">
        <v>5591</v>
      </c>
      <c r="D164" s="4296" t="s">
        <v>4674</v>
      </c>
      <c r="E164" s="4297">
        <v>38.986381000000002</v>
      </c>
    </row>
    <row r="165" spans="2:5">
      <c r="B165" s="4296" t="s">
        <v>5594</v>
      </c>
      <c r="C165" s="4287" t="s">
        <v>5801</v>
      </c>
      <c r="D165" s="4287" t="s">
        <v>4674</v>
      </c>
      <c r="E165" s="4297">
        <v>38.932615000000006</v>
      </c>
    </row>
    <row r="166" spans="2:5">
      <c r="B166" s="4296" t="s">
        <v>5596</v>
      </c>
      <c r="C166" s="4287" t="s">
        <v>7807</v>
      </c>
      <c r="D166" s="4287" t="s">
        <v>4674</v>
      </c>
      <c r="E166" s="4297">
        <v>38.714615000000002</v>
      </c>
    </row>
    <row r="167" spans="2:5">
      <c r="B167" s="4296" t="s">
        <v>5598</v>
      </c>
      <c r="C167" s="4296" t="s">
        <v>7167</v>
      </c>
      <c r="D167" s="4296" t="s">
        <v>4674</v>
      </c>
      <c r="E167" s="4297">
        <v>38.037067000000008</v>
      </c>
    </row>
    <row r="168" spans="2:5">
      <c r="B168" s="4296" t="s">
        <v>5600</v>
      </c>
      <c r="C168" s="4296" t="s">
        <v>7808</v>
      </c>
      <c r="D168" s="4296" t="s">
        <v>4674</v>
      </c>
      <c r="E168" s="4297">
        <v>37.799981000000002</v>
      </c>
    </row>
    <row r="169" spans="2:5">
      <c r="B169" s="4296" t="s">
        <v>5602</v>
      </c>
      <c r="C169" s="4287" t="s">
        <v>7025</v>
      </c>
      <c r="D169" s="4287" t="s">
        <v>4674</v>
      </c>
      <c r="E169" s="4297">
        <v>37.777799999999999</v>
      </c>
    </row>
    <row r="170" spans="2:5">
      <c r="B170" s="4296" t="s">
        <v>5604</v>
      </c>
      <c r="C170" s="4296" t="s">
        <v>7809</v>
      </c>
      <c r="D170" s="4296" t="s">
        <v>4674</v>
      </c>
      <c r="E170" s="4297">
        <v>37.409602</v>
      </c>
    </row>
    <row r="171" spans="2:5">
      <c r="B171" s="4296" t="s">
        <v>5606</v>
      </c>
      <c r="C171" s="4287" t="s">
        <v>7095</v>
      </c>
      <c r="D171" s="4287" t="s">
        <v>4674</v>
      </c>
      <c r="E171" s="4297">
        <v>37.286914000000003</v>
      </c>
    </row>
    <row r="172" spans="2:5">
      <c r="B172" s="4296" t="s">
        <v>5608</v>
      </c>
      <c r="C172" s="4296" t="s">
        <v>7810</v>
      </c>
      <c r="D172" s="4296" t="s">
        <v>4674</v>
      </c>
      <c r="E172" s="4297">
        <v>36.984365000000004</v>
      </c>
    </row>
    <row r="173" spans="2:5">
      <c r="B173" s="4296" t="s">
        <v>5610</v>
      </c>
      <c r="C173" s="4296" t="s">
        <v>7811</v>
      </c>
      <c r="D173" s="4296" t="s">
        <v>4674</v>
      </c>
      <c r="E173" s="4297">
        <v>36.931558000000003</v>
      </c>
    </row>
    <row r="174" spans="2:5">
      <c r="B174" s="4296" t="s">
        <v>5612</v>
      </c>
      <c r="C174" s="4296" t="s">
        <v>7151</v>
      </c>
      <c r="D174" s="4296" t="s">
        <v>4674</v>
      </c>
      <c r="E174" s="4297">
        <v>36.500460000000004</v>
      </c>
    </row>
    <row r="175" spans="2:5">
      <c r="B175" s="4296" t="s">
        <v>5614</v>
      </c>
      <c r="C175" s="4296" t="s">
        <v>7277</v>
      </c>
      <c r="D175" s="4296" t="s">
        <v>4674</v>
      </c>
      <c r="E175" s="4297">
        <v>36.045240000000007</v>
      </c>
    </row>
    <row r="176" spans="2:5">
      <c r="B176" s="4296" t="s">
        <v>5616</v>
      </c>
      <c r="C176" s="4296" t="s">
        <v>7100</v>
      </c>
      <c r="D176" s="4296" t="s">
        <v>4674</v>
      </c>
      <c r="E176" s="4297">
        <v>36.041861000000004</v>
      </c>
    </row>
    <row r="177" spans="2:5">
      <c r="B177" s="4296" t="s">
        <v>5618</v>
      </c>
      <c r="C177" s="4296" t="s">
        <v>5555</v>
      </c>
      <c r="D177" s="4296" t="s">
        <v>4674</v>
      </c>
      <c r="E177" s="4297">
        <v>36.038963000000003</v>
      </c>
    </row>
    <row r="178" spans="2:5">
      <c r="B178" s="4296" t="s">
        <v>5620</v>
      </c>
      <c r="C178" s="4296" t="s">
        <v>7812</v>
      </c>
      <c r="D178" s="4296" t="s">
        <v>4674</v>
      </c>
      <c r="E178" s="4297">
        <v>35.917536999999996</v>
      </c>
    </row>
    <row r="179" spans="2:5">
      <c r="B179" s="4296" t="s">
        <v>5622</v>
      </c>
      <c r="C179" s="4296" t="s">
        <v>7813</v>
      </c>
      <c r="D179" s="4296" t="s">
        <v>4674</v>
      </c>
      <c r="E179" s="4297">
        <v>35.671391999999997</v>
      </c>
    </row>
    <row r="180" spans="2:5">
      <c r="B180" s="4296" t="s">
        <v>5624</v>
      </c>
      <c r="C180" s="4296" t="s">
        <v>7814</v>
      </c>
      <c r="D180" s="4296" t="s">
        <v>4674</v>
      </c>
      <c r="E180" s="4297">
        <v>35.474574999999994</v>
      </c>
    </row>
    <row r="181" spans="2:5">
      <c r="B181" s="4296" t="s">
        <v>5626</v>
      </c>
      <c r="C181" s="4296" t="s">
        <v>7815</v>
      </c>
      <c r="D181" s="4296" t="s">
        <v>4674</v>
      </c>
      <c r="E181" s="4297">
        <v>35.348240999999994</v>
      </c>
    </row>
    <row r="182" spans="2:5">
      <c r="B182" s="4296" t="s">
        <v>5628</v>
      </c>
      <c r="C182" s="4296" t="s">
        <v>7027</v>
      </c>
      <c r="D182" s="4296" t="s">
        <v>4674</v>
      </c>
      <c r="E182" s="4297">
        <v>34.665636999999997</v>
      </c>
    </row>
    <row r="183" spans="2:5">
      <c r="B183" s="4296" t="s">
        <v>5630</v>
      </c>
      <c r="C183" s="4296" t="s">
        <v>7131</v>
      </c>
      <c r="D183" s="4296" t="s">
        <v>4674</v>
      </c>
      <c r="E183" s="4297">
        <v>34.259183999999998</v>
      </c>
    </row>
    <row r="184" spans="2:5">
      <c r="B184" s="4296" t="s">
        <v>5632</v>
      </c>
      <c r="C184" s="4296" t="s">
        <v>7816</v>
      </c>
      <c r="D184" s="4296" t="s">
        <v>4674</v>
      </c>
      <c r="E184" s="4297">
        <v>34.222943999999998</v>
      </c>
    </row>
    <row r="185" spans="2:5">
      <c r="B185" s="4296" t="s">
        <v>5634</v>
      </c>
      <c r="C185" s="4296" t="s">
        <v>5763</v>
      </c>
      <c r="D185" s="4296" t="s">
        <v>4674</v>
      </c>
      <c r="E185" s="4297">
        <v>33.839464999999997</v>
      </c>
    </row>
    <row r="186" spans="2:5">
      <c r="B186" s="4296" t="s">
        <v>5636</v>
      </c>
      <c r="C186" s="4296" t="s">
        <v>7817</v>
      </c>
      <c r="D186" s="4296" t="s">
        <v>4674</v>
      </c>
      <c r="E186" s="4297">
        <v>33.565530999999993</v>
      </c>
    </row>
    <row r="187" spans="2:5">
      <c r="B187" s="4296" t="s">
        <v>5638</v>
      </c>
      <c r="C187" s="4296" t="s">
        <v>7175</v>
      </c>
      <c r="D187" s="4296" t="s">
        <v>4674</v>
      </c>
      <c r="E187" s="4297">
        <v>33.539594999999998</v>
      </c>
    </row>
    <row r="188" spans="2:5">
      <c r="B188" s="4296" t="s">
        <v>5640</v>
      </c>
      <c r="C188" s="4287" t="s">
        <v>7818</v>
      </c>
      <c r="D188" s="4287" t="s">
        <v>4674</v>
      </c>
      <c r="E188" s="4297">
        <v>32.851914000000001</v>
      </c>
    </row>
    <row r="189" spans="2:5">
      <c r="B189" s="4296" t="s">
        <v>5642</v>
      </c>
      <c r="C189" s="4296" t="s">
        <v>7028</v>
      </c>
      <c r="D189" s="4296" t="s">
        <v>4674</v>
      </c>
      <c r="E189" s="4297">
        <v>32.844273000000001</v>
      </c>
    </row>
    <row r="190" spans="2:5">
      <c r="B190" s="4296" t="s">
        <v>5644</v>
      </c>
      <c r="C190" s="4296" t="s">
        <v>7086</v>
      </c>
      <c r="D190" s="4296" t="s">
        <v>4674</v>
      </c>
      <c r="E190" s="4297">
        <v>32.788871999999998</v>
      </c>
    </row>
    <row r="191" spans="2:5">
      <c r="B191" s="4296" t="s">
        <v>5646</v>
      </c>
      <c r="C191" s="4296" t="s">
        <v>7819</v>
      </c>
      <c r="D191" s="4296" t="s">
        <v>4674</v>
      </c>
      <c r="E191" s="4297">
        <v>32.482765999999991</v>
      </c>
    </row>
    <row r="192" spans="2:5">
      <c r="B192" s="4296" t="s">
        <v>5648</v>
      </c>
      <c r="C192" s="4296" t="s">
        <v>7820</v>
      </c>
      <c r="D192" s="4296" t="s">
        <v>4674</v>
      </c>
      <c r="E192" s="4297">
        <v>32.405227999999994</v>
      </c>
    </row>
    <row r="193" spans="2:5">
      <c r="B193" s="4296" t="s">
        <v>5650</v>
      </c>
      <c r="C193" s="4296" t="s">
        <v>7821</v>
      </c>
      <c r="D193" s="4296" t="s">
        <v>4674</v>
      </c>
      <c r="E193" s="4297">
        <v>32.402917000000002</v>
      </c>
    </row>
    <row r="194" spans="2:5">
      <c r="B194" s="4296" t="s">
        <v>5652</v>
      </c>
      <c r="C194" s="4296" t="s">
        <v>7822</v>
      </c>
      <c r="D194" s="4296" t="s">
        <v>4674</v>
      </c>
      <c r="E194" s="4297">
        <v>32.381241000000003</v>
      </c>
    </row>
    <row r="195" spans="2:5">
      <c r="B195" s="4296" t="s">
        <v>5654</v>
      </c>
      <c r="C195" s="4296" t="s">
        <v>7032</v>
      </c>
      <c r="D195" s="4296" t="s">
        <v>4674</v>
      </c>
      <c r="E195" s="4297">
        <v>32.259109000000002</v>
      </c>
    </row>
    <row r="196" spans="2:5">
      <c r="B196" s="4296" t="s">
        <v>5656</v>
      </c>
      <c r="C196" s="4296" t="s">
        <v>5549</v>
      </c>
      <c r="D196" s="4296" t="s">
        <v>4674</v>
      </c>
      <c r="E196" s="4297">
        <v>32.073178999999996</v>
      </c>
    </row>
    <row r="197" spans="2:5">
      <c r="B197" s="4296" t="s">
        <v>5658</v>
      </c>
      <c r="C197" s="4287" t="s">
        <v>7114</v>
      </c>
      <c r="D197" s="4287" t="s">
        <v>4674</v>
      </c>
      <c r="E197" s="4297">
        <v>31.983189000000003</v>
      </c>
    </row>
    <row r="198" spans="2:5">
      <c r="B198" s="4296" t="s">
        <v>5660</v>
      </c>
      <c r="C198" s="4296" t="s">
        <v>5487</v>
      </c>
      <c r="D198" s="4296" t="s">
        <v>4674</v>
      </c>
      <c r="E198" s="4297">
        <v>31.950800000000001</v>
      </c>
    </row>
    <row r="199" spans="2:5">
      <c r="B199" s="4296" t="s">
        <v>5662</v>
      </c>
      <c r="C199" s="4287" t="s">
        <v>7068</v>
      </c>
      <c r="D199" s="4287" t="s">
        <v>4674</v>
      </c>
      <c r="E199" s="4297">
        <v>31.793724999999995</v>
      </c>
    </row>
    <row r="200" spans="2:5">
      <c r="B200" s="4296" t="s">
        <v>5664</v>
      </c>
      <c r="C200" s="4296" t="s">
        <v>5457</v>
      </c>
      <c r="D200" s="4296" t="s">
        <v>4674</v>
      </c>
      <c r="E200" s="4297">
        <v>31.236927000000001</v>
      </c>
    </row>
    <row r="201" spans="2:5">
      <c r="B201" s="4296" t="s">
        <v>5666</v>
      </c>
      <c r="C201" s="4296" t="s">
        <v>7125</v>
      </c>
      <c r="D201" s="4296" t="s">
        <v>4674</v>
      </c>
      <c r="E201" s="4297">
        <v>31.219079999999998</v>
      </c>
    </row>
    <row r="202" spans="2:5">
      <c r="B202" s="4296" t="s">
        <v>5668</v>
      </c>
      <c r="C202" s="4296" t="s">
        <v>7823</v>
      </c>
      <c r="D202" s="4296" t="s">
        <v>4674</v>
      </c>
      <c r="E202" s="4297">
        <v>31.002827999999997</v>
      </c>
    </row>
    <row r="203" spans="2:5">
      <c r="B203" s="4296" t="s">
        <v>5670</v>
      </c>
      <c r="C203" s="4296" t="s">
        <v>7184</v>
      </c>
      <c r="D203" s="4296" t="s">
        <v>4674</v>
      </c>
      <c r="E203" s="4297">
        <v>30.946653000000001</v>
      </c>
    </row>
    <row r="204" spans="2:5">
      <c r="B204" s="4296" t="s">
        <v>5672</v>
      </c>
      <c r="C204" s="4296" t="s">
        <v>7824</v>
      </c>
      <c r="D204" s="4296" t="s">
        <v>4674</v>
      </c>
      <c r="E204" s="4297">
        <v>30.424824000000005</v>
      </c>
    </row>
    <row r="205" spans="2:5">
      <c r="B205" s="4296" t="s">
        <v>5674</v>
      </c>
      <c r="C205" s="4296" t="s">
        <v>7042</v>
      </c>
      <c r="D205" s="4296" t="s">
        <v>4674</v>
      </c>
      <c r="E205" s="4297">
        <v>30.27308</v>
      </c>
    </row>
    <row r="206" spans="2:5">
      <c r="B206" s="4296" t="s">
        <v>5676</v>
      </c>
      <c r="C206" s="4296" t="s">
        <v>7041</v>
      </c>
      <c r="D206" s="4296" t="s">
        <v>4674</v>
      </c>
      <c r="E206" s="4297">
        <v>30.232291000000004</v>
      </c>
    </row>
    <row r="207" spans="2:5">
      <c r="B207" s="4296" t="s">
        <v>5678</v>
      </c>
      <c r="C207" s="4296" t="s">
        <v>7825</v>
      </c>
      <c r="D207" s="4296" t="s">
        <v>4674</v>
      </c>
      <c r="E207" s="4297">
        <v>30.171522000000003</v>
      </c>
    </row>
    <row r="208" spans="2:5">
      <c r="B208" s="4296" t="s">
        <v>5680</v>
      </c>
      <c r="C208" s="4296" t="s">
        <v>5463</v>
      </c>
      <c r="D208" s="4296" t="s">
        <v>4674</v>
      </c>
      <c r="E208" s="4297">
        <v>30.156047999999998</v>
      </c>
    </row>
    <row r="209" spans="2:5">
      <c r="B209" s="4296" t="s">
        <v>5682</v>
      </c>
      <c r="C209" s="4287" t="s">
        <v>7826</v>
      </c>
      <c r="D209" s="4287" t="s">
        <v>4674</v>
      </c>
      <c r="E209" s="4297">
        <v>30.087349</v>
      </c>
    </row>
    <row r="210" spans="2:5">
      <c r="B210" s="4296" t="s">
        <v>5684</v>
      </c>
      <c r="C210" s="4296" t="s">
        <v>7827</v>
      </c>
      <c r="D210" s="4296" t="s">
        <v>4674</v>
      </c>
      <c r="E210" s="4297">
        <v>29.832536999999999</v>
      </c>
    </row>
    <row r="211" spans="2:5">
      <c r="B211" s="4296" t="s">
        <v>5686</v>
      </c>
      <c r="C211" s="4296" t="s">
        <v>7223</v>
      </c>
      <c r="D211" s="4296" t="s">
        <v>4674</v>
      </c>
      <c r="E211" s="4297">
        <v>29.600130000000004</v>
      </c>
    </row>
    <row r="212" spans="2:5">
      <c r="B212" s="4296" t="s">
        <v>5688</v>
      </c>
      <c r="C212" s="4287" t="s">
        <v>7828</v>
      </c>
      <c r="D212" s="4287" t="s">
        <v>4674</v>
      </c>
      <c r="E212" s="4297">
        <v>29.455493999999995</v>
      </c>
    </row>
    <row r="213" spans="2:5">
      <c r="B213" s="4296" t="s">
        <v>5690</v>
      </c>
      <c r="C213" s="4296" t="s">
        <v>7031</v>
      </c>
      <c r="D213" s="4296" t="s">
        <v>4674</v>
      </c>
      <c r="E213" s="4297">
        <v>29.443999999999999</v>
      </c>
    </row>
    <row r="214" spans="2:5">
      <c r="B214" s="4296" t="s">
        <v>5692</v>
      </c>
      <c r="C214" s="4296" t="s">
        <v>7829</v>
      </c>
      <c r="D214" s="4296" t="s">
        <v>4674</v>
      </c>
      <c r="E214" s="4297">
        <v>29.396860999999994</v>
      </c>
    </row>
    <row r="215" spans="2:5">
      <c r="B215" s="4296" t="s">
        <v>5694</v>
      </c>
      <c r="C215" s="4287" t="s">
        <v>7118</v>
      </c>
      <c r="D215" s="4287" t="s">
        <v>4674</v>
      </c>
      <c r="E215" s="4297">
        <v>29.359362000000001</v>
      </c>
    </row>
    <row r="216" spans="2:5">
      <c r="B216" s="4296" t="s">
        <v>5696</v>
      </c>
      <c r="C216" s="4287" t="s">
        <v>7094</v>
      </c>
      <c r="D216" s="4287" t="s">
        <v>4674</v>
      </c>
      <c r="E216" s="4297">
        <v>29.269103999999999</v>
      </c>
    </row>
    <row r="217" spans="2:5">
      <c r="B217" s="4296" t="s">
        <v>5698</v>
      </c>
      <c r="C217" s="4287" t="s">
        <v>7830</v>
      </c>
      <c r="D217" s="4287" t="s">
        <v>4674</v>
      </c>
      <c r="E217" s="4297">
        <v>29.155200000000001</v>
      </c>
    </row>
    <row r="218" spans="2:5">
      <c r="B218" s="4296" t="s">
        <v>5700</v>
      </c>
      <c r="C218" s="4296" t="s">
        <v>7169</v>
      </c>
      <c r="D218" s="4296" t="s">
        <v>4674</v>
      </c>
      <c r="E218" s="4297">
        <v>28.951911000000006</v>
      </c>
    </row>
    <row r="219" spans="2:5">
      <c r="B219" s="4296" t="s">
        <v>5702</v>
      </c>
      <c r="C219" s="4296" t="s">
        <v>5324</v>
      </c>
      <c r="D219" s="4296" t="s">
        <v>4674</v>
      </c>
      <c r="E219" s="4297">
        <v>28.368186999999999</v>
      </c>
    </row>
    <row r="220" spans="2:5">
      <c r="B220" s="4296" t="s">
        <v>5704</v>
      </c>
      <c r="C220" s="4296" t="s">
        <v>7831</v>
      </c>
      <c r="D220" s="4296" t="s">
        <v>4674</v>
      </c>
      <c r="E220" s="4297">
        <v>27.650397000000009</v>
      </c>
    </row>
    <row r="221" spans="2:5">
      <c r="B221" s="4296" t="s">
        <v>5706</v>
      </c>
      <c r="C221" s="4296" t="s">
        <v>7832</v>
      </c>
      <c r="D221" s="4296" t="s">
        <v>4674</v>
      </c>
      <c r="E221" s="4297">
        <v>27.621535999999999</v>
      </c>
    </row>
    <row r="222" spans="2:5">
      <c r="B222" s="4296" t="s">
        <v>5708</v>
      </c>
      <c r="C222" s="4296" t="s">
        <v>7833</v>
      </c>
      <c r="D222" s="4296" t="s">
        <v>4674</v>
      </c>
      <c r="E222" s="4297">
        <v>27.500547999999998</v>
      </c>
    </row>
    <row r="223" spans="2:5">
      <c r="B223" s="4296" t="s">
        <v>5710</v>
      </c>
      <c r="C223" s="4296" t="s">
        <v>7039</v>
      </c>
      <c r="D223" s="4296" t="s">
        <v>4674</v>
      </c>
      <c r="E223" s="4297">
        <v>27.241619</v>
      </c>
    </row>
    <row r="224" spans="2:5">
      <c r="B224" s="4296" t="s">
        <v>5712</v>
      </c>
      <c r="C224" s="4287" t="s">
        <v>7097</v>
      </c>
      <c r="D224" s="4287" t="s">
        <v>4674</v>
      </c>
      <c r="E224" s="4297">
        <v>27.238025</v>
      </c>
    </row>
    <row r="225" spans="2:5">
      <c r="B225" s="4296" t="s">
        <v>5714</v>
      </c>
      <c r="C225" s="4296" t="s">
        <v>7050</v>
      </c>
      <c r="D225" s="4296" t="s">
        <v>4674</v>
      </c>
      <c r="E225" s="4297">
        <v>27.226740000000003</v>
      </c>
    </row>
    <row r="226" spans="2:5">
      <c r="B226" s="4296" t="s">
        <v>5716</v>
      </c>
      <c r="C226" s="4296" t="s">
        <v>5302</v>
      </c>
      <c r="D226" s="4296" t="s">
        <v>4674</v>
      </c>
      <c r="E226" s="4297">
        <v>26.933330999999999</v>
      </c>
    </row>
    <row r="227" spans="2:5">
      <c r="B227" s="4296" t="s">
        <v>5718</v>
      </c>
      <c r="C227" s="4296" t="s">
        <v>5953</v>
      </c>
      <c r="D227" s="4296" t="s">
        <v>4674</v>
      </c>
      <c r="E227" s="4297">
        <v>26.903843000000006</v>
      </c>
    </row>
    <row r="228" spans="2:5">
      <c r="B228" s="4296" t="s">
        <v>5720</v>
      </c>
      <c r="C228" s="4296" t="s">
        <v>7059</v>
      </c>
      <c r="D228" s="4296" t="s">
        <v>4674</v>
      </c>
      <c r="E228" s="4297">
        <v>26.835818</v>
      </c>
    </row>
    <row r="229" spans="2:5">
      <c r="B229" s="4296" t="s">
        <v>5722</v>
      </c>
      <c r="C229" s="4287" t="s">
        <v>7834</v>
      </c>
      <c r="D229" s="4287" t="s">
        <v>4674</v>
      </c>
      <c r="E229" s="4297">
        <v>26.547549999999994</v>
      </c>
    </row>
    <row r="230" spans="2:5">
      <c r="B230" s="4296" t="s">
        <v>5724</v>
      </c>
      <c r="C230" s="4296" t="s">
        <v>7835</v>
      </c>
      <c r="D230" s="4296" t="s">
        <v>4674</v>
      </c>
      <c r="E230" s="4297">
        <v>25.984877000000004</v>
      </c>
    </row>
    <row r="231" spans="2:5">
      <c r="B231" s="4296" t="s">
        <v>5725</v>
      </c>
      <c r="C231" s="4296" t="s">
        <v>7836</v>
      </c>
      <c r="D231" s="4296" t="s">
        <v>4674</v>
      </c>
      <c r="E231" s="4297">
        <v>25.958694999999999</v>
      </c>
    </row>
    <row r="232" spans="2:5">
      <c r="B232" s="4296" t="s">
        <v>5727</v>
      </c>
      <c r="C232" s="4296" t="s">
        <v>5553</v>
      </c>
      <c r="D232" s="4296" t="s">
        <v>4674</v>
      </c>
      <c r="E232" s="4297">
        <v>25.877757000000003</v>
      </c>
    </row>
    <row r="233" spans="2:5">
      <c r="B233" s="4296" t="s">
        <v>5729</v>
      </c>
      <c r="C233" s="4287" t="s">
        <v>7837</v>
      </c>
      <c r="D233" s="4287" t="s">
        <v>5231</v>
      </c>
      <c r="E233" s="4297">
        <v>25.672317000000003</v>
      </c>
    </row>
    <row r="234" spans="2:5">
      <c r="B234" s="4296" t="s">
        <v>5731</v>
      </c>
      <c r="C234" s="4296" t="s">
        <v>7236</v>
      </c>
      <c r="D234" s="4296" t="s">
        <v>4674</v>
      </c>
      <c r="E234" s="4297">
        <v>25.540600000000001</v>
      </c>
    </row>
    <row r="235" spans="2:5">
      <c r="B235" s="4296" t="s">
        <v>5733</v>
      </c>
      <c r="C235" s="4296" t="s">
        <v>7046</v>
      </c>
      <c r="D235" s="4296" t="s">
        <v>4674</v>
      </c>
      <c r="E235" s="4297">
        <v>25.402656</v>
      </c>
    </row>
    <row r="236" spans="2:5">
      <c r="B236" s="4296" t="s">
        <v>5735</v>
      </c>
      <c r="C236" s="4296" t="s">
        <v>7838</v>
      </c>
      <c r="D236" s="4296" t="s">
        <v>4674</v>
      </c>
      <c r="E236" s="4297">
        <v>25.309877</v>
      </c>
    </row>
    <row r="237" spans="2:5">
      <c r="B237" s="4296" t="s">
        <v>5737</v>
      </c>
      <c r="C237" s="4296" t="s">
        <v>7839</v>
      </c>
      <c r="D237" s="4296" t="s">
        <v>4674</v>
      </c>
      <c r="E237" s="4297">
        <v>25.231538999999994</v>
      </c>
    </row>
    <row r="238" spans="2:5">
      <c r="B238" s="4296" t="s">
        <v>5739</v>
      </c>
      <c r="C238" s="4296" t="s">
        <v>7840</v>
      </c>
      <c r="D238" s="4296" t="s">
        <v>4674</v>
      </c>
      <c r="E238" s="4297">
        <v>25.214310999999999</v>
      </c>
    </row>
    <row r="239" spans="2:5">
      <c r="B239" s="4296" t="s">
        <v>5741</v>
      </c>
      <c r="C239" s="4296" t="s">
        <v>7841</v>
      </c>
      <c r="D239" s="4296" t="s">
        <v>4674</v>
      </c>
      <c r="E239" s="4297">
        <v>24.949555000000007</v>
      </c>
    </row>
    <row r="240" spans="2:5">
      <c r="B240" s="4296" t="s">
        <v>5743</v>
      </c>
      <c r="C240" s="4296" t="s">
        <v>6043</v>
      </c>
      <c r="D240" s="4296" t="s">
        <v>6044</v>
      </c>
      <c r="E240" s="4297">
        <v>24.864267999999999</v>
      </c>
    </row>
    <row r="241" spans="2:5">
      <c r="B241" s="4296" t="s">
        <v>5745</v>
      </c>
      <c r="C241" s="4296" t="s">
        <v>7842</v>
      </c>
      <c r="D241" s="4296" t="s">
        <v>4674</v>
      </c>
      <c r="E241" s="4297">
        <v>24.665197000000003</v>
      </c>
    </row>
    <row r="242" spans="2:5">
      <c r="B242" s="4296" t="s">
        <v>5747</v>
      </c>
      <c r="C242" s="4296" t="s">
        <v>7035</v>
      </c>
      <c r="D242" s="4296" t="s">
        <v>4674</v>
      </c>
      <c r="E242" s="4297">
        <v>24.661709999999999</v>
      </c>
    </row>
    <row r="243" spans="2:5">
      <c r="B243" s="4296" t="s">
        <v>5749</v>
      </c>
      <c r="C243" s="4296" t="s">
        <v>7843</v>
      </c>
      <c r="D243" s="4296" t="s">
        <v>4674</v>
      </c>
      <c r="E243" s="4297">
        <v>24.215450000000001</v>
      </c>
    </row>
    <row r="244" spans="2:5">
      <c r="B244" s="4296" t="s">
        <v>5751</v>
      </c>
      <c r="C244" s="4287" t="s">
        <v>6222</v>
      </c>
      <c r="D244" s="4287" t="s">
        <v>4674</v>
      </c>
      <c r="E244" s="4297">
        <v>23.924236000000008</v>
      </c>
    </row>
    <row r="245" spans="2:5">
      <c r="B245" s="4296" t="s">
        <v>5754</v>
      </c>
      <c r="C245" s="4287" t="s">
        <v>7844</v>
      </c>
      <c r="D245" s="4287" t="s">
        <v>4674</v>
      </c>
      <c r="E245" s="4297">
        <v>23.888247000000003</v>
      </c>
    </row>
    <row r="246" spans="2:5">
      <c r="B246" s="4296" t="s">
        <v>5756</v>
      </c>
      <c r="C246" s="4296" t="s">
        <v>7845</v>
      </c>
      <c r="D246" s="4296" t="s">
        <v>4674</v>
      </c>
      <c r="E246" s="4297">
        <v>23.826225000000001</v>
      </c>
    </row>
    <row r="247" spans="2:5">
      <c r="B247" s="4296" t="s">
        <v>5758</v>
      </c>
      <c r="C247" s="4296" t="s">
        <v>5479</v>
      </c>
      <c r="D247" s="4296" t="s">
        <v>4674</v>
      </c>
      <c r="E247" s="4297">
        <v>23.822879999999998</v>
      </c>
    </row>
    <row r="248" spans="2:5">
      <c r="B248" s="4296" t="s">
        <v>5760</v>
      </c>
      <c r="C248" s="4296" t="s">
        <v>7126</v>
      </c>
      <c r="D248" s="4296" t="s">
        <v>4674</v>
      </c>
      <c r="E248" s="4297">
        <v>23.807929000000001</v>
      </c>
    </row>
    <row r="249" spans="2:5">
      <c r="B249" s="4296" t="s">
        <v>5762</v>
      </c>
      <c r="C249" s="4296" t="s">
        <v>7110</v>
      </c>
      <c r="D249" s="4296" t="s">
        <v>4674</v>
      </c>
      <c r="E249" s="4297">
        <v>23.667282999999991</v>
      </c>
    </row>
    <row r="250" spans="2:5">
      <c r="B250" s="4296" t="s">
        <v>5764</v>
      </c>
      <c r="C250" s="4296" t="s">
        <v>7043</v>
      </c>
      <c r="D250" s="4296" t="s">
        <v>4674</v>
      </c>
      <c r="E250" s="4297">
        <v>23.588940000000001</v>
      </c>
    </row>
    <row r="251" spans="2:5">
      <c r="B251" s="4296" t="s">
        <v>5766</v>
      </c>
      <c r="C251" s="4296" t="s">
        <v>7073</v>
      </c>
      <c r="D251" s="4296" t="s">
        <v>4674</v>
      </c>
      <c r="E251" s="4297">
        <v>23.484012000000007</v>
      </c>
    </row>
    <row r="252" spans="2:5">
      <c r="B252" s="4296" t="s">
        <v>5768</v>
      </c>
      <c r="C252" s="4296" t="s">
        <v>7099</v>
      </c>
      <c r="D252" s="4296" t="s">
        <v>4674</v>
      </c>
      <c r="E252" s="4297">
        <v>23.458786</v>
      </c>
    </row>
    <row r="253" spans="2:5">
      <c r="B253" s="4296" t="s">
        <v>5770</v>
      </c>
      <c r="C253" s="4296" t="s">
        <v>7846</v>
      </c>
      <c r="D253" s="4296" t="s">
        <v>4674</v>
      </c>
      <c r="E253" s="4297">
        <v>23.343789000000001</v>
      </c>
    </row>
    <row r="254" spans="2:5">
      <c r="B254" s="4296" t="s">
        <v>5772</v>
      </c>
      <c r="C254" s="4296" t="s">
        <v>7847</v>
      </c>
      <c r="D254" s="4296" t="s">
        <v>4674</v>
      </c>
      <c r="E254" s="4297">
        <v>23.185423999999998</v>
      </c>
    </row>
    <row r="255" spans="2:5">
      <c r="B255" s="4296" t="s">
        <v>5774</v>
      </c>
      <c r="C255" s="4296" t="s">
        <v>7154</v>
      </c>
      <c r="D255" s="4296" t="s">
        <v>4897</v>
      </c>
      <c r="E255" s="4297">
        <v>23.178191000000002</v>
      </c>
    </row>
    <row r="256" spans="2:5">
      <c r="B256" s="4296" t="s">
        <v>5776</v>
      </c>
      <c r="C256" s="4296" t="s">
        <v>5371</v>
      </c>
      <c r="D256" s="4296" t="s">
        <v>4674</v>
      </c>
      <c r="E256" s="4297">
        <v>23.153343</v>
      </c>
    </row>
    <row r="257" spans="2:5">
      <c r="B257" s="4296" t="s">
        <v>5778</v>
      </c>
      <c r="C257" s="4296" t="s">
        <v>6594</v>
      </c>
      <c r="D257" s="4296" t="s">
        <v>6044</v>
      </c>
      <c r="E257" s="4297">
        <v>23.105372000000003</v>
      </c>
    </row>
    <row r="258" spans="2:5">
      <c r="B258" s="4296" t="s">
        <v>5780</v>
      </c>
      <c r="C258" s="4296" t="s">
        <v>7848</v>
      </c>
      <c r="D258" s="4296" t="s">
        <v>4674</v>
      </c>
      <c r="E258" s="4297">
        <v>22.961039999999997</v>
      </c>
    </row>
    <row r="259" spans="2:5">
      <c r="B259" s="4296" t="s">
        <v>5782</v>
      </c>
      <c r="C259" s="4287" t="s">
        <v>7044</v>
      </c>
      <c r="D259" s="4287" t="s">
        <v>4674</v>
      </c>
      <c r="E259" s="4297">
        <v>22.954730999999999</v>
      </c>
    </row>
    <row r="260" spans="2:5">
      <c r="B260" s="4296" t="s">
        <v>5784</v>
      </c>
      <c r="C260" s="4296" t="s">
        <v>7022</v>
      </c>
      <c r="D260" s="4296" t="s">
        <v>4674</v>
      </c>
      <c r="E260" s="4297">
        <v>22.807487999999999</v>
      </c>
    </row>
    <row r="261" spans="2:5">
      <c r="B261" s="4296" t="s">
        <v>5786</v>
      </c>
      <c r="C261" s="4287" t="s">
        <v>7849</v>
      </c>
      <c r="D261" s="4287" t="s">
        <v>4674</v>
      </c>
      <c r="E261" s="4297">
        <v>22.586930000000006</v>
      </c>
    </row>
    <row r="262" spans="2:5">
      <c r="B262" s="4296" t="s">
        <v>5788</v>
      </c>
      <c r="C262" s="4287" t="s">
        <v>7067</v>
      </c>
      <c r="D262" s="4287" t="s">
        <v>4674</v>
      </c>
      <c r="E262" s="4297">
        <v>22.483471999999999</v>
      </c>
    </row>
    <row r="263" spans="2:5">
      <c r="B263" s="4296" t="s">
        <v>5790</v>
      </c>
      <c r="C263" s="4296" t="s">
        <v>5423</v>
      </c>
      <c r="D263" s="4296" t="s">
        <v>4674</v>
      </c>
      <c r="E263" s="4297">
        <v>22.40361</v>
      </c>
    </row>
    <row r="264" spans="2:5">
      <c r="B264" s="4296" t="s">
        <v>5792</v>
      </c>
      <c r="C264" s="4287" t="s">
        <v>6035</v>
      </c>
      <c r="D264" s="4287" t="s">
        <v>4674</v>
      </c>
      <c r="E264" s="4297">
        <v>22.295114999999999</v>
      </c>
    </row>
    <row r="265" spans="2:5">
      <c r="B265" s="4296" t="s">
        <v>5794</v>
      </c>
      <c r="C265" s="4287" t="s">
        <v>7850</v>
      </c>
      <c r="D265" s="4287" t="s">
        <v>4674</v>
      </c>
      <c r="E265" s="4297">
        <v>22.214130000000001</v>
      </c>
    </row>
    <row r="266" spans="2:5">
      <c r="B266" s="4296" t="s">
        <v>5796</v>
      </c>
      <c r="C266" s="4296" t="s">
        <v>7246</v>
      </c>
      <c r="D266" s="4296" t="s">
        <v>4674</v>
      </c>
      <c r="E266" s="4297">
        <v>22.02</v>
      </c>
    </row>
    <row r="267" spans="2:5">
      <c r="B267" s="4296" t="s">
        <v>5798</v>
      </c>
      <c r="C267" s="4287" t="s">
        <v>7066</v>
      </c>
      <c r="D267" s="4287" t="s">
        <v>4674</v>
      </c>
      <c r="E267" s="4297">
        <v>21.964559999999999</v>
      </c>
    </row>
    <row r="268" spans="2:5">
      <c r="B268" s="4296" t="s">
        <v>5800</v>
      </c>
      <c r="C268" s="4296" t="s">
        <v>7851</v>
      </c>
      <c r="D268" s="4296" t="s">
        <v>4674</v>
      </c>
      <c r="E268" s="4297">
        <v>21.884037000000003</v>
      </c>
    </row>
    <row r="269" spans="2:5">
      <c r="B269" s="4296" t="s">
        <v>5802</v>
      </c>
      <c r="C269" s="4296" t="s">
        <v>7062</v>
      </c>
      <c r="D269" s="4296" t="s">
        <v>4674</v>
      </c>
      <c r="E269" s="4297">
        <v>21.606456000000001</v>
      </c>
    </row>
    <row r="270" spans="2:5">
      <c r="B270" s="4296" t="s">
        <v>5804</v>
      </c>
      <c r="C270" s="4296" t="s">
        <v>7852</v>
      </c>
      <c r="D270" s="4296" t="s">
        <v>5222</v>
      </c>
      <c r="E270" s="4297">
        <v>21.6</v>
      </c>
    </row>
    <row r="271" spans="2:5">
      <c r="B271" s="4296" t="s">
        <v>5806</v>
      </c>
      <c r="C271" s="4296" t="s">
        <v>5517</v>
      </c>
      <c r="D271" s="4296" t="s">
        <v>4674</v>
      </c>
      <c r="E271" s="4297">
        <v>21.588408000000001</v>
      </c>
    </row>
    <row r="272" spans="2:5">
      <c r="B272" s="4296" t="s">
        <v>5808</v>
      </c>
      <c r="C272" s="4296" t="s">
        <v>7853</v>
      </c>
      <c r="D272" s="4296" t="s">
        <v>4674</v>
      </c>
      <c r="E272" s="4297">
        <v>21.546375000000005</v>
      </c>
    </row>
    <row r="273" spans="2:5">
      <c r="B273" s="4296" t="s">
        <v>5810</v>
      </c>
      <c r="C273" s="4296" t="s">
        <v>7854</v>
      </c>
      <c r="D273" s="4296" t="s">
        <v>4674</v>
      </c>
      <c r="E273" s="4297">
        <v>21.434578999999999</v>
      </c>
    </row>
    <row r="274" spans="2:5">
      <c r="B274" s="4296" t="s">
        <v>5812</v>
      </c>
      <c r="C274" s="4296" t="s">
        <v>7124</v>
      </c>
      <c r="D274" s="4296" t="s">
        <v>4674</v>
      </c>
      <c r="E274" s="4297">
        <v>21.422300999999997</v>
      </c>
    </row>
    <row r="275" spans="2:5">
      <c r="B275" s="4296" t="s">
        <v>5814</v>
      </c>
      <c r="C275" s="4296" t="s">
        <v>7855</v>
      </c>
      <c r="D275" s="4296" t="s">
        <v>4674</v>
      </c>
      <c r="E275" s="4297">
        <v>21.421133000000001</v>
      </c>
    </row>
    <row r="276" spans="2:5">
      <c r="B276" s="4296" t="s">
        <v>5816</v>
      </c>
      <c r="C276" s="4296" t="s">
        <v>7856</v>
      </c>
      <c r="D276" s="4296" t="s">
        <v>4674</v>
      </c>
      <c r="E276" s="4297">
        <v>21.396821000000003</v>
      </c>
    </row>
    <row r="277" spans="2:5">
      <c r="B277" s="4296" t="s">
        <v>5818</v>
      </c>
      <c r="C277" s="4296" t="s">
        <v>7857</v>
      </c>
      <c r="D277" s="4296" t="s">
        <v>4674</v>
      </c>
      <c r="E277" s="4297">
        <v>21.270998000000002</v>
      </c>
    </row>
    <row r="278" spans="2:5">
      <c r="B278" s="4296" t="s">
        <v>5820</v>
      </c>
      <c r="C278" s="4296" t="s">
        <v>5781</v>
      </c>
      <c r="D278" s="4296" t="s">
        <v>4674</v>
      </c>
      <c r="E278" s="4297">
        <v>21.243564000000003</v>
      </c>
    </row>
    <row r="279" spans="2:5">
      <c r="B279" s="4296" t="s">
        <v>5822</v>
      </c>
      <c r="C279" s="4296" t="s">
        <v>5334</v>
      </c>
      <c r="D279" s="4296" t="s">
        <v>4674</v>
      </c>
      <c r="E279" s="4297">
        <v>21.212695</v>
      </c>
    </row>
    <row r="280" spans="2:5">
      <c r="B280" s="4296" t="s">
        <v>5824</v>
      </c>
      <c r="C280" s="4296" t="s">
        <v>7076</v>
      </c>
      <c r="D280" s="4296" t="s">
        <v>4674</v>
      </c>
      <c r="E280" s="4297">
        <v>21.206104</v>
      </c>
    </row>
    <row r="281" spans="2:5">
      <c r="B281" s="4296" t="s">
        <v>5826</v>
      </c>
      <c r="C281" s="4296" t="s">
        <v>7858</v>
      </c>
      <c r="D281" s="4296" t="s">
        <v>4674</v>
      </c>
      <c r="E281" s="4297">
        <v>21.103680000000001</v>
      </c>
    </row>
    <row r="282" spans="2:5">
      <c r="B282" s="4296" t="s">
        <v>5828</v>
      </c>
      <c r="C282" s="4296" t="s">
        <v>7859</v>
      </c>
      <c r="D282" s="4296" t="s">
        <v>4674</v>
      </c>
      <c r="E282" s="4297">
        <v>21.055564</v>
      </c>
    </row>
    <row r="283" spans="2:5">
      <c r="B283" s="4296" t="s">
        <v>5830</v>
      </c>
      <c r="C283" s="4296" t="s">
        <v>7197</v>
      </c>
      <c r="D283" s="4296" t="s">
        <v>4674</v>
      </c>
      <c r="E283" s="4297">
        <v>21.050280000000004</v>
      </c>
    </row>
    <row r="284" spans="2:5">
      <c r="B284" s="4296" t="s">
        <v>5832</v>
      </c>
      <c r="C284" s="4296" t="s">
        <v>7518</v>
      </c>
      <c r="D284" s="4296" t="s">
        <v>7519</v>
      </c>
      <c r="E284" s="4297">
        <v>20.941173999999997</v>
      </c>
    </row>
    <row r="285" spans="2:5">
      <c r="B285" s="4296" t="s">
        <v>5834</v>
      </c>
      <c r="C285" s="4296" t="s">
        <v>7860</v>
      </c>
      <c r="D285" s="4296" t="s">
        <v>4674</v>
      </c>
      <c r="E285" s="4297">
        <v>20.854199999999999</v>
      </c>
    </row>
    <row r="286" spans="2:5">
      <c r="B286" s="4296" t="s">
        <v>5836</v>
      </c>
      <c r="C286" s="4296" t="s">
        <v>7861</v>
      </c>
      <c r="D286" s="4296" t="s">
        <v>4674</v>
      </c>
      <c r="E286" s="4297">
        <v>20.7712</v>
      </c>
    </row>
    <row r="287" spans="2:5">
      <c r="B287" s="4296" t="s">
        <v>5838</v>
      </c>
      <c r="C287" s="4287" t="s">
        <v>7093</v>
      </c>
      <c r="D287" s="4287" t="s">
        <v>4674</v>
      </c>
      <c r="E287" s="4297">
        <v>20.768207999999998</v>
      </c>
    </row>
    <row r="288" spans="2:5">
      <c r="B288" s="4296" t="s">
        <v>5840</v>
      </c>
      <c r="C288" s="4296" t="s">
        <v>5947</v>
      </c>
      <c r="D288" s="4296" t="s">
        <v>4674</v>
      </c>
      <c r="E288" s="4297">
        <v>20.76323</v>
      </c>
    </row>
    <row r="289" spans="2:5">
      <c r="B289" s="4296" t="s">
        <v>5842</v>
      </c>
      <c r="C289" s="4296" t="s">
        <v>7862</v>
      </c>
      <c r="D289" s="4296" t="s">
        <v>4674</v>
      </c>
      <c r="E289" s="4297">
        <v>20.587234000000006</v>
      </c>
    </row>
    <row r="290" spans="2:5">
      <c r="B290" s="4296" t="s">
        <v>5844</v>
      </c>
      <c r="C290" s="4296" t="s">
        <v>7058</v>
      </c>
      <c r="D290" s="4296" t="s">
        <v>4674</v>
      </c>
      <c r="E290" s="4297">
        <v>20.488688</v>
      </c>
    </row>
    <row r="291" spans="2:5">
      <c r="B291" s="4296" t="s">
        <v>5846</v>
      </c>
      <c r="C291" s="4296" t="s">
        <v>7863</v>
      </c>
      <c r="D291" s="4296" t="s">
        <v>4674</v>
      </c>
      <c r="E291" s="4297">
        <v>20.101922999999999</v>
      </c>
    </row>
    <row r="292" spans="2:5">
      <c r="B292" s="4296" t="s">
        <v>5848</v>
      </c>
      <c r="C292" s="4296" t="s">
        <v>5320</v>
      </c>
      <c r="D292" s="4296" t="s">
        <v>4674</v>
      </c>
      <c r="E292" s="4297">
        <v>20.025343000000003</v>
      </c>
    </row>
    <row r="293" spans="2:5">
      <c r="B293" s="4296" t="s">
        <v>5850</v>
      </c>
      <c r="C293" s="4296" t="s">
        <v>7864</v>
      </c>
      <c r="D293" s="4296" t="s">
        <v>4897</v>
      </c>
      <c r="E293" s="4297">
        <v>20</v>
      </c>
    </row>
    <row r="294" spans="2:5">
      <c r="B294" s="4296" t="s">
        <v>5852</v>
      </c>
      <c r="C294" s="4287" t="s">
        <v>7865</v>
      </c>
      <c r="D294" s="4287" t="s">
        <v>4674</v>
      </c>
      <c r="E294" s="4297">
        <v>19.958400000000001</v>
      </c>
    </row>
    <row r="295" spans="2:5">
      <c r="B295" s="4296" t="s">
        <v>5854</v>
      </c>
      <c r="C295" s="4296" t="s">
        <v>5465</v>
      </c>
      <c r="D295" s="4296" t="s">
        <v>4674</v>
      </c>
      <c r="E295" s="4297">
        <v>19.864759999999997</v>
      </c>
    </row>
    <row r="296" spans="2:5">
      <c r="B296" s="4296" t="s">
        <v>5856</v>
      </c>
      <c r="C296" s="4296" t="s">
        <v>5705</v>
      </c>
      <c r="D296" s="4296" t="s">
        <v>4674</v>
      </c>
      <c r="E296" s="4297">
        <v>19.694617999999995</v>
      </c>
    </row>
    <row r="297" spans="2:5">
      <c r="B297" s="4296" t="s">
        <v>5858</v>
      </c>
      <c r="C297" s="4296" t="s">
        <v>7138</v>
      </c>
      <c r="D297" s="4296" t="s">
        <v>4674</v>
      </c>
      <c r="E297" s="4297">
        <v>19.486879999999999</v>
      </c>
    </row>
    <row r="298" spans="2:5">
      <c r="B298" s="4296" t="s">
        <v>5860</v>
      </c>
      <c r="C298" s="4287" t="s">
        <v>7866</v>
      </c>
      <c r="D298" s="4287" t="s">
        <v>4674</v>
      </c>
      <c r="E298" s="4297">
        <v>19.474578999999999</v>
      </c>
    </row>
    <row r="299" spans="2:5">
      <c r="B299" s="4296" t="s">
        <v>5862</v>
      </c>
      <c r="C299" s="4296" t="s">
        <v>5340</v>
      </c>
      <c r="D299" s="4296" t="s">
        <v>4674</v>
      </c>
      <c r="E299" s="4297">
        <v>19.292509999999996</v>
      </c>
    </row>
    <row r="300" spans="2:5">
      <c r="B300" s="4296" t="s">
        <v>5864</v>
      </c>
      <c r="C300" s="4296" t="s">
        <v>7867</v>
      </c>
      <c r="D300" s="4296" t="s">
        <v>4674</v>
      </c>
      <c r="E300" s="4297">
        <v>19.247398999999998</v>
      </c>
    </row>
    <row r="301" spans="2:5">
      <c r="B301" s="4296" t="s">
        <v>5866</v>
      </c>
      <c r="C301" s="4296" t="s">
        <v>7192</v>
      </c>
      <c r="D301" s="4296" t="s">
        <v>4674</v>
      </c>
      <c r="E301" s="4297">
        <v>19.000641999999996</v>
      </c>
    </row>
    <row r="302" spans="2:5">
      <c r="B302" s="4296" t="s">
        <v>5868</v>
      </c>
      <c r="C302" s="4296" t="s">
        <v>7868</v>
      </c>
      <c r="D302" s="4296" t="s">
        <v>4674</v>
      </c>
      <c r="E302" s="4297">
        <v>18.972078000000003</v>
      </c>
    </row>
    <row r="303" spans="2:5">
      <c r="B303" s="4296" t="s">
        <v>5870</v>
      </c>
      <c r="C303" s="4296" t="s">
        <v>7869</v>
      </c>
      <c r="D303" s="4296" t="s">
        <v>4674</v>
      </c>
      <c r="E303" s="4297">
        <v>18.647684999999999</v>
      </c>
    </row>
    <row r="304" spans="2:5">
      <c r="B304" s="4296" t="s">
        <v>5872</v>
      </c>
      <c r="C304" s="4296" t="s">
        <v>7082</v>
      </c>
      <c r="D304" s="4296" t="s">
        <v>4674</v>
      </c>
      <c r="E304" s="4297">
        <v>18.452293000000001</v>
      </c>
    </row>
    <row r="305" spans="2:5">
      <c r="B305" s="4296" t="s">
        <v>5874</v>
      </c>
      <c r="C305" s="4296" t="s">
        <v>5797</v>
      </c>
      <c r="D305" s="4296" t="s">
        <v>4674</v>
      </c>
      <c r="E305" s="4297">
        <v>18.15549</v>
      </c>
    </row>
    <row r="306" spans="2:5">
      <c r="B306" s="4296" t="s">
        <v>5876</v>
      </c>
      <c r="C306" s="4296" t="s">
        <v>5363</v>
      </c>
      <c r="D306" s="4296" t="s">
        <v>4674</v>
      </c>
      <c r="E306" s="4297">
        <v>18.023031</v>
      </c>
    </row>
    <row r="307" spans="2:5">
      <c r="B307" s="4296" t="s">
        <v>5878</v>
      </c>
      <c r="C307" s="4296" t="s">
        <v>7107</v>
      </c>
      <c r="D307" s="4296" t="s">
        <v>4674</v>
      </c>
      <c r="E307" s="4297">
        <v>17.483745000000003</v>
      </c>
    </row>
    <row r="308" spans="2:5">
      <c r="B308" s="4296" t="s">
        <v>5880</v>
      </c>
      <c r="C308" s="4296" t="s">
        <v>7870</v>
      </c>
      <c r="D308" s="4296" t="s">
        <v>4674</v>
      </c>
      <c r="E308" s="4297">
        <v>17.112120999999998</v>
      </c>
    </row>
    <row r="309" spans="2:5">
      <c r="B309" s="4296" t="s">
        <v>5882</v>
      </c>
      <c r="C309" s="4296" t="s">
        <v>7079</v>
      </c>
      <c r="D309" s="4296" t="s">
        <v>4674</v>
      </c>
      <c r="E309" s="4297">
        <v>16.88156</v>
      </c>
    </row>
    <row r="310" spans="2:5">
      <c r="B310" s="4296" t="s">
        <v>5884</v>
      </c>
      <c r="C310" s="4296" t="s">
        <v>7182</v>
      </c>
      <c r="D310" s="4296" t="s">
        <v>4674</v>
      </c>
      <c r="E310" s="4297">
        <v>16.586047999999998</v>
      </c>
    </row>
    <row r="311" spans="2:5">
      <c r="B311" s="4296" t="s">
        <v>5886</v>
      </c>
      <c r="C311" s="4296" t="s">
        <v>7054</v>
      </c>
      <c r="D311" s="4296" t="s">
        <v>4674</v>
      </c>
      <c r="E311" s="4297">
        <v>16.544155</v>
      </c>
    </row>
    <row r="312" spans="2:5">
      <c r="B312" s="4296" t="s">
        <v>5888</v>
      </c>
      <c r="C312" s="4296" t="s">
        <v>5365</v>
      </c>
      <c r="D312" s="4296" t="s">
        <v>4674</v>
      </c>
      <c r="E312" s="4297">
        <v>16.508043000000001</v>
      </c>
    </row>
    <row r="313" spans="2:5">
      <c r="B313" s="4296" t="s">
        <v>5890</v>
      </c>
      <c r="C313" s="4296" t="s">
        <v>7871</v>
      </c>
      <c r="D313" s="4296" t="s">
        <v>4674</v>
      </c>
      <c r="E313" s="4297">
        <v>16.508032</v>
      </c>
    </row>
    <row r="314" spans="2:5">
      <c r="B314" s="4296" t="s">
        <v>5892</v>
      </c>
      <c r="C314" s="4296" t="s">
        <v>7872</v>
      </c>
      <c r="D314" s="4296" t="s">
        <v>4897</v>
      </c>
      <c r="E314" s="4297">
        <v>16.5</v>
      </c>
    </row>
    <row r="315" spans="2:5">
      <c r="B315" s="4296" t="s">
        <v>5894</v>
      </c>
      <c r="C315" s="4296" t="s">
        <v>7873</v>
      </c>
      <c r="D315" s="4296" t="s">
        <v>4674</v>
      </c>
      <c r="E315" s="4297">
        <v>16.453279999999999</v>
      </c>
    </row>
    <row r="316" spans="2:5">
      <c r="B316" s="4296" t="s">
        <v>5896</v>
      </c>
      <c r="C316" s="4296" t="s">
        <v>7874</v>
      </c>
      <c r="D316" s="4296" t="s">
        <v>4897</v>
      </c>
      <c r="E316" s="4297">
        <v>16.219725999999994</v>
      </c>
    </row>
    <row r="317" spans="2:5">
      <c r="B317" s="4296" t="s">
        <v>5898</v>
      </c>
      <c r="C317" s="4296" t="s">
        <v>7875</v>
      </c>
      <c r="D317" s="4296" t="s">
        <v>4897</v>
      </c>
      <c r="E317" s="4297">
        <v>16</v>
      </c>
    </row>
    <row r="318" spans="2:5">
      <c r="B318" s="4296" t="s">
        <v>5900</v>
      </c>
      <c r="C318" s="4296" t="s">
        <v>7876</v>
      </c>
      <c r="D318" s="4296" t="s">
        <v>4674</v>
      </c>
      <c r="E318" s="4297">
        <v>15.910155000000007</v>
      </c>
    </row>
    <row r="319" spans="2:5">
      <c r="B319" s="4296" t="s">
        <v>5902</v>
      </c>
      <c r="C319" s="4296" t="s">
        <v>7089</v>
      </c>
      <c r="D319" s="4296" t="s">
        <v>4674</v>
      </c>
      <c r="E319" s="4297">
        <v>15.772399999999999</v>
      </c>
    </row>
    <row r="320" spans="2:5">
      <c r="B320" s="4296" t="s">
        <v>5904</v>
      </c>
      <c r="C320" s="4287" t="s">
        <v>7185</v>
      </c>
      <c r="D320" s="4287" t="s">
        <v>4674</v>
      </c>
      <c r="E320" s="4297">
        <v>15.727343999999997</v>
      </c>
    </row>
    <row r="321" spans="2:5">
      <c r="B321" s="4296" t="s">
        <v>5906</v>
      </c>
      <c r="C321" s="4296" t="s">
        <v>7235</v>
      </c>
      <c r="D321" s="4296" t="s">
        <v>4674</v>
      </c>
      <c r="E321" s="4297">
        <v>15.53715</v>
      </c>
    </row>
    <row r="322" spans="2:5">
      <c r="B322" s="4296" t="s">
        <v>5908</v>
      </c>
      <c r="C322" s="4296" t="s">
        <v>7877</v>
      </c>
      <c r="D322" s="4296" t="s">
        <v>4674</v>
      </c>
      <c r="E322" s="4297">
        <v>15.456745999999999</v>
      </c>
    </row>
    <row r="323" spans="2:5">
      <c r="B323" s="4296" t="s">
        <v>5910</v>
      </c>
      <c r="C323" s="4296" t="s">
        <v>7190</v>
      </c>
      <c r="D323" s="4296" t="s">
        <v>4674</v>
      </c>
      <c r="E323" s="4297">
        <v>15.415151999999996</v>
      </c>
    </row>
    <row r="324" spans="2:5">
      <c r="B324" s="4296" t="s">
        <v>5912</v>
      </c>
      <c r="C324" s="4296" t="s">
        <v>7090</v>
      </c>
      <c r="D324" s="4296" t="s">
        <v>4674</v>
      </c>
      <c r="E324" s="4297">
        <v>15.388332</v>
      </c>
    </row>
    <row r="325" spans="2:5">
      <c r="B325" s="4296" t="s">
        <v>5914</v>
      </c>
      <c r="C325" s="4296" t="s">
        <v>7878</v>
      </c>
      <c r="D325" s="4296" t="s">
        <v>4674</v>
      </c>
      <c r="E325" s="4297">
        <v>15.293699999999998</v>
      </c>
    </row>
    <row r="326" spans="2:5">
      <c r="B326" s="4296" t="s">
        <v>5916</v>
      </c>
      <c r="C326" s="4296" t="s">
        <v>5467</v>
      </c>
      <c r="D326" s="4296" t="s">
        <v>4674</v>
      </c>
      <c r="E326" s="4297">
        <v>15.252822</v>
      </c>
    </row>
    <row r="327" spans="2:5">
      <c r="B327" s="4296" t="s">
        <v>5918</v>
      </c>
      <c r="C327" s="4287" t="s">
        <v>7161</v>
      </c>
      <c r="D327" s="4287" t="s">
        <v>4674</v>
      </c>
      <c r="E327" s="4297">
        <v>15.168690999999997</v>
      </c>
    </row>
    <row r="328" spans="2:5">
      <c r="B328" s="4296" t="s">
        <v>5920</v>
      </c>
      <c r="C328" s="4296" t="s">
        <v>5300</v>
      </c>
      <c r="D328" s="4296" t="s">
        <v>4674</v>
      </c>
      <c r="E328" s="4297">
        <v>14.847991</v>
      </c>
    </row>
    <row r="329" spans="2:5">
      <c r="B329" s="4296" t="s">
        <v>5922</v>
      </c>
      <c r="C329" s="4296" t="s">
        <v>7278</v>
      </c>
      <c r="D329" s="4296" t="s">
        <v>4674</v>
      </c>
      <c r="E329" s="4297">
        <v>14.622120000000001</v>
      </c>
    </row>
    <row r="330" spans="2:5">
      <c r="B330" s="4296" t="s">
        <v>5924</v>
      </c>
      <c r="C330" s="4296" t="s">
        <v>7879</v>
      </c>
      <c r="D330" s="4296" t="s">
        <v>4674</v>
      </c>
      <c r="E330" s="4297">
        <v>14.601463999999996</v>
      </c>
    </row>
    <row r="331" spans="2:5">
      <c r="B331" s="4296" t="s">
        <v>5926</v>
      </c>
      <c r="C331" s="4296" t="s">
        <v>7194</v>
      </c>
      <c r="D331" s="4296" t="s">
        <v>4674</v>
      </c>
      <c r="E331" s="4297">
        <v>14.556732999999999</v>
      </c>
    </row>
    <row r="332" spans="2:5">
      <c r="B332" s="4296" t="s">
        <v>5928</v>
      </c>
      <c r="C332" s="4287" t="s">
        <v>7880</v>
      </c>
      <c r="D332" s="4287" t="s">
        <v>4674</v>
      </c>
      <c r="E332" s="4297">
        <v>14.315791999999998</v>
      </c>
    </row>
    <row r="333" spans="2:5">
      <c r="B333" s="4296" t="s">
        <v>5930</v>
      </c>
      <c r="C333" s="4296" t="s">
        <v>7881</v>
      </c>
      <c r="D333" s="4296" t="s">
        <v>4674</v>
      </c>
      <c r="E333" s="4297">
        <v>14.067361999999999</v>
      </c>
    </row>
    <row r="334" spans="2:5">
      <c r="B334" s="4296" t="s">
        <v>5932</v>
      </c>
      <c r="C334" s="4296" t="s">
        <v>7882</v>
      </c>
      <c r="D334" s="4296" t="s">
        <v>4897</v>
      </c>
      <c r="E334" s="4297">
        <v>13.95</v>
      </c>
    </row>
    <row r="335" spans="2:5">
      <c r="B335" s="4296" t="s">
        <v>5934</v>
      </c>
      <c r="C335" s="4296" t="s">
        <v>7883</v>
      </c>
      <c r="D335" s="4296" t="s">
        <v>4674</v>
      </c>
      <c r="E335" s="4297">
        <v>13.9192</v>
      </c>
    </row>
    <row r="336" spans="2:5">
      <c r="B336" s="4296" t="s">
        <v>5936</v>
      </c>
      <c r="C336" s="4287" t="s">
        <v>7201</v>
      </c>
      <c r="D336" s="4287" t="s">
        <v>4674</v>
      </c>
      <c r="E336" s="4297">
        <v>13.6754</v>
      </c>
    </row>
    <row r="337" spans="2:5">
      <c r="B337" s="4296" t="s">
        <v>5938</v>
      </c>
      <c r="C337" s="4296" t="s">
        <v>7884</v>
      </c>
      <c r="D337" s="4296" t="s">
        <v>4674</v>
      </c>
      <c r="E337" s="4297">
        <v>13.654536999999999</v>
      </c>
    </row>
    <row r="338" spans="2:5">
      <c r="B338" s="4296" t="s">
        <v>5940</v>
      </c>
      <c r="C338" s="4296" t="s">
        <v>7885</v>
      </c>
      <c r="D338" s="4296" t="s">
        <v>4674</v>
      </c>
      <c r="E338" s="4297">
        <v>13.503342000000002</v>
      </c>
    </row>
    <row r="339" spans="2:5">
      <c r="B339" s="4296" t="s">
        <v>5942</v>
      </c>
      <c r="C339" s="4296" t="s">
        <v>7204</v>
      </c>
      <c r="D339" s="4296" t="s">
        <v>4674</v>
      </c>
      <c r="E339" s="4297">
        <v>13.417403999999998</v>
      </c>
    </row>
    <row r="340" spans="2:5">
      <c r="B340" s="4296" t="s">
        <v>5944</v>
      </c>
      <c r="C340" s="4296" t="s">
        <v>7886</v>
      </c>
      <c r="D340" s="4296" t="s">
        <v>4897</v>
      </c>
      <c r="E340" s="4297">
        <v>13.4</v>
      </c>
    </row>
    <row r="341" spans="2:5">
      <c r="B341" s="4296" t="s">
        <v>5946</v>
      </c>
      <c r="C341" s="4296" t="s">
        <v>5354</v>
      </c>
      <c r="D341" s="4296" t="s">
        <v>4674</v>
      </c>
      <c r="E341" s="4297">
        <v>13.363297999999999</v>
      </c>
    </row>
    <row r="342" spans="2:5">
      <c r="B342" s="4296" t="s">
        <v>5948</v>
      </c>
      <c r="C342" s="4296" t="s">
        <v>7453</v>
      </c>
      <c r="D342" s="4296" t="s">
        <v>5222</v>
      </c>
      <c r="E342" s="4297">
        <v>13.144917999999999</v>
      </c>
    </row>
    <row r="343" spans="2:5">
      <c r="B343" s="4296" t="s">
        <v>5950</v>
      </c>
      <c r="C343" s="4296" t="s">
        <v>5535</v>
      </c>
      <c r="D343" s="4296" t="s">
        <v>4674</v>
      </c>
      <c r="E343" s="4297">
        <v>12.996942000000001</v>
      </c>
    </row>
    <row r="344" spans="2:5">
      <c r="B344" s="4296" t="s">
        <v>5952</v>
      </c>
      <c r="C344" s="4296" t="s">
        <v>7262</v>
      </c>
      <c r="D344" s="4296" t="s">
        <v>4674</v>
      </c>
      <c r="E344" s="4297">
        <v>12.980598000000001</v>
      </c>
    </row>
    <row r="345" spans="2:5">
      <c r="B345" s="4296" t="s">
        <v>5954</v>
      </c>
      <c r="C345" s="4296" t="s">
        <v>7101</v>
      </c>
      <c r="D345" s="4296" t="s">
        <v>4674</v>
      </c>
      <c r="E345" s="4297">
        <v>12.91056</v>
      </c>
    </row>
    <row r="346" spans="2:5">
      <c r="B346" s="4296" t="s">
        <v>5956</v>
      </c>
      <c r="C346" s="4296" t="s">
        <v>7887</v>
      </c>
      <c r="D346" s="4296" t="s">
        <v>4674</v>
      </c>
      <c r="E346" s="4297">
        <v>12.85638</v>
      </c>
    </row>
    <row r="347" spans="2:5">
      <c r="B347" s="4296" t="s">
        <v>5958</v>
      </c>
      <c r="C347" s="4296" t="s">
        <v>7102</v>
      </c>
      <c r="D347" s="4296" t="s">
        <v>4674</v>
      </c>
      <c r="E347" s="4297">
        <v>12.7624</v>
      </c>
    </row>
    <row r="348" spans="2:5">
      <c r="B348" s="4296" t="s">
        <v>5960</v>
      </c>
      <c r="C348" s="4296" t="s">
        <v>7104</v>
      </c>
      <c r="D348" s="4296" t="s">
        <v>4674</v>
      </c>
      <c r="E348" s="4297">
        <v>12.641747999999998</v>
      </c>
    </row>
    <row r="349" spans="2:5">
      <c r="B349" s="4296" t="s">
        <v>5962</v>
      </c>
      <c r="C349" s="4296" t="s">
        <v>5757</v>
      </c>
      <c r="D349" s="4296" t="s">
        <v>4674</v>
      </c>
      <c r="E349" s="4297">
        <v>12.616091000000003</v>
      </c>
    </row>
    <row r="350" spans="2:5">
      <c r="B350" s="4296" t="s">
        <v>5964</v>
      </c>
      <c r="C350" s="4296" t="s">
        <v>7214</v>
      </c>
      <c r="D350" s="4296" t="s">
        <v>4674</v>
      </c>
      <c r="E350" s="4297">
        <v>12.612074</v>
      </c>
    </row>
    <row r="351" spans="2:5">
      <c r="B351" s="4296" t="s">
        <v>5966</v>
      </c>
      <c r="C351" s="4296" t="s">
        <v>7888</v>
      </c>
      <c r="D351" s="4296" t="s">
        <v>4674</v>
      </c>
      <c r="E351" s="4297">
        <v>12.507714</v>
      </c>
    </row>
    <row r="352" spans="2:5">
      <c r="B352" s="4296" t="s">
        <v>5968</v>
      </c>
      <c r="C352" s="4296" t="s">
        <v>7889</v>
      </c>
      <c r="D352" s="4296" t="s">
        <v>5222</v>
      </c>
      <c r="E352" s="4297">
        <v>12.3</v>
      </c>
    </row>
    <row r="353" spans="2:5">
      <c r="B353" s="4296" t="s">
        <v>5970</v>
      </c>
      <c r="C353" s="4296" t="s">
        <v>7108</v>
      </c>
      <c r="D353" s="4296" t="s">
        <v>4674</v>
      </c>
      <c r="E353" s="4297">
        <v>11.958839999999999</v>
      </c>
    </row>
    <row r="354" spans="2:5">
      <c r="B354" s="4296" t="s">
        <v>5972</v>
      </c>
      <c r="C354" s="4296" t="s">
        <v>7109</v>
      </c>
      <c r="D354" s="4296" t="s">
        <v>4674</v>
      </c>
      <c r="E354" s="4297">
        <v>11.94624</v>
      </c>
    </row>
    <row r="355" spans="2:5">
      <c r="B355" s="4296" t="s">
        <v>5974</v>
      </c>
      <c r="C355" s="4287" t="s">
        <v>7221</v>
      </c>
      <c r="D355" s="4287" t="s">
        <v>4674</v>
      </c>
      <c r="E355" s="4297">
        <v>11.928873000000001</v>
      </c>
    </row>
    <row r="356" spans="2:5">
      <c r="B356" s="4296" t="s">
        <v>5976</v>
      </c>
      <c r="C356" s="4296" t="s">
        <v>7222</v>
      </c>
      <c r="D356" s="4296" t="s">
        <v>4674</v>
      </c>
      <c r="E356" s="4297">
        <v>11.924159999999999</v>
      </c>
    </row>
    <row r="357" spans="2:5">
      <c r="B357" s="4296" t="s">
        <v>5978</v>
      </c>
      <c r="C357" s="4296" t="s">
        <v>7112</v>
      </c>
      <c r="D357" s="4296" t="s">
        <v>4674</v>
      </c>
      <c r="E357" s="4297">
        <v>11.920864999999999</v>
      </c>
    </row>
    <row r="358" spans="2:5">
      <c r="B358" s="4296" t="s">
        <v>5980</v>
      </c>
      <c r="C358" s="4296" t="s">
        <v>7890</v>
      </c>
      <c r="D358" s="4296" t="s">
        <v>4674</v>
      </c>
      <c r="E358" s="4297">
        <v>11.83464</v>
      </c>
    </row>
    <row r="359" spans="2:5">
      <c r="B359" s="4296" t="s">
        <v>5982</v>
      </c>
      <c r="C359" s="4296" t="s">
        <v>7891</v>
      </c>
      <c r="D359" s="4296" t="s">
        <v>4897</v>
      </c>
      <c r="E359" s="4297">
        <v>11.78</v>
      </c>
    </row>
    <row r="360" spans="2:5">
      <c r="B360" s="4296" t="s">
        <v>5984</v>
      </c>
      <c r="C360" s="4296" t="s">
        <v>7071</v>
      </c>
      <c r="D360" s="4296" t="s">
        <v>4674</v>
      </c>
      <c r="E360" s="4297">
        <v>11.710812000000001</v>
      </c>
    </row>
    <row r="361" spans="2:5">
      <c r="B361" s="4296" t="s">
        <v>5986</v>
      </c>
      <c r="C361" s="4296" t="s">
        <v>7224</v>
      </c>
      <c r="D361" s="4296" t="s">
        <v>4674</v>
      </c>
      <c r="E361" s="4297">
        <v>11.68</v>
      </c>
    </row>
    <row r="362" spans="2:5">
      <c r="B362" s="4296" t="s">
        <v>5988</v>
      </c>
      <c r="C362" s="4287" t="s">
        <v>7892</v>
      </c>
      <c r="D362" s="4287" t="s">
        <v>4674</v>
      </c>
      <c r="E362" s="4297">
        <v>11.673361999999999</v>
      </c>
    </row>
    <row r="363" spans="2:5">
      <c r="B363" s="4296" t="s">
        <v>5990</v>
      </c>
      <c r="C363" s="4296" t="s">
        <v>7183</v>
      </c>
      <c r="D363" s="4296" t="s">
        <v>4674</v>
      </c>
      <c r="E363" s="4297">
        <v>11.552099999999999</v>
      </c>
    </row>
    <row r="364" spans="2:5">
      <c r="B364" s="4296" t="s">
        <v>5992</v>
      </c>
      <c r="C364" s="4296" t="s">
        <v>7206</v>
      </c>
      <c r="D364" s="4296" t="s">
        <v>4674</v>
      </c>
      <c r="E364" s="4297">
        <v>11.285524000000002</v>
      </c>
    </row>
    <row r="365" spans="2:5">
      <c r="B365" s="4296" t="s">
        <v>5994</v>
      </c>
      <c r="C365" s="4296" t="s">
        <v>7893</v>
      </c>
      <c r="D365" s="4296" t="s">
        <v>4674</v>
      </c>
      <c r="E365" s="4297">
        <v>11.281599999999999</v>
      </c>
    </row>
    <row r="366" spans="2:5">
      <c r="B366" s="4296" t="s">
        <v>5996</v>
      </c>
      <c r="C366" s="4296" t="s">
        <v>5435</v>
      </c>
      <c r="D366" s="4296" t="s">
        <v>4674</v>
      </c>
      <c r="E366" s="4297">
        <v>11.276177000000001</v>
      </c>
    </row>
    <row r="367" spans="2:5">
      <c r="B367" s="4296" t="s">
        <v>5998</v>
      </c>
      <c r="C367" s="4296" t="s">
        <v>7894</v>
      </c>
      <c r="D367" s="4296" t="s">
        <v>4674</v>
      </c>
      <c r="E367" s="4297">
        <v>11.217252</v>
      </c>
    </row>
    <row r="368" spans="2:5">
      <c r="B368" s="4296" t="s">
        <v>6000</v>
      </c>
      <c r="C368" s="4287" t="s">
        <v>7895</v>
      </c>
      <c r="D368" s="4287" t="s">
        <v>4674</v>
      </c>
      <c r="E368" s="4297">
        <v>11.050523</v>
      </c>
    </row>
    <row r="369" spans="2:5">
      <c r="B369" s="4296" t="s">
        <v>6002</v>
      </c>
      <c r="C369" s="4296" t="s">
        <v>7896</v>
      </c>
      <c r="D369" s="4296" t="s">
        <v>4674</v>
      </c>
      <c r="E369" s="4297">
        <v>11.042988999999999</v>
      </c>
    </row>
    <row r="370" spans="2:5">
      <c r="B370" s="4296" t="s">
        <v>6004</v>
      </c>
      <c r="C370" s="4296" t="s">
        <v>7897</v>
      </c>
      <c r="D370" s="4296" t="s">
        <v>4897</v>
      </c>
      <c r="E370" s="4297">
        <v>11</v>
      </c>
    </row>
    <row r="371" spans="2:5">
      <c r="B371" s="4296" t="s">
        <v>6006</v>
      </c>
      <c r="C371" s="4296" t="s">
        <v>7898</v>
      </c>
      <c r="D371" s="4296" t="s">
        <v>4897</v>
      </c>
      <c r="E371" s="4297">
        <v>11</v>
      </c>
    </row>
    <row r="372" spans="2:5">
      <c r="B372" s="4296" t="s">
        <v>6008</v>
      </c>
      <c r="C372" s="4296" t="s">
        <v>7899</v>
      </c>
      <c r="D372" s="4296" t="s">
        <v>4897</v>
      </c>
      <c r="E372" s="4297">
        <v>11</v>
      </c>
    </row>
    <row r="373" spans="2:5">
      <c r="B373" s="4296" t="s">
        <v>6010</v>
      </c>
      <c r="C373" s="4287" t="s">
        <v>7900</v>
      </c>
      <c r="D373" s="4287" t="s">
        <v>4674</v>
      </c>
      <c r="E373" s="4297">
        <v>10.932663999999999</v>
      </c>
    </row>
    <row r="374" spans="2:5">
      <c r="B374" s="4296" t="s">
        <v>6012</v>
      </c>
      <c r="C374" s="4296" t="s">
        <v>7049</v>
      </c>
      <c r="D374" s="4296" t="s">
        <v>4674</v>
      </c>
      <c r="E374" s="4297">
        <v>10.567871999999999</v>
      </c>
    </row>
    <row r="375" spans="2:5">
      <c r="B375" s="4296" t="s">
        <v>6014</v>
      </c>
      <c r="C375" s="4296" t="s">
        <v>7116</v>
      </c>
      <c r="D375" s="4296" t="s">
        <v>4674</v>
      </c>
      <c r="E375" s="4297">
        <v>10.545003999999999</v>
      </c>
    </row>
    <row r="376" spans="2:5">
      <c r="B376" s="4296" t="s">
        <v>6016</v>
      </c>
      <c r="C376" s="4296" t="s">
        <v>5925</v>
      </c>
      <c r="D376" s="4296" t="s">
        <v>4674</v>
      </c>
      <c r="E376" s="4297">
        <v>10.531421999999999</v>
      </c>
    </row>
    <row r="377" spans="2:5">
      <c r="B377" s="4296" t="s">
        <v>6018</v>
      </c>
      <c r="C377" s="4296" t="s">
        <v>7901</v>
      </c>
      <c r="D377" s="4296" t="s">
        <v>4674</v>
      </c>
      <c r="E377" s="4297">
        <v>10.531127</v>
      </c>
    </row>
    <row r="378" spans="2:5">
      <c r="B378" s="4296" t="s">
        <v>6020</v>
      </c>
      <c r="C378" s="4296" t="s">
        <v>7902</v>
      </c>
      <c r="D378" s="4296" t="s">
        <v>4897</v>
      </c>
      <c r="E378" s="4297">
        <v>10.5</v>
      </c>
    </row>
    <row r="379" spans="2:5">
      <c r="B379" s="4296" t="s">
        <v>6022</v>
      </c>
      <c r="C379" s="4296" t="s">
        <v>7903</v>
      </c>
      <c r="D379" s="4296" t="s">
        <v>4897</v>
      </c>
      <c r="E379" s="4297">
        <v>10.5</v>
      </c>
    </row>
    <row r="380" spans="2:5">
      <c r="B380" s="4296" t="s">
        <v>6024</v>
      </c>
      <c r="C380" s="4296" t="s">
        <v>7904</v>
      </c>
      <c r="D380" s="4296" t="s">
        <v>5222</v>
      </c>
      <c r="E380" s="4297">
        <v>10.466666999999999</v>
      </c>
    </row>
    <row r="381" spans="2:5">
      <c r="B381" s="4296" t="s">
        <v>6026</v>
      </c>
      <c r="C381" s="4296" t="s">
        <v>7905</v>
      </c>
      <c r="D381" s="4296" t="s">
        <v>4674</v>
      </c>
      <c r="E381" s="4297">
        <v>10.458</v>
      </c>
    </row>
    <row r="382" spans="2:5">
      <c r="B382" s="4296" t="s">
        <v>6028</v>
      </c>
      <c r="C382" s="4296" t="s">
        <v>7178</v>
      </c>
      <c r="D382" s="4296" t="s">
        <v>4674</v>
      </c>
      <c r="E382" s="4297">
        <v>10.407940999999999</v>
      </c>
    </row>
    <row r="383" spans="2:5">
      <c r="B383" s="4296" t="s">
        <v>6030</v>
      </c>
      <c r="C383" s="4296" t="s">
        <v>7906</v>
      </c>
      <c r="D383" s="4296" t="s">
        <v>4674</v>
      </c>
      <c r="E383" s="4297">
        <v>10.402445000000002</v>
      </c>
    </row>
    <row r="384" spans="2:5">
      <c r="B384" s="4296" t="s">
        <v>6032</v>
      </c>
      <c r="C384" s="4287" t="s">
        <v>7117</v>
      </c>
      <c r="D384" s="4287" t="s">
        <v>4674</v>
      </c>
      <c r="E384" s="4297">
        <v>10.3856</v>
      </c>
    </row>
    <row r="385" spans="2:5">
      <c r="B385" s="4296" t="s">
        <v>6034</v>
      </c>
      <c r="C385" s="4296" t="s">
        <v>7907</v>
      </c>
      <c r="D385" s="4296" t="s">
        <v>4897</v>
      </c>
      <c r="E385" s="4297">
        <v>10</v>
      </c>
    </row>
    <row r="386" spans="2:5">
      <c r="B386" s="4296" t="s">
        <v>6036</v>
      </c>
      <c r="C386" s="4296" t="s">
        <v>7908</v>
      </c>
      <c r="D386" s="4296" t="s">
        <v>4897</v>
      </c>
      <c r="E386" s="4297">
        <v>10</v>
      </c>
    </row>
    <row r="387" spans="2:5">
      <c r="B387" s="4296" t="s">
        <v>6038</v>
      </c>
      <c r="C387" s="4296" t="s">
        <v>7909</v>
      </c>
      <c r="D387" s="4296" t="s">
        <v>4897</v>
      </c>
      <c r="E387" s="4297">
        <v>10</v>
      </c>
    </row>
    <row r="388" spans="2:5">
      <c r="B388" s="4296" t="s">
        <v>6040</v>
      </c>
      <c r="C388" s="4287" t="s">
        <v>7910</v>
      </c>
      <c r="D388" s="4287" t="s">
        <v>4674</v>
      </c>
      <c r="E388" s="4297">
        <v>9.9551999999999996</v>
      </c>
    </row>
    <row r="389" spans="2:5">
      <c r="B389" s="4296" t="s">
        <v>6042</v>
      </c>
      <c r="C389" s="4296" t="s">
        <v>7911</v>
      </c>
      <c r="D389" s="4296" t="s">
        <v>5222</v>
      </c>
      <c r="E389" s="4297">
        <v>9.9309999999999992</v>
      </c>
    </row>
    <row r="390" spans="2:5">
      <c r="B390" s="4296" t="s">
        <v>6045</v>
      </c>
      <c r="C390" s="4287" t="s">
        <v>7912</v>
      </c>
      <c r="D390" s="4287" t="s">
        <v>4674</v>
      </c>
      <c r="E390" s="4297">
        <v>9.8959649999999986</v>
      </c>
    </row>
    <row r="391" spans="2:5">
      <c r="B391" s="4296" t="s">
        <v>6047</v>
      </c>
      <c r="C391" s="4296" t="s">
        <v>7141</v>
      </c>
      <c r="D391" s="4296" t="s">
        <v>4674</v>
      </c>
      <c r="E391" s="4297">
        <v>9.8217280000000002</v>
      </c>
    </row>
    <row r="392" spans="2:5">
      <c r="B392" s="4296" t="s">
        <v>6049</v>
      </c>
      <c r="C392" s="4296" t="s">
        <v>7168</v>
      </c>
      <c r="D392" s="4296" t="s">
        <v>4897</v>
      </c>
      <c r="E392" s="4297">
        <v>9.7650000000000006</v>
      </c>
    </row>
    <row r="393" spans="2:5">
      <c r="B393" s="4296" t="s">
        <v>6051</v>
      </c>
      <c r="C393" s="4296" t="s">
        <v>7913</v>
      </c>
      <c r="D393" s="4296" t="s">
        <v>4897</v>
      </c>
      <c r="E393" s="4297">
        <v>9.5999999999999979</v>
      </c>
    </row>
    <row r="394" spans="2:5">
      <c r="B394" s="4296" t="s">
        <v>6053</v>
      </c>
      <c r="C394" s="4296" t="s">
        <v>7914</v>
      </c>
      <c r="D394" s="4296" t="s">
        <v>4674</v>
      </c>
      <c r="E394" s="4297">
        <v>9.483079</v>
      </c>
    </row>
    <row r="395" spans="2:5">
      <c r="B395" s="4296" t="s">
        <v>6055</v>
      </c>
      <c r="C395" s="4296" t="s">
        <v>7157</v>
      </c>
      <c r="D395" s="4296" t="s">
        <v>4674</v>
      </c>
      <c r="E395" s="4297">
        <v>9.4544519999999999</v>
      </c>
    </row>
    <row r="396" spans="2:5">
      <c r="B396" s="4296" t="s">
        <v>6057</v>
      </c>
      <c r="C396" s="4296" t="s">
        <v>7915</v>
      </c>
      <c r="D396" s="4296" t="s">
        <v>4897</v>
      </c>
      <c r="E396" s="4297">
        <v>9.1333339999999996</v>
      </c>
    </row>
    <row r="397" spans="2:5">
      <c r="B397" s="4296" t="s">
        <v>6059</v>
      </c>
      <c r="C397" s="4296" t="s">
        <v>7916</v>
      </c>
      <c r="D397" s="4296" t="s">
        <v>5222</v>
      </c>
      <c r="E397" s="4297">
        <v>9</v>
      </c>
    </row>
    <row r="398" spans="2:5">
      <c r="B398" s="4296" t="s">
        <v>6061</v>
      </c>
      <c r="C398" s="4296" t="s">
        <v>7245</v>
      </c>
      <c r="D398" s="4296" t="s">
        <v>4897</v>
      </c>
      <c r="E398" s="4297">
        <v>8.9967220000000001</v>
      </c>
    </row>
    <row r="399" spans="2:5">
      <c r="B399" s="4296" t="s">
        <v>6063</v>
      </c>
      <c r="C399" s="4296" t="s">
        <v>5825</v>
      </c>
      <c r="D399" s="4296" t="s">
        <v>4674</v>
      </c>
      <c r="E399" s="4297">
        <v>8.9563620000000004</v>
      </c>
    </row>
    <row r="400" spans="2:5">
      <c r="B400" s="4296" t="s">
        <v>6065</v>
      </c>
      <c r="C400" s="4296" t="s">
        <v>7917</v>
      </c>
      <c r="D400" s="4296" t="s">
        <v>4674</v>
      </c>
      <c r="E400" s="4297">
        <v>8.9136629999999997</v>
      </c>
    </row>
    <row r="401" spans="2:5">
      <c r="B401" s="4296" t="s">
        <v>6067</v>
      </c>
      <c r="C401" s="4296" t="s">
        <v>7918</v>
      </c>
      <c r="D401" s="4296" t="s">
        <v>4674</v>
      </c>
      <c r="E401" s="4297">
        <v>8.8930100000000003</v>
      </c>
    </row>
    <row r="402" spans="2:5">
      <c r="B402" s="4296" t="s">
        <v>6069</v>
      </c>
      <c r="C402" s="4296" t="s">
        <v>5575</v>
      </c>
      <c r="D402" s="4296" t="s">
        <v>4674</v>
      </c>
      <c r="E402" s="4297">
        <v>8.8016449999999988</v>
      </c>
    </row>
    <row r="403" spans="2:5">
      <c r="B403" s="4296" t="s">
        <v>6071</v>
      </c>
      <c r="C403" s="4296" t="s">
        <v>7919</v>
      </c>
      <c r="D403" s="4296" t="s">
        <v>4674</v>
      </c>
      <c r="E403" s="4297">
        <v>8.7935269999999992</v>
      </c>
    </row>
    <row r="404" spans="2:5">
      <c r="B404" s="4296" t="s">
        <v>6073</v>
      </c>
      <c r="C404" s="4296" t="s">
        <v>7187</v>
      </c>
      <c r="D404" s="4296" t="s">
        <v>4674</v>
      </c>
      <c r="E404" s="4297">
        <v>8.6684769999999993</v>
      </c>
    </row>
    <row r="405" spans="2:5">
      <c r="B405" s="4296" t="s">
        <v>6075</v>
      </c>
      <c r="C405" s="4296" t="s">
        <v>7398</v>
      </c>
      <c r="D405" s="4296" t="s">
        <v>4674</v>
      </c>
      <c r="E405" s="4297">
        <v>8.6325309999999984</v>
      </c>
    </row>
    <row r="406" spans="2:5">
      <c r="B406" s="4296" t="s">
        <v>6077</v>
      </c>
      <c r="C406" s="4296" t="s">
        <v>7227</v>
      </c>
      <c r="D406" s="4296" t="s">
        <v>4674</v>
      </c>
      <c r="E406" s="4297">
        <v>8.6085309999999993</v>
      </c>
    </row>
    <row r="407" spans="2:5">
      <c r="B407" s="4296" t="s">
        <v>6079</v>
      </c>
      <c r="C407" s="4296" t="s">
        <v>7920</v>
      </c>
      <c r="D407" s="4296" t="s">
        <v>4674</v>
      </c>
      <c r="E407" s="4297">
        <v>8.4704720000000009</v>
      </c>
    </row>
    <row r="408" spans="2:5">
      <c r="B408" s="4296" t="s">
        <v>6081</v>
      </c>
      <c r="C408" s="4296" t="s">
        <v>7921</v>
      </c>
      <c r="D408" s="4296" t="s">
        <v>4897</v>
      </c>
      <c r="E408" s="4297">
        <v>8.4689999999999994</v>
      </c>
    </row>
    <row r="409" spans="2:5">
      <c r="B409" s="4296" t="s">
        <v>6083</v>
      </c>
      <c r="C409" s="4296" t="s">
        <v>7922</v>
      </c>
      <c r="D409" s="4296" t="s">
        <v>4674</v>
      </c>
      <c r="E409" s="4297">
        <v>8.4132979999999993</v>
      </c>
    </row>
    <row r="410" spans="2:5">
      <c r="B410" s="4296" t="s">
        <v>6085</v>
      </c>
      <c r="C410" s="4296" t="s">
        <v>7923</v>
      </c>
      <c r="D410" s="4296" t="s">
        <v>5222</v>
      </c>
      <c r="E410" s="4297">
        <v>8.25</v>
      </c>
    </row>
    <row r="411" spans="2:5">
      <c r="B411" s="4296" t="s">
        <v>6087</v>
      </c>
      <c r="C411" s="4287" t="s">
        <v>7924</v>
      </c>
      <c r="D411" s="4287" t="s">
        <v>5234</v>
      </c>
      <c r="E411" s="4297">
        <v>8.2205340000000007</v>
      </c>
    </row>
    <row r="412" spans="2:5">
      <c r="B412" s="4296" t="s">
        <v>6089</v>
      </c>
      <c r="C412" s="4296" t="s">
        <v>7925</v>
      </c>
      <c r="D412" s="4296" t="s">
        <v>4897</v>
      </c>
      <c r="E412" s="4297">
        <v>8.1369860000000003</v>
      </c>
    </row>
    <row r="413" spans="2:5">
      <c r="B413" s="4296" t="s">
        <v>6091</v>
      </c>
      <c r="C413" s="4296" t="s">
        <v>7098</v>
      </c>
      <c r="D413" s="4296" t="s">
        <v>4674</v>
      </c>
      <c r="E413" s="4297">
        <v>8.1292360000000006</v>
      </c>
    </row>
    <row r="414" spans="2:5">
      <c r="B414" s="4296" t="s">
        <v>6093</v>
      </c>
      <c r="C414" s="4296" t="s">
        <v>7926</v>
      </c>
      <c r="D414" s="4296" t="s">
        <v>4897</v>
      </c>
      <c r="E414" s="4297">
        <v>8.1</v>
      </c>
    </row>
    <row r="415" spans="2:5">
      <c r="B415" s="4296" t="s">
        <v>6095</v>
      </c>
      <c r="C415" s="4296" t="s">
        <v>7927</v>
      </c>
      <c r="D415" s="4296" t="s">
        <v>4674</v>
      </c>
      <c r="E415" s="4297">
        <v>8.010489999999999</v>
      </c>
    </row>
    <row r="416" spans="2:5">
      <c r="B416" s="4296" t="s">
        <v>6097</v>
      </c>
      <c r="C416" s="4296" t="s">
        <v>7928</v>
      </c>
      <c r="D416" s="4296" t="s">
        <v>4897</v>
      </c>
      <c r="E416" s="4297">
        <v>8</v>
      </c>
    </row>
    <row r="417" spans="2:5">
      <c r="B417" s="4296" t="s">
        <v>6099</v>
      </c>
      <c r="C417" s="4296" t="s">
        <v>7929</v>
      </c>
      <c r="D417" s="4296" t="s">
        <v>4897</v>
      </c>
      <c r="E417" s="4297">
        <v>8</v>
      </c>
    </row>
    <row r="418" spans="2:5">
      <c r="B418" s="4296" t="s">
        <v>6101</v>
      </c>
      <c r="C418" s="4296" t="s">
        <v>7930</v>
      </c>
      <c r="D418" s="4296" t="s">
        <v>4897</v>
      </c>
      <c r="E418" s="4297">
        <v>7.9999999999999982</v>
      </c>
    </row>
    <row r="419" spans="2:5">
      <c r="B419" s="4296" t="s">
        <v>6103</v>
      </c>
      <c r="C419" s="4287" t="s">
        <v>7931</v>
      </c>
      <c r="D419" s="4287" t="s">
        <v>4674</v>
      </c>
      <c r="E419" s="4297">
        <v>7.9286399999999997</v>
      </c>
    </row>
    <row r="420" spans="2:5">
      <c r="B420" s="4296" t="s">
        <v>6105</v>
      </c>
      <c r="C420" s="4296" t="s">
        <v>5967</v>
      </c>
      <c r="D420" s="4296" t="s">
        <v>4987</v>
      </c>
      <c r="E420" s="4297">
        <v>7.9185600000000003</v>
      </c>
    </row>
    <row r="421" spans="2:5">
      <c r="B421" s="4296" t="s">
        <v>6107</v>
      </c>
      <c r="C421" s="4296" t="s">
        <v>7932</v>
      </c>
      <c r="D421" s="4296" t="s">
        <v>4674</v>
      </c>
      <c r="E421" s="4297">
        <v>7.7931899999999983</v>
      </c>
    </row>
    <row r="422" spans="2:5">
      <c r="B422" s="4296" t="s">
        <v>6109</v>
      </c>
      <c r="C422" s="4296" t="s">
        <v>7254</v>
      </c>
      <c r="D422" s="4296" t="s">
        <v>4674</v>
      </c>
      <c r="E422" s="4297">
        <v>7.7594880000000002</v>
      </c>
    </row>
    <row r="423" spans="2:5">
      <c r="B423" s="4296" t="s">
        <v>6111</v>
      </c>
      <c r="C423" s="4287" t="s">
        <v>7189</v>
      </c>
      <c r="D423" s="4287" t="s">
        <v>4674</v>
      </c>
      <c r="E423" s="4297">
        <v>7.7114520000000004</v>
      </c>
    </row>
    <row r="424" spans="2:5">
      <c r="B424" s="4296" t="s">
        <v>6113</v>
      </c>
      <c r="C424" s="4296" t="s">
        <v>7133</v>
      </c>
      <c r="D424" s="4296" t="s">
        <v>4674</v>
      </c>
      <c r="E424" s="4297">
        <v>7.7109649999999998</v>
      </c>
    </row>
    <row r="425" spans="2:5">
      <c r="B425" s="4296" t="s">
        <v>6115</v>
      </c>
      <c r="C425" s="4296" t="s">
        <v>7933</v>
      </c>
      <c r="D425" s="4296" t="s">
        <v>4897</v>
      </c>
      <c r="E425" s="4297">
        <v>7.65</v>
      </c>
    </row>
    <row r="426" spans="2:5">
      <c r="B426" s="4296" t="s">
        <v>6117</v>
      </c>
      <c r="C426" s="4296" t="s">
        <v>7934</v>
      </c>
      <c r="D426" s="4296" t="s">
        <v>4897</v>
      </c>
      <c r="E426" s="4297">
        <v>7.65</v>
      </c>
    </row>
    <row r="427" spans="2:5">
      <c r="B427" s="4296" t="s">
        <v>6119</v>
      </c>
      <c r="C427" s="4296" t="s">
        <v>7935</v>
      </c>
      <c r="D427" s="4296" t="s">
        <v>4897</v>
      </c>
      <c r="E427" s="4297">
        <v>7.65</v>
      </c>
    </row>
    <row r="428" spans="2:5">
      <c r="B428" s="4296" t="s">
        <v>6121</v>
      </c>
      <c r="C428" s="4296" t="s">
        <v>7233</v>
      </c>
      <c r="D428" s="4296" t="s">
        <v>4674</v>
      </c>
      <c r="E428" s="4297">
        <v>7.6245930000000008</v>
      </c>
    </row>
    <row r="429" spans="2:5">
      <c r="B429" s="4296" t="s">
        <v>6123</v>
      </c>
      <c r="C429" s="4296" t="s">
        <v>7113</v>
      </c>
      <c r="D429" s="4296" t="s">
        <v>4674</v>
      </c>
      <c r="E429" s="4297">
        <v>7.5540320000000003</v>
      </c>
    </row>
    <row r="430" spans="2:5">
      <c r="B430" s="4296" t="s">
        <v>6125</v>
      </c>
      <c r="C430" s="4296" t="s">
        <v>5805</v>
      </c>
      <c r="D430" s="4296" t="s">
        <v>4674</v>
      </c>
      <c r="E430" s="4297">
        <v>7.5297499999999999</v>
      </c>
    </row>
    <row r="431" spans="2:5">
      <c r="B431" s="4296" t="s">
        <v>6127</v>
      </c>
      <c r="C431" s="4296" t="s">
        <v>7936</v>
      </c>
      <c r="D431" s="4296" t="s">
        <v>4897</v>
      </c>
      <c r="E431" s="4297">
        <v>7.5</v>
      </c>
    </row>
    <row r="432" spans="2:5">
      <c r="B432" s="4296" t="s">
        <v>6129</v>
      </c>
      <c r="C432" s="4296" t="s">
        <v>7937</v>
      </c>
      <c r="D432" s="4296" t="s">
        <v>4674</v>
      </c>
      <c r="E432" s="4297">
        <v>7.421310000000001</v>
      </c>
    </row>
    <row r="433" spans="2:5">
      <c r="B433" s="4296" t="s">
        <v>6131</v>
      </c>
      <c r="C433" s="4296" t="s">
        <v>7145</v>
      </c>
      <c r="D433" s="4296" t="s">
        <v>4674</v>
      </c>
      <c r="E433" s="4297">
        <v>7.3259360000000004</v>
      </c>
    </row>
    <row r="434" spans="2:5">
      <c r="B434" s="4296" t="s">
        <v>6133</v>
      </c>
      <c r="C434" s="4287" t="s">
        <v>7938</v>
      </c>
      <c r="D434" s="4287" t="s">
        <v>4674</v>
      </c>
      <c r="E434" s="4297">
        <v>7.2370680000000007</v>
      </c>
    </row>
    <row r="435" spans="2:5">
      <c r="B435" s="4296" t="s">
        <v>6135</v>
      </c>
      <c r="C435" s="4296" t="s">
        <v>7939</v>
      </c>
      <c r="D435" s="4296" t="s">
        <v>4674</v>
      </c>
      <c r="E435" s="4297">
        <v>7.200012000000001</v>
      </c>
    </row>
    <row r="436" spans="2:5">
      <c r="B436" s="4296" t="s">
        <v>6137</v>
      </c>
      <c r="C436" s="4296" t="s">
        <v>7940</v>
      </c>
      <c r="D436" s="4296" t="s">
        <v>4897</v>
      </c>
      <c r="E436" s="4297">
        <v>7.2</v>
      </c>
    </row>
    <row r="437" spans="2:5">
      <c r="B437" s="4296" t="s">
        <v>6139</v>
      </c>
      <c r="C437" s="4296" t="s">
        <v>5403</v>
      </c>
      <c r="D437" s="4296" t="s">
        <v>4674</v>
      </c>
      <c r="E437" s="4297">
        <v>7.0555500000000002</v>
      </c>
    </row>
    <row r="438" spans="2:5">
      <c r="B438" s="4296" t="s">
        <v>6141</v>
      </c>
      <c r="C438" s="4296" t="s">
        <v>7065</v>
      </c>
      <c r="D438" s="4296" t="s">
        <v>4674</v>
      </c>
      <c r="E438" s="4297">
        <v>7.0514999999999999</v>
      </c>
    </row>
    <row r="439" spans="2:5">
      <c r="B439" s="4296" t="s">
        <v>6143</v>
      </c>
      <c r="C439" s="4296" t="s">
        <v>7941</v>
      </c>
      <c r="D439" s="4296" t="s">
        <v>4674</v>
      </c>
      <c r="E439" s="4297">
        <v>7.0455920000000001</v>
      </c>
    </row>
    <row r="440" spans="2:5">
      <c r="B440" s="4296" t="s">
        <v>6145</v>
      </c>
      <c r="C440" s="4296" t="s">
        <v>7942</v>
      </c>
      <c r="D440" s="4296" t="s">
        <v>4897</v>
      </c>
      <c r="E440" s="4297">
        <v>7</v>
      </c>
    </row>
    <row r="441" spans="2:5">
      <c r="B441" s="4296" t="s">
        <v>6147</v>
      </c>
      <c r="C441" s="4296" t="s">
        <v>7943</v>
      </c>
      <c r="D441" s="4296" t="s">
        <v>4897</v>
      </c>
      <c r="E441" s="4297">
        <v>7</v>
      </c>
    </row>
    <row r="442" spans="2:5">
      <c r="B442" s="4296" t="s">
        <v>6149</v>
      </c>
      <c r="C442" s="4296" t="s">
        <v>5631</v>
      </c>
      <c r="D442" s="4296" t="s">
        <v>4674</v>
      </c>
      <c r="E442" s="4297">
        <v>6.9746759999999997</v>
      </c>
    </row>
    <row r="443" spans="2:5">
      <c r="B443" s="4296" t="s">
        <v>6151</v>
      </c>
      <c r="C443" s="4296" t="s">
        <v>7944</v>
      </c>
      <c r="D443" s="4296" t="s">
        <v>5222</v>
      </c>
      <c r="E443" s="4297">
        <v>6.96</v>
      </c>
    </row>
    <row r="444" spans="2:5">
      <c r="B444" s="4296" t="s">
        <v>6153</v>
      </c>
      <c r="C444" s="4296" t="s">
        <v>7945</v>
      </c>
      <c r="D444" s="4296" t="s">
        <v>4897</v>
      </c>
      <c r="E444" s="4297">
        <v>6.9333320000000009</v>
      </c>
    </row>
    <row r="445" spans="2:5">
      <c r="B445" s="4296" t="s">
        <v>6155</v>
      </c>
      <c r="C445" s="4296" t="s">
        <v>7946</v>
      </c>
      <c r="D445" s="4296" t="s">
        <v>4987</v>
      </c>
      <c r="E445" s="4297">
        <v>6.9119999999999999</v>
      </c>
    </row>
    <row r="446" spans="2:5">
      <c r="B446" s="4296" t="s">
        <v>6157</v>
      </c>
      <c r="C446" s="4296" t="s">
        <v>7947</v>
      </c>
      <c r="D446" s="4296" t="s">
        <v>5222</v>
      </c>
      <c r="E446" s="4297">
        <v>6.75</v>
      </c>
    </row>
    <row r="447" spans="2:5">
      <c r="B447" s="4296" t="s">
        <v>6159</v>
      </c>
      <c r="C447" s="4296" t="s">
        <v>7948</v>
      </c>
      <c r="D447" s="4296" t="s">
        <v>4674</v>
      </c>
      <c r="E447" s="4297">
        <v>6.7312029999999998</v>
      </c>
    </row>
    <row r="448" spans="2:5">
      <c r="B448" s="4296" t="s">
        <v>6161</v>
      </c>
      <c r="C448" s="4296" t="s">
        <v>7121</v>
      </c>
      <c r="D448" s="4296" t="s">
        <v>4674</v>
      </c>
      <c r="E448" s="4297">
        <v>6.7259520000000004</v>
      </c>
    </row>
    <row r="449" spans="2:5">
      <c r="B449" s="4296" t="s">
        <v>6163</v>
      </c>
      <c r="C449" s="4296" t="s">
        <v>7949</v>
      </c>
      <c r="D449" s="4296" t="s">
        <v>4674</v>
      </c>
      <c r="E449" s="4297">
        <v>6.7006410000000001</v>
      </c>
    </row>
    <row r="450" spans="2:5">
      <c r="B450" s="4296" t="s">
        <v>6165</v>
      </c>
      <c r="C450" s="4296" t="s">
        <v>7950</v>
      </c>
      <c r="D450" s="4296" t="s">
        <v>4674</v>
      </c>
      <c r="E450" s="4297">
        <v>6.6407999999999996</v>
      </c>
    </row>
    <row r="451" spans="2:5">
      <c r="B451" s="4296" t="s">
        <v>6167</v>
      </c>
      <c r="C451" s="4296" t="s">
        <v>7951</v>
      </c>
      <c r="D451" s="4296" t="s">
        <v>4674</v>
      </c>
      <c r="E451" s="4297">
        <v>6.6109350000000004</v>
      </c>
    </row>
    <row r="452" spans="2:5">
      <c r="B452" s="4296" t="s">
        <v>6169</v>
      </c>
      <c r="C452" s="4287" t="s">
        <v>7952</v>
      </c>
      <c r="D452" s="4287" t="s">
        <v>4674</v>
      </c>
      <c r="E452" s="4297">
        <v>6.5603099999999994</v>
      </c>
    </row>
    <row r="453" spans="2:5">
      <c r="B453" s="4296" t="s">
        <v>6171</v>
      </c>
      <c r="C453" s="4287" t="s">
        <v>7953</v>
      </c>
      <c r="D453" s="4287" t="s">
        <v>4674</v>
      </c>
      <c r="E453" s="4297">
        <v>6.5494089999999998</v>
      </c>
    </row>
    <row r="454" spans="2:5">
      <c r="B454" s="4296" t="s">
        <v>6173</v>
      </c>
      <c r="C454" s="4287" t="s">
        <v>7954</v>
      </c>
      <c r="D454" s="4287" t="s">
        <v>4674</v>
      </c>
      <c r="E454" s="4297">
        <v>6.4861079999999998</v>
      </c>
    </row>
    <row r="455" spans="2:5">
      <c r="B455" s="4296" t="s">
        <v>6175</v>
      </c>
      <c r="C455" s="4287" t="s">
        <v>7955</v>
      </c>
      <c r="D455" s="4287" t="s">
        <v>4674</v>
      </c>
      <c r="E455" s="4297">
        <v>6.4786670000000006</v>
      </c>
    </row>
    <row r="456" spans="2:5">
      <c r="B456" s="4296" t="s">
        <v>6177</v>
      </c>
      <c r="C456" s="4296" t="s">
        <v>7956</v>
      </c>
      <c r="D456" s="4296" t="s">
        <v>4897</v>
      </c>
      <c r="E456" s="4297">
        <v>6.46</v>
      </c>
    </row>
    <row r="457" spans="2:5">
      <c r="B457" s="4296" t="s">
        <v>6179</v>
      </c>
      <c r="C457" s="4296" t="s">
        <v>7957</v>
      </c>
      <c r="D457" s="4296" t="s">
        <v>4897</v>
      </c>
      <c r="E457" s="4297">
        <v>6.4</v>
      </c>
    </row>
    <row r="458" spans="2:5">
      <c r="B458" s="4296" t="s">
        <v>6181</v>
      </c>
      <c r="C458" s="4296" t="s">
        <v>5877</v>
      </c>
      <c r="D458" s="4296" t="s">
        <v>4674</v>
      </c>
      <c r="E458" s="4297">
        <v>6.2394949999999998</v>
      </c>
    </row>
    <row r="459" spans="2:5">
      <c r="B459" s="4296" t="s">
        <v>6183</v>
      </c>
      <c r="C459" s="4296" t="s">
        <v>7958</v>
      </c>
      <c r="D459" s="4296" t="s">
        <v>4674</v>
      </c>
      <c r="E459" s="4297">
        <v>6.2145119999999956</v>
      </c>
    </row>
    <row r="460" spans="2:5">
      <c r="B460" s="4296" t="s">
        <v>6185</v>
      </c>
      <c r="C460" s="4296" t="s">
        <v>7959</v>
      </c>
      <c r="D460" s="4296" t="s">
        <v>4674</v>
      </c>
      <c r="E460" s="4297">
        <v>6.1814999999999998</v>
      </c>
    </row>
    <row r="461" spans="2:5">
      <c r="B461" s="4296" t="s">
        <v>6187</v>
      </c>
      <c r="C461" s="4296" t="s">
        <v>7960</v>
      </c>
      <c r="D461" s="4296" t="s">
        <v>4674</v>
      </c>
      <c r="E461" s="4297">
        <v>6.1650300000000007</v>
      </c>
    </row>
    <row r="462" spans="2:5">
      <c r="B462" s="4296" t="s">
        <v>6189</v>
      </c>
      <c r="C462" s="4296" t="s">
        <v>7961</v>
      </c>
      <c r="D462" s="4296" t="s">
        <v>4674</v>
      </c>
      <c r="E462" s="4297">
        <v>6.1617319999999998</v>
      </c>
    </row>
    <row r="463" spans="2:5">
      <c r="B463" s="4296" t="s">
        <v>6191</v>
      </c>
      <c r="C463" s="4296" t="s">
        <v>7962</v>
      </c>
      <c r="D463" s="4296" t="s">
        <v>4674</v>
      </c>
      <c r="E463" s="4297">
        <v>6.1419390000000007</v>
      </c>
    </row>
    <row r="464" spans="2:5">
      <c r="B464" s="4296" t="s">
        <v>6193</v>
      </c>
      <c r="C464" s="4296" t="s">
        <v>5663</v>
      </c>
      <c r="D464" s="4296" t="s">
        <v>4674</v>
      </c>
      <c r="E464" s="4297">
        <v>6.1070699999999993</v>
      </c>
    </row>
    <row r="465" spans="2:5">
      <c r="B465" s="4296" t="s">
        <v>6195</v>
      </c>
      <c r="C465" s="4296" t="s">
        <v>7963</v>
      </c>
      <c r="D465" s="4296" t="s">
        <v>4897</v>
      </c>
      <c r="E465" s="4297">
        <v>6</v>
      </c>
    </row>
    <row r="466" spans="2:5">
      <c r="B466" s="4296" t="s">
        <v>6197</v>
      </c>
      <c r="C466" s="4296" t="s">
        <v>7964</v>
      </c>
      <c r="D466" s="4296" t="s">
        <v>4897</v>
      </c>
      <c r="E466" s="4297">
        <v>6</v>
      </c>
    </row>
    <row r="467" spans="2:5">
      <c r="B467" s="4296" t="s">
        <v>6199</v>
      </c>
      <c r="C467" s="4296" t="s">
        <v>7965</v>
      </c>
      <c r="D467" s="4296" t="s">
        <v>4897</v>
      </c>
      <c r="E467" s="4297">
        <v>6</v>
      </c>
    </row>
    <row r="468" spans="2:5">
      <c r="B468" s="4296" t="s">
        <v>6201</v>
      </c>
      <c r="C468" s="4296" t="s">
        <v>7966</v>
      </c>
      <c r="D468" s="4296" t="s">
        <v>4897</v>
      </c>
      <c r="E468" s="4297">
        <v>6</v>
      </c>
    </row>
    <row r="469" spans="2:5">
      <c r="B469" s="4296" t="s">
        <v>6203</v>
      </c>
      <c r="C469" s="4296" t="s">
        <v>7967</v>
      </c>
      <c r="D469" s="4296" t="s">
        <v>4897</v>
      </c>
      <c r="E469" s="4297">
        <v>6</v>
      </c>
    </row>
    <row r="470" spans="2:5">
      <c r="B470" s="4296" t="s">
        <v>6205</v>
      </c>
      <c r="C470" s="4296" t="s">
        <v>7968</v>
      </c>
      <c r="D470" s="4296" t="s">
        <v>4897</v>
      </c>
      <c r="E470" s="4297">
        <v>6</v>
      </c>
    </row>
    <row r="471" spans="2:5">
      <c r="B471" s="4296" t="s">
        <v>6207</v>
      </c>
      <c r="C471" s="4296" t="s">
        <v>7969</v>
      </c>
      <c r="D471" s="4296" t="s">
        <v>5222</v>
      </c>
      <c r="E471" s="4297">
        <v>6</v>
      </c>
    </row>
    <row r="472" spans="2:5">
      <c r="B472" s="4296" t="s">
        <v>6209</v>
      </c>
      <c r="C472" s="4296" t="s">
        <v>7309</v>
      </c>
      <c r="D472" s="4296" t="s">
        <v>5222</v>
      </c>
      <c r="E472" s="4297">
        <v>5.8977520000000005</v>
      </c>
    </row>
    <row r="473" spans="2:5">
      <c r="B473" s="4296" t="s">
        <v>6211</v>
      </c>
      <c r="C473" s="4296" t="s">
        <v>7970</v>
      </c>
      <c r="D473" s="4296" t="s">
        <v>4674</v>
      </c>
      <c r="E473" s="4297">
        <v>5.8233119999999996</v>
      </c>
    </row>
    <row r="474" spans="2:5">
      <c r="B474" s="4296" t="s">
        <v>6213</v>
      </c>
      <c r="C474" s="4287" t="s">
        <v>7181</v>
      </c>
      <c r="D474" s="4287" t="s">
        <v>4674</v>
      </c>
      <c r="E474" s="4297">
        <v>5.74275</v>
      </c>
    </row>
    <row r="475" spans="2:5">
      <c r="B475" s="4296" t="s">
        <v>6215</v>
      </c>
      <c r="C475" s="4296" t="s">
        <v>7971</v>
      </c>
      <c r="D475" s="4296" t="s">
        <v>4674</v>
      </c>
      <c r="E475" s="4297">
        <v>5.7202730000000006</v>
      </c>
    </row>
    <row r="476" spans="2:5">
      <c r="B476" s="4296" t="s">
        <v>6217</v>
      </c>
      <c r="C476" s="4296" t="s">
        <v>7972</v>
      </c>
      <c r="D476" s="4296" t="s">
        <v>4674</v>
      </c>
      <c r="E476" s="4297">
        <v>5.6315610000000005</v>
      </c>
    </row>
    <row r="477" spans="2:5">
      <c r="B477" s="4296" t="s">
        <v>6219</v>
      </c>
      <c r="C477" s="4296" t="s">
        <v>7973</v>
      </c>
      <c r="D477" s="4296" t="s">
        <v>4674</v>
      </c>
      <c r="E477" s="4297">
        <v>5.6230259999999994</v>
      </c>
    </row>
    <row r="478" spans="2:5">
      <c r="B478" s="4296" t="s">
        <v>6221</v>
      </c>
      <c r="C478" s="4296" t="s">
        <v>7974</v>
      </c>
      <c r="D478" s="4296" t="s">
        <v>4897</v>
      </c>
      <c r="E478" s="4297">
        <v>5.5</v>
      </c>
    </row>
    <row r="479" spans="2:5">
      <c r="B479" s="4296" t="s">
        <v>6223</v>
      </c>
      <c r="C479" s="4296" t="s">
        <v>7975</v>
      </c>
      <c r="D479" s="4296" t="s">
        <v>4897</v>
      </c>
      <c r="E479" s="4297">
        <v>5.44</v>
      </c>
    </row>
    <row r="480" spans="2:5">
      <c r="B480" s="4296" t="s">
        <v>6225</v>
      </c>
      <c r="C480" s="4296" t="s">
        <v>7392</v>
      </c>
      <c r="D480" s="4296" t="s">
        <v>4897</v>
      </c>
      <c r="E480" s="4297">
        <v>5.4295080000000002</v>
      </c>
    </row>
    <row r="481" spans="2:5">
      <c r="B481" s="4296" t="s">
        <v>6227</v>
      </c>
      <c r="C481" s="4296" t="s">
        <v>7391</v>
      </c>
      <c r="D481" s="4296" t="s">
        <v>4897</v>
      </c>
      <c r="E481" s="4297">
        <v>5.4098360000000003</v>
      </c>
    </row>
    <row r="482" spans="2:5">
      <c r="B482" s="4296" t="s">
        <v>6229</v>
      </c>
      <c r="C482" s="4296" t="s">
        <v>7162</v>
      </c>
      <c r="D482" s="4296" t="s">
        <v>4674</v>
      </c>
      <c r="E482" s="4297">
        <v>5.3821190000000012</v>
      </c>
    </row>
    <row r="483" spans="2:5">
      <c r="B483" s="4296" t="s">
        <v>6231</v>
      </c>
      <c r="C483" s="4296" t="s">
        <v>7040</v>
      </c>
      <c r="D483" s="4296" t="s">
        <v>4674</v>
      </c>
      <c r="E483" s="4297">
        <v>5.3635800000000007</v>
      </c>
    </row>
    <row r="484" spans="2:5">
      <c r="B484" s="4296" t="s">
        <v>6233</v>
      </c>
      <c r="C484" s="4296" t="s">
        <v>7053</v>
      </c>
      <c r="D484" s="4296" t="s">
        <v>4674</v>
      </c>
      <c r="E484" s="4297">
        <v>5.3467500000000001</v>
      </c>
    </row>
    <row r="485" spans="2:5">
      <c r="B485" s="4296" t="s">
        <v>6235</v>
      </c>
      <c r="C485" s="4296" t="s">
        <v>7092</v>
      </c>
      <c r="D485" s="4296" t="s">
        <v>4674</v>
      </c>
      <c r="E485" s="4297">
        <v>5.3335330000000001</v>
      </c>
    </row>
    <row r="486" spans="2:5">
      <c r="B486" s="4296" t="s">
        <v>6237</v>
      </c>
      <c r="C486" s="4296" t="s">
        <v>7193</v>
      </c>
      <c r="D486" s="4296" t="s">
        <v>5149</v>
      </c>
      <c r="E486" s="4297">
        <v>5.3096399999999999</v>
      </c>
    </row>
    <row r="487" spans="2:5">
      <c r="B487" s="4296" t="s">
        <v>6239</v>
      </c>
      <c r="C487" s="4296" t="s">
        <v>7976</v>
      </c>
      <c r="D487" s="4296" t="s">
        <v>5149</v>
      </c>
      <c r="E487" s="4297">
        <v>5.309639999999999</v>
      </c>
    </row>
    <row r="488" spans="2:5">
      <c r="B488" s="4296" t="s">
        <v>6241</v>
      </c>
      <c r="C488" s="4296" t="s">
        <v>7977</v>
      </c>
      <c r="D488" s="4296" t="s">
        <v>5222</v>
      </c>
      <c r="E488" s="4297">
        <v>5.28</v>
      </c>
    </row>
    <row r="489" spans="2:5">
      <c r="B489" s="4296" t="s">
        <v>6243</v>
      </c>
      <c r="C489" s="4296" t="s">
        <v>7978</v>
      </c>
      <c r="D489" s="4296" t="s">
        <v>4674</v>
      </c>
      <c r="E489" s="4297">
        <v>5.2779770000000008</v>
      </c>
    </row>
    <row r="490" spans="2:5">
      <c r="B490" s="4296" t="s">
        <v>6245</v>
      </c>
      <c r="C490" s="4296" t="s">
        <v>7979</v>
      </c>
      <c r="D490" s="4296" t="s">
        <v>4674</v>
      </c>
      <c r="E490" s="4297">
        <v>5.2759199999999993</v>
      </c>
    </row>
    <row r="491" spans="2:5">
      <c r="B491" s="4296" t="s">
        <v>6247</v>
      </c>
      <c r="C491" s="4296" t="s">
        <v>7980</v>
      </c>
      <c r="D491" s="4296" t="s">
        <v>5222</v>
      </c>
      <c r="E491" s="4297">
        <v>5.257263</v>
      </c>
    </row>
    <row r="492" spans="2:5">
      <c r="B492" s="4296" t="s">
        <v>6249</v>
      </c>
      <c r="C492" s="4296" t="s">
        <v>7981</v>
      </c>
      <c r="D492" s="4296" t="s">
        <v>4674</v>
      </c>
      <c r="E492" s="4297">
        <v>5.2290000000000001</v>
      </c>
    </row>
    <row r="493" spans="2:5">
      <c r="B493" s="4296" t="s">
        <v>6251</v>
      </c>
      <c r="C493" s="4296" t="s">
        <v>7982</v>
      </c>
      <c r="D493" s="4296" t="s">
        <v>4897</v>
      </c>
      <c r="E493" s="4297">
        <v>5.2</v>
      </c>
    </row>
    <row r="494" spans="2:5">
      <c r="B494" s="4296" t="s">
        <v>6253</v>
      </c>
      <c r="C494" s="4296" t="s">
        <v>7983</v>
      </c>
      <c r="D494" s="4296" t="s">
        <v>4897</v>
      </c>
      <c r="E494" s="4297">
        <v>5.2</v>
      </c>
    </row>
    <row r="495" spans="2:5">
      <c r="B495" s="4296" t="s">
        <v>6255</v>
      </c>
      <c r="C495" s="4296" t="s">
        <v>7119</v>
      </c>
      <c r="D495" s="4296" t="s">
        <v>4674</v>
      </c>
      <c r="E495" s="4297">
        <v>5.1215800000000007</v>
      </c>
    </row>
    <row r="496" spans="2:5">
      <c r="B496" s="4296" t="s">
        <v>6257</v>
      </c>
      <c r="C496" s="4296" t="s">
        <v>5557</v>
      </c>
      <c r="D496" s="4296" t="s">
        <v>4674</v>
      </c>
      <c r="E496" s="4297">
        <v>5.0457599999999996</v>
      </c>
    </row>
    <row r="497" spans="2:5">
      <c r="B497" s="4296" t="s">
        <v>6259</v>
      </c>
      <c r="C497" s="4296" t="s">
        <v>7984</v>
      </c>
      <c r="D497" s="4296" t="s">
        <v>4987</v>
      </c>
      <c r="E497" s="4297">
        <v>5.04</v>
      </c>
    </row>
    <row r="498" spans="2:5">
      <c r="B498" s="4296" t="s">
        <v>6261</v>
      </c>
      <c r="C498" s="4296" t="s">
        <v>7985</v>
      </c>
      <c r="D498" s="4296" t="s">
        <v>4674</v>
      </c>
      <c r="E498" s="4297">
        <v>5.0278299999999989</v>
      </c>
    </row>
    <row r="499" spans="2:5">
      <c r="B499" s="4296" t="s">
        <v>6263</v>
      </c>
      <c r="C499" s="4296" t="s">
        <v>7986</v>
      </c>
      <c r="D499" s="4296" t="s">
        <v>4897</v>
      </c>
      <c r="E499" s="4297">
        <v>5</v>
      </c>
    </row>
    <row r="500" spans="2:5">
      <c r="B500" s="4296" t="s">
        <v>6265</v>
      </c>
      <c r="C500" s="4296" t="s">
        <v>7987</v>
      </c>
      <c r="D500" s="4296" t="s">
        <v>4897</v>
      </c>
      <c r="E500" s="4297">
        <v>5</v>
      </c>
    </row>
    <row r="501" spans="2:5">
      <c r="B501" s="4296" t="s">
        <v>6267</v>
      </c>
      <c r="C501" s="4296" t="s">
        <v>7988</v>
      </c>
      <c r="D501" s="4296" t="s">
        <v>5222</v>
      </c>
      <c r="E501" s="4297">
        <v>5</v>
      </c>
    </row>
    <row r="502" spans="2:5">
      <c r="B502" s="4296" t="s">
        <v>6269</v>
      </c>
      <c r="C502" s="4296" t="s">
        <v>7989</v>
      </c>
      <c r="D502" s="4296" t="s">
        <v>4674</v>
      </c>
      <c r="E502" s="4297">
        <v>4.9654999999999996</v>
      </c>
    </row>
    <row r="503" spans="2:5">
      <c r="B503" s="4296" t="s">
        <v>6271</v>
      </c>
      <c r="C503" s="4296" t="s">
        <v>7990</v>
      </c>
      <c r="D503" s="4296" t="s">
        <v>5222</v>
      </c>
      <c r="E503" s="4297">
        <v>4.9406299999999996</v>
      </c>
    </row>
    <row r="504" spans="2:5">
      <c r="B504" s="4296" t="s">
        <v>6273</v>
      </c>
      <c r="C504" s="4296" t="s">
        <v>7991</v>
      </c>
      <c r="D504" s="4296" t="s">
        <v>4897</v>
      </c>
      <c r="E504" s="4297">
        <v>4.9216449999999998</v>
      </c>
    </row>
    <row r="505" spans="2:5">
      <c r="B505" s="4296" t="s">
        <v>6275</v>
      </c>
      <c r="C505" s="4296" t="s">
        <v>7992</v>
      </c>
      <c r="D505" s="4296" t="s">
        <v>4674</v>
      </c>
      <c r="E505" s="4297">
        <v>4.8557169999999994</v>
      </c>
    </row>
    <row r="506" spans="2:5">
      <c r="B506" s="4296" t="s">
        <v>6277</v>
      </c>
      <c r="C506" s="4296" t="s">
        <v>7242</v>
      </c>
      <c r="D506" s="4296" t="s">
        <v>4897</v>
      </c>
      <c r="E506" s="4297">
        <v>4.8262279999999995</v>
      </c>
    </row>
    <row r="507" spans="2:5">
      <c r="B507" s="4296" t="s">
        <v>6279</v>
      </c>
      <c r="C507" s="4296" t="s">
        <v>7993</v>
      </c>
      <c r="D507" s="4296" t="s">
        <v>4897</v>
      </c>
      <c r="E507" s="4297">
        <v>4.8</v>
      </c>
    </row>
    <row r="508" spans="2:5">
      <c r="B508" s="4296" t="s">
        <v>6281</v>
      </c>
      <c r="C508" s="4296" t="s">
        <v>7994</v>
      </c>
      <c r="D508" s="4296" t="s">
        <v>4897</v>
      </c>
      <c r="E508" s="4297">
        <v>4.8</v>
      </c>
    </row>
    <row r="509" spans="2:5">
      <c r="B509" s="4296" t="s">
        <v>6283</v>
      </c>
      <c r="C509" s="4296" t="s">
        <v>7995</v>
      </c>
      <c r="D509" s="4296" t="s">
        <v>4674</v>
      </c>
      <c r="E509" s="4297">
        <v>4.7743989999999989</v>
      </c>
    </row>
    <row r="510" spans="2:5">
      <c r="B510" s="4296" t="s">
        <v>6285</v>
      </c>
      <c r="C510" s="4287" t="s">
        <v>7996</v>
      </c>
      <c r="D510" s="4287" t="s">
        <v>4674</v>
      </c>
      <c r="E510" s="4297">
        <v>4.7386300000000015</v>
      </c>
    </row>
    <row r="511" spans="2:5">
      <c r="B511" s="4296" t="s">
        <v>6287</v>
      </c>
      <c r="C511" s="4296" t="s">
        <v>7997</v>
      </c>
      <c r="D511" s="4296" t="s">
        <v>4674</v>
      </c>
      <c r="E511" s="4297">
        <v>4.717639000000001</v>
      </c>
    </row>
    <row r="512" spans="2:5">
      <c r="B512" s="4296" t="s">
        <v>6289</v>
      </c>
      <c r="C512" s="4296" t="s">
        <v>7998</v>
      </c>
      <c r="D512" s="4296" t="s">
        <v>4897</v>
      </c>
      <c r="E512" s="4297">
        <v>4.6399999999999997</v>
      </c>
    </row>
    <row r="513" spans="2:5">
      <c r="B513" s="4296" t="s">
        <v>6291</v>
      </c>
      <c r="C513" s="4296" t="s">
        <v>5730</v>
      </c>
      <c r="D513" s="4296" t="s">
        <v>4674</v>
      </c>
      <c r="E513" s="4297">
        <v>4.5728960000000001</v>
      </c>
    </row>
    <row r="514" spans="2:5">
      <c r="B514" s="4296" t="s">
        <v>6293</v>
      </c>
      <c r="C514" s="4296" t="s">
        <v>7999</v>
      </c>
      <c r="D514" s="4296" t="s">
        <v>4674</v>
      </c>
      <c r="E514" s="4297">
        <v>4.5397700000000007</v>
      </c>
    </row>
    <row r="515" spans="2:5">
      <c r="B515" s="4296" t="s">
        <v>6295</v>
      </c>
      <c r="C515" s="4296" t="s">
        <v>8000</v>
      </c>
      <c r="D515" s="4296" t="s">
        <v>4674</v>
      </c>
      <c r="E515" s="4297">
        <v>4.5270770000000002</v>
      </c>
    </row>
    <row r="516" spans="2:5">
      <c r="B516" s="4296" t="s">
        <v>6297</v>
      </c>
      <c r="C516" s="4296" t="s">
        <v>8001</v>
      </c>
      <c r="D516" s="4296" t="s">
        <v>4897</v>
      </c>
      <c r="E516" s="4297">
        <v>4.5000000000000009</v>
      </c>
    </row>
    <row r="517" spans="2:5">
      <c r="B517" s="4296" t="s">
        <v>6299</v>
      </c>
      <c r="C517" s="4296" t="s">
        <v>8002</v>
      </c>
      <c r="D517" s="4296" t="s">
        <v>4897</v>
      </c>
      <c r="E517" s="4297">
        <v>4.5</v>
      </c>
    </row>
    <row r="518" spans="2:5">
      <c r="B518" s="4296" t="s">
        <v>6301</v>
      </c>
      <c r="C518" s="4296" t="s">
        <v>8003</v>
      </c>
      <c r="D518" s="4296" t="s">
        <v>4897</v>
      </c>
      <c r="E518" s="4297">
        <v>4.5</v>
      </c>
    </row>
    <row r="519" spans="2:5">
      <c r="B519" s="4296" t="s">
        <v>6303</v>
      </c>
      <c r="C519" s="4296" t="s">
        <v>8004</v>
      </c>
      <c r="D519" s="4296" t="s">
        <v>5222</v>
      </c>
      <c r="E519" s="4297">
        <v>4.5</v>
      </c>
    </row>
    <row r="520" spans="2:5">
      <c r="B520" s="4296" t="s">
        <v>6305</v>
      </c>
      <c r="C520" s="4296" t="s">
        <v>8005</v>
      </c>
      <c r="D520" s="4296" t="s">
        <v>4674</v>
      </c>
      <c r="E520" s="4297">
        <v>4.4504999999999999</v>
      </c>
    </row>
    <row r="521" spans="2:5">
      <c r="B521" s="4296" t="s">
        <v>6307</v>
      </c>
      <c r="C521" s="4296" t="s">
        <v>8006</v>
      </c>
      <c r="D521" s="4296" t="s">
        <v>5222</v>
      </c>
      <c r="E521" s="4297">
        <v>4.4383569999999999</v>
      </c>
    </row>
    <row r="522" spans="2:5">
      <c r="B522" s="4296" t="s">
        <v>6309</v>
      </c>
      <c r="C522" s="4296" t="s">
        <v>8007</v>
      </c>
      <c r="D522" s="4296" t="s">
        <v>4897</v>
      </c>
      <c r="E522" s="4297">
        <v>4.3397259999999998</v>
      </c>
    </row>
    <row r="523" spans="2:5">
      <c r="B523" s="4296" t="s">
        <v>6311</v>
      </c>
      <c r="C523" s="4296" t="s">
        <v>8008</v>
      </c>
      <c r="D523" s="4296" t="s">
        <v>4674</v>
      </c>
      <c r="E523" s="4297">
        <v>4.3109999999999999</v>
      </c>
    </row>
    <row r="524" spans="2:5">
      <c r="B524" s="4296" t="s">
        <v>6313</v>
      </c>
      <c r="C524" s="4296" t="s">
        <v>8009</v>
      </c>
      <c r="D524" s="4296" t="s">
        <v>4674</v>
      </c>
      <c r="E524" s="4297">
        <v>4.2468409999999999</v>
      </c>
    </row>
    <row r="525" spans="2:5">
      <c r="B525" s="4296" t="s">
        <v>6315</v>
      </c>
      <c r="C525" s="4296" t="s">
        <v>8010</v>
      </c>
      <c r="D525" s="4296" t="s">
        <v>4897</v>
      </c>
      <c r="E525" s="4297">
        <v>4.2000000000000011</v>
      </c>
    </row>
    <row r="526" spans="2:5">
      <c r="B526" s="4296" t="s">
        <v>6317</v>
      </c>
      <c r="C526" s="4296" t="s">
        <v>8011</v>
      </c>
      <c r="D526" s="4296" t="s">
        <v>4897</v>
      </c>
      <c r="E526" s="4297">
        <v>4.2</v>
      </c>
    </row>
    <row r="527" spans="2:5">
      <c r="B527" s="4296" t="s">
        <v>6319</v>
      </c>
      <c r="C527" s="4296" t="s">
        <v>8012</v>
      </c>
      <c r="D527" s="4296" t="s">
        <v>4987</v>
      </c>
      <c r="E527" s="4297">
        <v>4.1664000000000003</v>
      </c>
    </row>
    <row r="528" spans="2:5">
      <c r="B528" s="4296" t="s">
        <v>6321</v>
      </c>
      <c r="C528" s="4296" t="s">
        <v>7436</v>
      </c>
      <c r="D528" s="4296" t="s">
        <v>4987</v>
      </c>
      <c r="E528" s="4297">
        <v>4.1463869999999998</v>
      </c>
    </row>
    <row r="529" spans="2:5">
      <c r="B529" s="4296" t="s">
        <v>6323</v>
      </c>
      <c r="C529" s="4296" t="s">
        <v>7364</v>
      </c>
      <c r="D529" s="4296" t="s">
        <v>4987</v>
      </c>
      <c r="E529" s="4297">
        <v>4.1356799999999998</v>
      </c>
    </row>
    <row r="530" spans="2:5">
      <c r="B530" s="4296" t="s">
        <v>6325</v>
      </c>
      <c r="C530" s="4296" t="s">
        <v>8013</v>
      </c>
      <c r="D530" s="4296" t="s">
        <v>4674</v>
      </c>
      <c r="E530" s="4297">
        <v>4.1184759999999994</v>
      </c>
    </row>
    <row r="531" spans="2:5">
      <c r="B531" s="4296" t="s">
        <v>6327</v>
      </c>
      <c r="C531" s="4296" t="s">
        <v>8014</v>
      </c>
      <c r="D531" s="4296" t="s">
        <v>5222</v>
      </c>
      <c r="E531" s="4297">
        <v>4.0999999999999996</v>
      </c>
    </row>
    <row r="532" spans="2:5">
      <c r="B532" s="4296" t="s">
        <v>6329</v>
      </c>
      <c r="C532" s="4296" t="s">
        <v>8015</v>
      </c>
      <c r="D532" s="4296" t="s">
        <v>4897</v>
      </c>
      <c r="E532" s="4297">
        <v>4</v>
      </c>
    </row>
    <row r="533" spans="2:5">
      <c r="B533" s="4296" t="s">
        <v>6331</v>
      </c>
      <c r="C533" s="4296" t="s">
        <v>8016</v>
      </c>
      <c r="D533" s="4296" t="s">
        <v>4897</v>
      </c>
      <c r="E533" s="4297">
        <v>4</v>
      </c>
    </row>
    <row r="534" spans="2:5">
      <c r="B534" s="4296" t="s">
        <v>6333</v>
      </c>
      <c r="C534" s="4296" t="s">
        <v>8017</v>
      </c>
      <c r="D534" s="4296" t="s">
        <v>4897</v>
      </c>
      <c r="E534" s="4297">
        <v>4</v>
      </c>
    </row>
    <row r="535" spans="2:5">
      <c r="B535" s="4296" t="s">
        <v>6335</v>
      </c>
      <c r="C535" s="4296" t="s">
        <v>8018</v>
      </c>
      <c r="D535" s="4296" t="s">
        <v>4897</v>
      </c>
      <c r="E535" s="4297">
        <v>4</v>
      </c>
    </row>
    <row r="536" spans="2:5">
      <c r="B536" s="4296" t="s">
        <v>6337</v>
      </c>
      <c r="C536" s="4296" t="s">
        <v>8019</v>
      </c>
      <c r="D536" s="4296" t="s">
        <v>4897</v>
      </c>
      <c r="E536" s="4297">
        <v>4</v>
      </c>
    </row>
    <row r="537" spans="2:5">
      <c r="B537" s="4296" t="s">
        <v>6339</v>
      </c>
      <c r="C537" s="4296" t="s">
        <v>8020</v>
      </c>
      <c r="D537" s="4296" t="s">
        <v>4897</v>
      </c>
      <c r="E537" s="4297">
        <v>4</v>
      </c>
    </row>
    <row r="538" spans="2:5">
      <c r="B538" s="4296" t="s">
        <v>6341</v>
      </c>
      <c r="C538" s="4296" t="s">
        <v>8021</v>
      </c>
      <c r="D538" s="4296" t="s">
        <v>4897</v>
      </c>
      <c r="E538" s="4297">
        <v>4</v>
      </c>
    </row>
    <row r="539" spans="2:5">
      <c r="B539" s="4296" t="s">
        <v>6343</v>
      </c>
      <c r="C539" s="4296" t="s">
        <v>8022</v>
      </c>
      <c r="D539" s="4296" t="s">
        <v>4897</v>
      </c>
      <c r="E539" s="4297">
        <v>4</v>
      </c>
    </row>
    <row r="540" spans="2:5">
      <c r="B540" s="4296" t="s">
        <v>6345</v>
      </c>
      <c r="C540" s="4296" t="s">
        <v>8023</v>
      </c>
      <c r="D540" s="4296" t="s">
        <v>4897</v>
      </c>
      <c r="E540" s="4297">
        <v>4</v>
      </c>
    </row>
    <row r="541" spans="2:5">
      <c r="B541" s="4296" t="s">
        <v>6347</v>
      </c>
      <c r="C541" s="4296" t="s">
        <v>8024</v>
      </c>
      <c r="D541" s="4296" t="s">
        <v>4897</v>
      </c>
      <c r="E541" s="4297">
        <v>4</v>
      </c>
    </row>
    <row r="542" spans="2:5">
      <c r="B542" s="4296" t="s">
        <v>6349</v>
      </c>
      <c r="C542" s="4296" t="s">
        <v>8025</v>
      </c>
      <c r="D542" s="4296" t="s">
        <v>4897</v>
      </c>
      <c r="E542" s="4297">
        <v>4</v>
      </c>
    </row>
    <row r="543" spans="2:5">
      <c r="B543" s="4296" t="s">
        <v>6351</v>
      </c>
      <c r="C543" s="4296" t="s">
        <v>8026</v>
      </c>
      <c r="D543" s="4296" t="s">
        <v>5222</v>
      </c>
      <c r="E543" s="4297">
        <v>4</v>
      </c>
    </row>
    <row r="544" spans="2:5">
      <c r="B544" s="4296" t="s">
        <v>6353</v>
      </c>
      <c r="C544" s="4296" t="s">
        <v>8027</v>
      </c>
      <c r="D544" s="4296" t="s">
        <v>4674</v>
      </c>
      <c r="E544" s="4297">
        <v>3.9942299999999995</v>
      </c>
    </row>
    <row r="545" spans="2:5">
      <c r="B545" s="4296" t="s">
        <v>6355</v>
      </c>
      <c r="C545" s="4296" t="s">
        <v>8028</v>
      </c>
      <c r="D545" s="4296" t="s">
        <v>4674</v>
      </c>
      <c r="E545" s="4297">
        <v>3.970218</v>
      </c>
    </row>
    <row r="546" spans="2:5">
      <c r="B546" s="4296" t="s">
        <v>6357</v>
      </c>
      <c r="C546" s="4296" t="s">
        <v>8029</v>
      </c>
      <c r="D546" s="4296" t="s">
        <v>4674</v>
      </c>
      <c r="E546" s="4297">
        <v>3.9332800000000012</v>
      </c>
    </row>
    <row r="547" spans="2:5">
      <c r="B547" s="4296" t="s">
        <v>6359</v>
      </c>
      <c r="C547" s="4296" t="s">
        <v>7449</v>
      </c>
      <c r="D547" s="4296" t="s">
        <v>4897</v>
      </c>
      <c r="E547" s="4297">
        <v>3.8950830000000001</v>
      </c>
    </row>
    <row r="548" spans="2:5">
      <c r="B548" s="4296" t="s">
        <v>6361</v>
      </c>
      <c r="C548" s="4296" t="s">
        <v>7312</v>
      </c>
      <c r="D548" s="4296" t="s">
        <v>5149</v>
      </c>
      <c r="E548" s="4297">
        <v>3.8681999999999999</v>
      </c>
    </row>
    <row r="549" spans="2:5">
      <c r="B549" s="4296" t="s">
        <v>6363</v>
      </c>
      <c r="C549" s="4296" t="s">
        <v>8030</v>
      </c>
      <c r="D549" s="4296" t="s">
        <v>4987</v>
      </c>
      <c r="E549" s="4297">
        <v>3.8637000000000001</v>
      </c>
    </row>
    <row r="550" spans="2:5">
      <c r="B550" s="4296" t="s">
        <v>6365</v>
      </c>
      <c r="C550" s="4296" t="s">
        <v>8031</v>
      </c>
      <c r="D550" s="4296" t="s">
        <v>4897</v>
      </c>
      <c r="E550" s="4297">
        <v>3.8</v>
      </c>
    </row>
    <row r="551" spans="2:5">
      <c r="B551" s="4296" t="s">
        <v>6367</v>
      </c>
      <c r="C551" s="4296" t="s">
        <v>8032</v>
      </c>
      <c r="D551" s="4296" t="s">
        <v>4987</v>
      </c>
      <c r="E551" s="4297">
        <v>3.7495470000000002</v>
      </c>
    </row>
    <row r="552" spans="2:5">
      <c r="B552" s="4296" t="s">
        <v>6369</v>
      </c>
      <c r="C552" s="4296" t="s">
        <v>7129</v>
      </c>
      <c r="D552" s="4296" t="s">
        <v>4674</v>
      </c>
      <c r="E552" s="4297">
        <v>3.7268709999999992</v>
      </c>
    </row>
    <row r="553" spans="2:5">
      <c r="B553" s="4296" t="s">
        <v>6371</v>
      </c>
      <c r="C553" s="4296" t="s">
        <v>7196</v>
      </c>
      <c r="D553" s="4296" t="s">
        <v>4897</v>
      </c>
      <c r="E553" s="4297">
        <v>3.6701940000000004</v>
      </c>
    </row>
    <row r="554" spans="2:5">
      <c r="B554" s="4296" t="s">
        <v>6373</v>
      </c>
      <c r="C554" s="4296" t="s">
        <v>8033</v>
      </c>
      <c r="D554" s="4296" t="s">
        <v>5222</v>
      </c>
      <c r="E554" s="4297">
        <v>3.6309680000000002</v>
      </c>
    </row>
    <row r="555" spans="2:5">
      <c r="B555" s="4296" t="s">
        <v>6375</v>
      </c>
      <c r="C555" s="4296" t="s">
        <v>8034</v>
      </c>
      <c r="D555" s="4296" t="s">
        <v>4674</v>
      </c>
      <c r="E555" s="4297">
        <v>3.6042000000000001</v>
      </c>
    </row>
    <row r="556" spans="2:5">
      <c r="B556" s="4296" t="s">
        <v>6377</v>
      </c>
      <c r="C556" s="4296" t="s">
        <v>7258</v>
      </c>
      <c r="D556" s="4296" t="s">
        <v>5149</v>
      </c>
      <c r="E556" s="4297">
        <v>3.6038999999999999</v>
      </c>
    </row>
    <row r="557" spans="2:5">
      <c r="B557" s="4296" t="s">
        <v>6379</v>
      </c>
      <c r="C557" s="4296" t="s">
        <v>8035</v>
      </c>
      <c r="D557" s="4296" t="s">
        <v>5222</v>
      </c>
      <c r="E557" s="4297">
        <v>3.6</v>
      </c>
    </row>
    <row r="558" spans="2:5">
      <c r="B558" s="4296" t="s">
        <v>6381</v>
      </c>
      <c r="C558" s="4296" t="s">
        <v>8036</v>
      </c>
      <c r="D558" s="4296" t="s">
        <v>4987</v>
      </c>
      <c r="E558" s="4297">
        <v>3.5164800000000005</v>
      </c>
    </row>
    <row r="559" spans="2:5">
      <c r="B559" s="4296" t="s">
        <v>6383</v>
      </c>
      <c r="C559" s="4296" t="s">
        <v>8037</v>
      </c>
      <c r="D559" s="4296" t="s">
        <v>4897</v>
      </c>
      <c r="E559" s="4297">
        <v>3.5</v>
      </c>
    </row>
    <row r="560" spans="2:5">
      <c r="B560" s="4296" t="s">
        <v>6385</v>
      </c>
      <c r="C560" s="4296" t="s">
        <v>8038</v>
      </c>
      <c r="D560" s="4296" t="s">
        <v>4897</v>
      </c>
      <c r="E560" s="4297">
        <v>3.5</v>
      </c>
    </row>
    <row r="561" spans="2:5">
      <c r="B561" s="4296" t="s">
        <v>6387</v>
      </c>
      <c r="C561" s="4296" t="s">
        <v>8039</v>
      </c>
      <c r="D561" s="4296" t="s">
        <v>4897</v>
      </c>
      <c r="E561" s="4297">
        <v>3.5</v>
      </c>
    </row>
    <row r="562" spans="2:5">
      <c r="B562" s="4296" t="s">
        <v>6389</v>
      </c>
      <c r="C562" s="4296" t="s">
        <v>8040</v>
      </c>
      <c r="D562" s="4296" t="s">
        <v>4897</v>
      </c>
      <c r="E562" s="4297">
        <v>3.5</v>
      </c>
    </row>
    <row r="563" spans="2:5">
      <c r="B563" s="4296" t="s">
        <v>6391</v>
      </c>
      <c r="C563" s="4296" t="s">
        <v>8041</v>
      </c>
      <c r="D563" s="4296" t="s">
        <v>4897</v>
      </c>
      <c r="E563" s="4297">
        <v>3.5</v>
      </c>
    </row>
    <row r="564" spans="2:5">
      <c r="B564" s="4296" t="s">
        <v>6393</v>
      </c>
      <c r="C564" s="4296" t="s">
        <v>8042</v>
      </c>
      <c r="D564" s="4296" t="s">
        <v>5222</v>
      </c>
      <c r="E564" s="4297">
        <v>3.5</v>
      </c>
    </row>
    <row r="565" spans="2:5">
      <c r="B565" s="4296" t="s">
        <v>6395</v>
      </c>
      <c r="C565" s="4296" t="s">
        <v>7263</v>
      </c>
      <c r="D565" s="4296" t="s">
        <v>4897</v>
      </c>
      <c r="E565" s="4297">
        <v>3.48</v>
      </c>
    </row>
    <row r="566" spans="2:5">
      <c r="B566" s="4296" t="s">
        <v>6397</v>
      </c>
      <c r="C566" s="4296" t="s">
        <v>7158</v>
      </c>
      <c r="D566" s="4296" t="s">
        <v>4674</v>
      </c>
      <c r="E566" s="4297">
        <v>3.48</v>
      </c>
    </row>
    <row r="567" spans="2:5">
      <c r="B567" s="4296" t="s">
        <v>6399</v>
      </c>
      <c r="C567" s="4296" t="s">
        <v>8043</v>
      </c>
      <c r="D567" s="4296" t="s">
        <v>4674</v>
      </c>
      <c r="E567" s="4297">
        <v>3.4529000000000001</v>
      </c>
    </row>
    <row r="568" spans="2:5">
      <c r="B568" s="4296" t="s">
        <v>6401</v>
      </c>
      <c r="C568" s="4296" t="s">
        <v>8044</v>
      </c>
      <c r="D568" s="4296" t="s">
        <v>4987</v>
      </c>
      <c r="E568" s="4297">
        <v>3.4239999999999999</v>
      </c>
    </row>
    <row r="569" spans="2:5">
      <c r="B569" s="4296" t="s">
        <v>6403</v>
      </c>
      <c r="C569" s="4287" t="s">
        <v>8045</v>
      </c>
      <c r="D569" s="4287" t="s">
        <v>5234</v>
      </c>
      <c r="E569" s="4297">
        <v>3.4043199999999998</v>
      </c>
    </row>
    <row r="570" spans="2:5">
      <c r="B570" s="4296" t="s">
        <v>6405</v>
      </c>
      <c r="C570" s="4296" t="s">
        <v>7434</v>
      </c>
      <c r="D570" s="4296" t="s">
        <v>4987</v>
      </c>
      <c r="E570" s="4297">
        <v>3.3957000000000002</v>
      </c>
    </row>
    <row r="571" spans="2:5">
      <c r="B571" s="4296" t="s">
        <v>6407</v>
      </c>
      <c r="C571" s="4296" t="s">
        <v>5527</v>
      </c>
      <c r="D571" s="4296" t="s">
        <v>4674</v>
      </c>
      <c r="E571" s="4297">
        <v>3.3846629999999998</v>
      </c>
    </row>
    <row r="572" spans="2:5">
      <c r="B572" s="4296" t="s">
        <v>6409</v>
      </c>
      <c r="C572" s="4296" t="s">
        <v>8046</v>
      </c>
      <c r="D572" s="4296" t="s">
        <v>5222</v>
      </c>
      <c r="E572" s="4297">
        <v>3.3715080000000004</v>
      </c>
    </row>
    <row r="573" spans="2:5">
      <c r="B573" s="4296" t="s">
        <v>6411</v>
      </c>
      <c r="C573" s="4296" t="s">
        <v>8047</v>
      </c>
      <c r="D573" s="4296" t="s">
        <v>4897</v>
      </c>
      <c r="E573" s="4297">
        <v>3.36</v>
      </c>
    </row>
    <row r="574" spans="2:5">
      <c r="B574" s="4296" t="s">
        <v>6413</v>
      </c>
      <c r="C574" s="4296" t="s">
        <v>8048</v>
      </c>
      <c r="D574" s="4296" t="s">
        <v>4897</v>
      </c>
      <c r="E574" s="4297">
        <v>3.35</v>
      </c>
    </row>
    <row r="575" spans="2:5">
      <c r="B575" s="4296" t="s">
        <v>6415</v>
      </c>
      <c r="C575" s="4287" t="s">
        <v>6566</v>
      </c>
      <c r="D575" s="4287" t="s">
        <v>5149</v>
      </c>
      <c r="E575" s="4297">
        <v>3.3310110000000002</v>
      </c>
    </row>
    <row r="576" spans="2:5">
      <c r="B576" s="4296" t="s">
        <v>6417</v>
      </c>
      <c r="C576" s="4296" t="s">
        <v>8049</v>
      </c>
      <c r="D576" s="4296" t="s">
        <v>4897</v>
      </c>
      <c r="E576" s="4297">
        <v>3.3</v>
      </c>
    </row>
    <row r="577" spans="2:5">
      <c r="B577" s="4296" t="s">
        <v>6419</v>
      </c>
      <c r="C577" s="4296" t="s">
        <v>8050</v>
      </c>
      <c r="D577" s="4296" t="s">
        <v>4897</v>
      </c>
      <c r="E577" s="4297">
        <v>3.3</v>
      </c>
    </row>
    <row r="578" spans="2:5">
      <c r="B578" s="4296" t="s">
        <v>6421</v>
      </c>
      <c r="C578" s="4296" t="s">
        <v>8051</v>
      </c>
      <c r="D578" s="4296" t="s">
        <v>4897</v>
      </c>
      <c r="E578" s="4297">
        <v>3.3</v>
      </c>
    </row>
    <row r="579" spans="2:5">
      <c r="B579" s="4296" t="s">
        <v>6423</v>
      </c>
      <c r="C579" s="4296" t="s">
        <v>8052</v>
      </c>
      <c r="D579" s="4296" t="s">
        <v>4897</v>
      </c>
      <c r="E579" s="4297">
        <v>3.3</v>
      </c>
    </row>
    <row r="580" spans="2:5">
      <c r="B580" s="4296" t="s">
        <v>6425</v>
      </c>
      <c r="C580" s="4296" t="s">
        <v>8053</v>
      </c>
      <c r="D580" s="4296" t="s">
        <v>4897</v>
      </c>
      <c r="E580" s="4297">
        <v>3.2621920000000006</v>
      </c>
    </row>
    <row r="581" spans="2:5">
      <c r="B581" s="4296" t="s">
        <v>6427</v>
      </c>
      <c r="C581" s="4296" t="s">
        <v>7421</v>
      </c>
      <c r="D581" s="4296" t="s">
        <v>4897</v>
      </c>
      <c r="E581" s="4297">
        <v>3.26</v>
      </c>
    </row>
    <row r="582" spans="2:5">
      <c r="B582" s="4296" t="s">
        <v>6429</v>
      </c>
      <c r="C582" s="4296" t="s">
        <v>7144</v>
      </c>
      <c r="D582" s="4296" t="s">
        <v>4674</v>
      </c>
      <c r="E582" s="4297">
        <v>3.2591410000000005</v>
      </c>
    </row>
    <row r="583" spans="2:5">
      <c r="B583" s="4296" t="s">
        <v>6431</v>
      </c>
      <c r="C583" s="4287" t="s">
        <v>8054</v>
      </c>
      <c r="D583" s="4287" t="s">
        <v>4674</v>
      </c>
      <c r="E583" s="4297">
        <v>3.2482340000000001</v>
      </c>
    </row>
    <row r="584" spans="2:5">
      <c r="B584" s="4296" t="s">
        <v>6433</v>
      </c>
      <c r="C584" s="4296" t="s">
        <v>8055</v>
      </c>
      <c r="D584" s="4296" t="s">
        <v>4897</v>
      </c>
      <c r="E584" s="4297">
        <v>3.21</v>
      </c>
    </row>
    <row r="585" spans="2:5">
      <c r="B585" s="4296" t="s">
        <v>6435</v>
      </c>
      <c r="C585" s="4296" t="s">
        <v>8056</v>
      </c>
      <c r="D585" s="4296" t="s">
        <v>4897</v>
      </c>
      <c r="E585" s="4297">
        <v>3.2</v>
      </c>
    </row>
    <row r="586" spans="2:5">
      <c r="B586" s="4296" t="s">
        <v>6437</v>
      </c>
      <c r="C586" s="4296" t="s">
        <v>8057</v>
      </c>
      <c r="D586" s="4296" t="s">
        <v>4897</v>
      </c>
      <c r="E586" s="4297">
        <v>3.2</v>
      </c>
    </row>
    <row r="587" spans="2:5">
      <c r="B587" s="4296" t="s">
        <v>6439</v>
      </c>
      <c r="C587" s="4296" t="s">
        <v>8058</v>
      </c>
      <c r="D587" s="4296" t="s">
        <v>4897</v>
      </c>
      <c r="E587" s="4297">
        <v>3.2</v>
      </c>
    </row>
    <row r="588" spans="2:5">
      <c r="B588" s="4296" t="s">
        <v>6441</v>
      </c>
      <c r="C588" s="4296" t="s">
        <v>8059</v>
      </c>
      <c r="D588" s="4296" t="s">
        <v>4897</v>
      </c>
      <c r="E588" s="4297">
        <v>3.2</v>
      </c>
    </row>
    <row r="589" spans="2:5">
      <c r="B589" s="4296" t="s">
        <v>6443</v>
      </c>
      <c r="C589" s="4296" t="s">
        <v>8060</v>
      </c>
      <c r="D589" s="4296" t="s">
        <v>4897</v>
      </c>
      <c r="E589" s="4297">
        <v>3.2</v>
      </c>
    </row>
    <row r="590" spans="2:5">
      <c r="B590" s="4296" t="s">
        <v>6445</v>
      </c>
      <c r="C590" s="4296" t="s">
        <v>7587</v>
      </c>
      <c r="D590" s="4296" t="s">
        <v>4897</v>
      </c>
      <c r="E590" s="4297">
        <v>3.2</v>
      </c>
    </row>
    <row r="591" spans="2:5">
      <c r="B591" s="4296" t="s">
        <v>6447</v>
      </c>
      <c r="C591" s="4296" t="s">
        <v>7487</v>
      </c>
      <c r="D591" s="4296" t="s">
        <v>4987</v>
      </c>
      <c r="E591" s="4297">
        <v>3.177</v>
      </c>
    </row>
    <row r="592" spans="2:5">
      <c r="B592" s="4296" t="s">
        <v>6449</v>
      </c>
      <c r="C592" s="4296" t="s">
        <v>6336</v>
      </c>
      <c r="D592" s="4296" t="s">
        <v>4987</v>
      </c>
      <c r="E592" s="4297">
        <v>3.1716000000000002</v>
      </c>
    </row>
    <row r="593" spans="2:5">
      <c r="B593" s="4296" t="s">
        <v>6451</v>
      </c>
      <c r="C593" s="4296" t="s">
        <v>8061</v>
      </c>
      <c r="D593" s="4296" t="s">
        <v>4897</v>
      </c>
      <c r="E593" s="4297">
        <v>3.1</v>
      </c>
    </row>
    <row r="594" spans="2:5">
      <c r="B594" s="4296" t="s">
        <v>6453</v>
      </c>
      <c r="C594" s="4296" t="s">
        <v>8062</v>
      </c>
      <c r="D594" s="4296" t="s">
        <v>4897</v>
      </c>
      <c r="E594" s="4297">
        <v>3.1</v>
      </c>
    </row>
    <row r="595" spans="2:5">
      <c r="B595" s="4296" t="s">
        <v>6455</v>
      </c>
      <c r="C595" s="4296" t="s">
        <v>7215</v>
      </c>
      <c r="D595" s="4296" t="s">
        <v>4674</v>
      </c>
      <c r="E595" s="4297">
        <v>3.0680000000000001</v>
      </c>
    </row>
    <row r="596" spans="2:5">
      <c r="B596" s="4296" t="s">
        <v>6457</v>
      </c>
      <c r="C596" s="4296" t="s">
        <v>8063</v>
      </c>
      <c r="D596" s="4296" t="s">
        <v>4897</v>
      </c>
      <c r="E596" s="4297">
        <v>3.0579999999999998</v>
      </c>
    </row>
    <row r="597" spans="2:5">
      <c r="B597" s="4296" t="s">
        <v>6459</v>
      </c>
      <c r="C597" s="4296" t="s">
        <v>5308</v>
      </c>
      <c r="D597" s="4296" t="s">
        <v>4674</v>
      </c>
      <c r="E597" s="4297">
        <v>3.0276000000000001</v>
      </c>
    </row>
    <row r="598" spans="2:5">
      <c r="B598" s="4296" t="s">
        <v>6461</v>
      </c>
      <c r="C598" s="4296" t="s">
        <v>8064</v>
      </c>
      <c r="D598" s="4296" t="s">
        <v>5222</v>
      </c>
      <c r="E598" s="4297">
        <v>3.0000000000000004</v>
      </c>
    </row>
    <row r="599" spans="2:5">
      <c r="B599" s="4296" t="s">
        <v>6463</v>
      </c>
      <c r="C599" s="4296" t="s">
        <v>8065</v>
      </c>
      <c r="D599" s="4296" t="s">
        <v>4897</v>
      </c>
      <c r="E599" s="4297">
        <v>3</v>
      </c>
    </row>
    <row r="600" spans="2:5">
      <c r="B600" s="4296" t="s">
        <v>6465</v>
      </c>
      <c r="C600" s="4296" t="s">
        <v>8066</v>
      </c>
      <c r="D600" s="4296" t="s">
        <v>4897</v>
      </c>
      <c r="E600" s="4297">
        <v>3</v>
      </c>
    </row>
    <row r="601" spans="2:5">
      <c r="B601" s="4296" t="s">
        <v>6467</v>
      </c>
      <c r="C601" s="4296" t="s">
        <v>8067</v>
      </c>
      <c r="D601" s="4296" t="s">
        <v>4897</v>
      </c>
      <c r="E601" s="4297">
        <v>3</v>
      </c>
    </row>
    <row r="602" spans="2:5">
      <c r="B602" s="4296" t="s">
        <v>6469</v>
      </c>
      <c r="C602" s="4296" t="s">
        <v>8068</v>
      </c>
      <c r="D602" s="4296" t="s">
        <v>4897</v>
      </c>
      <c r="E602" s="4297">
        <v>3</v>
      </c>
    </row>
    <row r="603" spans="2:5">
      <c r="B603" s="4296" t="s">
        <v>6471</v>
      </c>
      <c r="C603" s="4296" t="s">
        <v>8069</v>
      </c>
      <c r="D603" s="4296" t="s">
        <v>4897</v>
      </c>
      <c r="E603" s="4297">
        <v>3</v>
      </c>
    </row>
    <row r="604" spans="2:5">
      <c r="B604" s="4296" t="s">
        <v>6473</v>
      </c>
      <c r="C604" s="4296" t="s">
        <v>8070</v>
      </c>
      <c r="D604" s="4296" t="s">
        <v>4897</v>
      </c>
      <c r="E604" s="4297">
        <v>3</v>
      </c>
    </row>
    <row r="605" spans="2:5">
      <c r="B605" s="4296" t="s">
        <v>6475</v>
      </c>
      <c r="C605" s="4296" t="s">
        <v>8071</v>
      </c>
      <c r="D605" s="4296" t="s">
        <v>4897</v>
      </c>
      <c r="E605" s="4297">
        <v>3</v>
      </c>
    </row>
    <row r="606" spans="2:5">
      <c r="B606" s="4296" t="s">
        <v>6477</v>
      </c>
      <c r="C606" s="4296" t="s">
        <v>8072</v>
      </c>
      <c r="D606" s="4296" t="s">
        <v>4897</v>
      </c>
      <c r="E606" s="4297">
        <v>3</v>
      </c>
    </row>
    <row r="607" spans="2:5">
      <c r="B607" s="4296" t="s">
        <v>6479</v>
      </c>
      <c r="C607" s="4296" t="s">
        <v>8073</v>
      </c>
      <c r="D607" s="4296" t="s">
        <v>4897</v>
      </c>
      <c r="E607" s="4297">
        <v>3</v>
      </c>
    </row>
    <row r="608" spans="2:5">
      <c r="B608" s="4296" t="s">
        <v>6481</v>
      </c>
      <c r="C608" s="4296" t="s">
        <v>8074</v>
      </c>
      <c r="D608" s="4296" t="s">
        <v>4897</v>
      </c>
      <c r="E608" s="4297">
        <v>3</v>
      </c>
    </row>
    <row r="609" spans="2:5">
      <c r="B609" s="4296" t="s">
        <v>6483</v>
      </c>
      <c r="C609" s="4296" t="s">
        <v>8075</v>
      </c>
      <c r="D609" s="4296" t="s">
        <v>4897</v>
      </c>
      <c r="E609" s="4297">
        <v>3</v>
      </c>
    </row>
    <row r="610" spans="2:5">
      <c r="B610" s="4296" t="s">
        <v>6485</v>
      </c>
      <c r="C610" s="4296" t="s">
        <v>8076</v>
      </c>
      <c r="D610" s="4296" t="s">
        <v>4897</v>
      </c>
      <c r="E610" s="4297">
        <v>3</v>
      </c>
    </row>
    <row r="611" spans="2:5">
      <c r="B611" s="4296" t="s">
        <v>6487</v>
      </c>
      <c r="C611" s="4296" t="s">
        <v>8077</v>
      </c>
      <c r="D611" s="4296" t="s">
        <v>4897</v>
      </c>
      <c r="E611" s="4297">
        <v>3</v>
      </c>
    </row>
    <row r="612" spans="2:5">
      <c r="B612" s="4296" t="s">
        <v>6489</v>
      </c>
      <c r="C612" s="4296" t="s">
        <v>8078</v>
      </c>
      <c r="D612" s="4296" t="s">
        <v>4897</v>
      </c>
      <c r="E612" s="4297">
        <v>3</v>
      </c>
    </row>
    <row r="613" spans="2:5">
      <c r="B613" s="4296" t="s">
        <v>6491</v>
      </c>
      <c r="C613" s="4296" t="s">
        <v>8079</v>
      </c>
      <c r="D613" s="4296" t="s">
        <v>4897</v>
      </c>
      <c r="E613" s="4297">
        <v>3</v>
      </c>
    </row>
    <row r="614" spans="2:5">
      <c r="B614" s="4296" t="s">
        <v>6493</v>
      </c>
      <c r="C614" s="4296" t="s">
        <v>7439</v>
      </c>
      <c r="D614" s="4296" t="s">
        <v>4897</v>
      </c>
      <c r="E614" s="4297">
        <v>3</v>
      </c>
    </row>
    <row r="615" spans="2:5">
      <c r="B615" s="4296" t="s">
        <v>6495</v>
      </c>
      <c r="C615" s="4296" t="s">
        <v>8080</v>
      </c>
      <c r="D615" s="4296" t="s">
        <v>4897</v>
      </c>
      <c r="E615" s="4297">
        <v>3</v>
      </c>
    </row>
    <row r="616" spans="2:5">
      <c r="B616" s="4296" t="s">
        <v>6497</v>
      </c>
      <c r="C616" s="4296" t="s">
        <v>8081</v>
      </c>
      <c r="D616" s="4296" t="s">
        <v>5222</v>
      </c>
      <c r="E616" s="4297">
        <v>3</v>
      </c>
    </row>
    <row r="617" spans="2:5">
      <c r="B617" s="4296" t="s">
        <v>6499</v>
      </c>
      <c r="C617" s="4296" t="s">
        <v>8082</v>
      </c>
      <c r="D617" s="4296" t="s">
        <v>5222</v>
      </c>
      <c r="E617" s="4297">
        <v>3</v>
      </c>
    </row>
    <row r="618" spans="2:5">
      <c r="B618" s="4296" t="s">
        <v>6501</v>
      </c>
      <c r="C618" s="4296" t="s">
        <v>8083</v>
      </c>
      <c r="D618" s="4296" t="s">
        <v>5222</v>
      </c>
      <c r="E618" s="4297">
        <v>3</v>
      </c>
    </row>
    <row r="619" spans="2:5">
      <c r="B619" s="4296" t="s">
        <v>6503</v>
      </c>
      <c r="C619" s="4296" t="s">
        <v>8084</v>
      </c>
      <c r="D619" s="4296" t="s">
        <v>4897</v>
      </c>
      <c r="E619" s="4297">
        <v>2.9999999999999996</v>
      </c>
    </row>
    <row r="620" spans="2:5">
      <c r="B620" s="4296" t="s">
        <v>6505</v>
      </c>
      <c r="C620" s="4296" t="s">
        <v>8085</v>
      </c>
      <c r="D620" s="4296" t="s">
        <v>4897</v>
      </c>
      <c r="E620" s="4297">
        <v>2.9999999999999996</v>
      </c>
    </row>
    <row r="621" spans="2:5">
      <c r="B621" s="4296" t="s">
        <v>6507</v>
      </c>
      <c r="C621" s="4296" t="s">
        <v>7147</v>
      </c>
      <c r="D621" s="4296" t="s">
        <v>4674</v>
      </c>
      <c r="E621" s="4297">
        <v>2.9842629999999999</v>
      </c>
    </row>
    <row r="622" spans="2:5">
      <c r="B622" s="4296" t="s">
        <v>6509</v>
      </c>
      <c r="C622" s="4296" t="s">
        <v>8086</v>
      </c>
      <c r="D622" s="4296" t="s">
        <v>5149</v>
      </c>
      <c r="E622" s="4297">
        <v>2.9798079999999993</v>
      </c>
    </row>
    <row r="623" spans="2:5">
      <c r="B623" s="4296" t="s">
        <v>6511</v>
      </c>
      <c r="C623" s="4296" t="s">
        <v>8087</v>
      </c>
      <c r="D623" s="4296" t="s">
        <v>4674</v>
      </c>
      <c r="E623" s="4297">
        <v>2.9586600000000001</v>
      </c>
    </row>
    <row r="624" spans="2:5">
      <c r="B624" s="4296" t="s">
        <v>6513</v>
      </c>
      <c r="C624" s="4296" t="s">
        <v>7083</v>
      </c>
      <c r="D624" s="4296" t="s">
        <v>4674</v>
      </c>
      <c r="E624" s="4297">
        <v>2.947092</v>
      </c>
    </row>
    <row r="625" spans="2:5">
      <c r="B625" s="4296" t="s">
        <v>6515</v>
      </c>
      <c r="C625" s="4296" t="s">
        <v>7358</v>
      </c>
      <c r="D625" s="4296" t="s">
        <v>4897</v>
      </c>
      <c r="E625" s="4297">
        <v>2.94</v>
      </c>
    </row>
    <row r="626" spans="2:5">
      <c r="B626" s="4296" t="s">
        <v>6517</v>
      </c>
      <c r="C626" s="4296" t="s">
        <v>8088</v>
      </c>
      <c r="D626" s="4296" t="s">
        <v>4674</v>
      </c>
      <c r="E626" s="4297">
        <v>2.8915700000000002</v>
      </c>
    </row>
    <row r="627" spans="2:5">
      <c r="B627" s="4296" t="s">
        <v>6519</v>
      </c>
      <c r="C627" s="4296" t="s">
        <v>8089</v>
      </c>
      <c r="D627" s="4296" t="s">
        <v>4674</v>
      </c>
      <c r="E627" s="4297">
        <v>2.8740000000000001</v>
      </c>
    </row>
    <row r="628" spans="2:5">
      <c r="B628" s="4296" t="s">
        <v>6521</v>
      </c>
      <c r="C628" s="4296" t="s">
        <v>8090</v>
      </c>
      <c r="D628" s="4296" t="s">
        <v>4897</v>
      </c>
      <c r="E628" s="4297">
        <v>2.8500000000000005</v>
      </c>
    </row>
    <row r="629" spans="2:5">
      <c r="B629" s="4296" t="s">
        <v>6523</v>
      </c>
      <c r="C629" s="4296" t="s">
        <v>8091</v>
      </c>
      <c r="D629" s="4296" t="s">
        <v>4897</v>
      </c>
      <c r="E629" s="4297">
        <v>2.85</v>
      </c>
    </row>
    <row r="630" spans="2:5">
      <c r="B630" s="4296" t="s">
        <v>6525</v>
      </c>
      <c r="C630" s="4296" t="s">
        <v>8092</v>
      </c>
      <c r="D630" s="4296" t="s">
        <v>4897</v>
      </c>
      <c r="E630" s="4297">
        <v>2.85</v>
      </c>
    </row>
    <row r="631" spans="2:5">
      <c r="B631" s="4296" t="s">
        <v>6527</v>
      </c>
      <c r="C631" s="4296" t="s">
        <v>8093</v>
      </c>
      <c r="D631" s="4296" t="s">
        <v>4897</v>
      </c>
      <c r="E631" s="4297">
        <v>2.85</v>
      </c>
    </row>
    <row r="632" spans="2:5">
      <c r="B632" s="4296" t="s">
        <v>6529</v>
      </c>
      <c r="C632" s="4296" t="s">
        <v>8094</v>
      </c>
      <c r="D632" s="4296" t="s">
        <v>4897</v>
      </c>
      <c r="E632" s="4297">
        <v>2.8499999999999996</v>
      </c>
    </row>
    <row r="633" spans="2:5">
      <c r="B633" s="4296" t="s">
        <v>6531</v>
      </c>
      <c r="C633" s="4296" t="s">
        <v>8095</v>
      </c>
      <c r="D633" s="4296" t="s">
        <v>5222</v>
      </c>
      <c r="E633" s="4297">
        <v>2.837297</v>
      </c>
    </row>
    <row r="634" spans="2:5">
      <c r="B634" s="4296" t="s">
        <v>6533</v>
      </c>
      <c r="C634" s="4296" t="s">
        <v>8096</v>
      </c>
      <c r="D634" s="4296" t="s">
        <v>4987</v>
      </c>
      <c r="E634" s="4297">
        <v>2.8237000000000001</v>
      </c>
    </row>
    <row r="635" spans="2:5">
      <c r="B635" s="4296" t="s">
        <v>6535</v>
      </c>
      <c r="C635" s="4296" t="s">
        <v>8097</v>
      </c>
      <c r="D635" s="4296" t="s">
        <v>4897</v>
      </c>
      <c r="E635" s="4297">
        <v>2.8</v>
      </c>
    </row>
    <row r="636" spans="2:5">
      <c r="B636" s="4296" t="s">
        <v>6537</v>
      </c>
      <c r="C636" s="4296" t="s">
        <v>8098</v>
      </c>
      <c r="D636" s="4296" t="s">
        <v>4897</v>
      </c>
      <c r="E636" s="4297">
        <v>2.8</v>
      </c>
    </row>
    <row r="637" spans="2:5">
      <c r="B637" s="4296" t="s">
        <v>6539</v>
      </c>
      <c r="C637" s="4296" t="s">
        <v>8099</v>
      </c>
      <c r="D637" s="4296" t="s">
        <v>4897</v>
      </c>
      <c r="E637" s="4297">
        <v>2.8</v>
      </c>
    </row>
    <row r="638" spans="2:5">
      <c r="B638" s="4296" t="s">
        <v>6541</v>
      </c>
      <c r="C638" s="4296" t="s">
        <v>7438</v>
      </c>
      <c r="D638" s="4296" t="s">
        <v>4987</v>
      </c>
      <c r="E638" s="4297">
        <v>2.7931200000000005</v>
      </c>
    </row>
    <row r="639" spans="2:5">
      <c r="B639" s="4296" t="s">
        <v>6543</v>
      </c>
      <c r="C639" s="4296" t="s">
        <v>8100</v>
      </c>
      <c r="D639" s="4296" t="s">
        <v>4897</v>
      </c>
      <c r="E639" s="4297">
        <v>2.79</v>
      </c>
    </row>
    <row r="640" spans="2:5">
      <c r="B640" s="4296" t="s">
        <v>6545</v>
      </c>
      <c r="C640" s="4296" t="s">
        <v>8101</v>
      </c>
      <c r="D640" s="4296" t="s">
        <v>4897</v>
      </c>
      <c r="E640" s="4297">
        <v>2.7847</v>
      </c>
    </row>
    <row r="641" spans="2:5">
      <c r="B641" s="4296" t="s">
        <v>6547</v>
      </c>
      <c r="C641" s="4296" t="s">
        <v>8102</v>
      </c>
      <c r="D641" s="4296" t="s">
        <v>4897</v>
      </c>
      <c r="E641" s="4297">
        <v>2.7810000000000001</v>
      </c>
    </row>
    <row r="642" spans="2:5">
      <c r="B642" s="4296" t="s">
        <v>6549</v>
      </c>
      <c r="C642" s="4296" t="s">
        <v>7174</v>
      </c>
      <c r="D642" s="4296" t="s">
        <v>5222</v>
      </c>
      <c r="E642" s="4297">
        <v>2.769231</v>
      </c>
    </row>
    <row r="643" spans="2:5">
      <c r="B643" s="4296" t="s">
        <v>6551</v>
      </c>
      <c r="C643" s="4296" t="s">
        <v>7578</v>
      </c>
      <c r="D643" s="4296" t="s">
        <v>4987</v>
      </c>
      <c r="E643" s="4297">
        <v>2.7191999999999998</v>
      </c>
    </row>
    <row r="644" spans="2:5">
      <c r="B644" s="4296" t="s">
        <v>6553</v>
      </c>
      <c r="C644" s="4296" t="s">
        <v>8103</v>
      </c>
      <c r="D644" s="4296" t="s">
        <v>5222</v>
      </c>
      <c r="E644" s="4297">
        <v>2.71</v>
      </c>
    </row>
    <row r="645" spans="2:5">
      <c r="B645" s="4296" t="s">
        <v>6555</v>
      </c>
      <c r="C645" s="4296" t="s">
        <v>8104</v>
      </c>
      <c r="D645" s="4296" t="s">
        <v>4897</v>
      </c>
      <c r="E645" s="4297">
        <v>2.7</v>
      </c>
    </row>
    <row r="646" spans="2:5">
      <c r="B646" s="4296" t="s">
        <v>6557</v>
      </c>
      <c r="C646" s="4296" t="s">
        <v>8105</v>
      </c>
      <c r="D646" s="4296" t="s">
        <v>4897</v>
      </c>
      <c r="E646" s="4297">
        <v>2.7</v>
      </c>
    </row>
    <row r="647" spans="2:5">
      <c r="B647" s="4296" t="s">
        <v>6559</v>
      </c>
      <c r="C647" s="4296" t="s">
        <v>8106</v>
      </c>
      <c r="D647" s="4296" t="s">
        <v>4897</v>
      </c>
      <c r="E647" s="4297">
        <v>2.7</v>
      </c>
    </row>
    <row r="648" spans="2:5">
      <c r="B648" s="4296" t="s">
        <v>6561</v>
      </c>
      <c r="C648" s="4296" t="s">
        <v>8107</v>
      </c>
      <c r="D648" s="4296" t="s">
        <v>4897</v>
      </c>
      <c r="E648" s="4297">
        <v>2.7</v>
      </c>
    </row>
    <row r="649" spans="2:5">
      <c r="B649" s="4296" t="s">
        <v>6563</v>
      </c>
      <c r="C649" s="4296" t="s">
        <v>8108</v>
      </c>
      <c r="D649" s="4296" t="s">
        <v>4897</v>
      </c>
      <c r="E649" s="4297">
        <v>2.7</v>
      </c>
    </row>
    <row r="650" spans="2:5">
      <c r="B650" s="4296" t="s">
        <v>6565</v>
      </c>
      <c r="C650" s="4296" t="s">
        <v>8109</v>
      </c>
      <c r="D650" s="4296" t="s">
        <v>5222</v>
      </c>
      <c r="E650" s="4297">
        <v>2.7</v>
      </c>
    </row>
    <row r="651" spans="2:5">
      <c r="B651" s="4296" t="s">
        <v>6567</v>
      </c>
      <c r="C651" s="4296" t="s">
        <v>8110</v>
      </c>
      <c r="D651" s="4296" t="s">
        <v>5222</v>
      </c>
      <c r="E651" s="4297">
        <v>2.699999</v>
      </c>
    </row>
    <row r="652" spans="2:5">
      <c r="B652" s="4296" t="s">
        <v>6569</v>
      </c>
      <c r="C652" s="4296" t="s">
        <v>7140</v>
      </c>
      <c r="D652" s="4296" t="s">
        <v>4674</v>
      </c>
      <c r="E652" s="4297">
        <v>2.67584</v>
      </c>
    </row>
    <row r="653" spans="2:5">
      <c r="B653" s="4296" t="s">
        <v>6571</v>
      </c>
      <c r="C653" s="4296" t="s">
        <v>8111</v>
      </c>
      <c r="D653" s="4296" t="s">
        <v>5149</v>
      </c>
      <c r="E653" s="4297">
        <v>2.6657999999999999</v>
      </c>
    </row>
    <row r="654" spans="2:5">
      <c r="B654" s="4296" t="s">
        <v>6573</v>
      </c>
      <c r="C654" s="4296" t="s">
        <v>8112</v>
      </c>
      <c r="D654" s="4296" t="s">
        <v>4674</v>
      </c>
      <c r="E654" s="4297">
        <v>2.6607479999999994</v>
      </c>
    </row>
    <row r="655" spans="2:5">
      <c r="B655" s="4296" t="s">
        <v>6575</v>
      </c>
      <c r="C655" s="4296" t="s">
        <v>8113</v>
      </c>
      <c r="D655" s="4296" t="s">
        <v>5222</v>
      </c>
      <c r="E655" s="4297">
        <v>2.64</v>
      </c>
    </row>
    <row r="656" spans="2:5">
      <c r="B656" s="4296" t="s">
        <v>6577</v>
      </c>
      <c r="C656" s="4296" t="s">
        <v>7422</v>
      </c>
      <c r="D656" s="4296" t="s">
        <v>4987</v>
      </c>
      <c r="E656" s="4297">
        <v>2.6370399999999998</v>
      </c>
    </row>
    <row r="657" spans="2:5">
      <c r="B657" s="4296" t="s">
        <v>6579</v>
      </c>
      <c r="C657" s="4296" t="s">
        <v>8114</v>
      </c>
      <c r="D657" s="4296" t="s">
        <v>4897</v>
      </c>
      <c r="E657" s="4297">
        <v>2.6349999999999998</v>
      </c>
    </row>
    <row r="658" spans="2:5">
      <c r="B658" s="4296" t="s">
        <v>6581</v>
      </c>
      <c r="C658" s="4296" t="s">
        <v>7142</v>
      </c>
      <c r="D658" s="4296" t="s">
        <v>4674</v>
      </c>
      <c r="E658" s="4297">
        <v>2.61008</v>
      </c>
    </row>
    <row r="659" spans="2:5">
      <c r="B659" s="4296" t="s">
        <v>6583</v>
      </c>
      <c r="C659" s="4296" t="s">
        <v>7105</v>
      </c>
      <c r="D659" s="4296" t="s">
        <v>4897</v>
      </c>
      <c r="E659" s="4297">
        <v>2.6066660000000001</v>
      </c>
    </row>
    <row r="660" spans="2:5">
      <c r="B660" s="4296" t="s">
        <v>6585</v>
      </c>
      <c r="C660" s="4296" t="s">
        <v>7238</v>
      </c>
      <c r="D660" s="4296" t="s">
        <v>4897</v>
      </c>
      <c r="E660" s="4297">
        <v>2.6060439999999998</v>
      </c>
    </row>
    <row r="661" spans="2:5">
      <c r="B661" s="4296" t="s">
        <v>6587</v>
      </c>
      <c r="C661" s="4296" t="s">
        <v>7291</v>
      </c>
      <c r="D661" s="4296" t="s">
        <v>5222</v>
      </c>
      <c r="E661" s="4297">
        <v>2.6021740000000002</v>
      </c>
    </row>
    <row r="662" spans="2:5">
      <c r="B662" s="4296" t="s">
        <v>6589</v>
      </c>
      <c r="C662" s="4296" t="s">
        <v>8115</v>
      </c>
      <c r="D662" s="4296" t="s">
        <v>4897</v>
      </c>
      <c r="E662" s="4297">
        <v>2.6</v>
      </c>
    </row>
    <row r="663" spans="2:5">
      <c r="B663" s="4296" t="s">
        <v>6591</v>
      </c>
      <c r="C663" s="4296" t="s">
        <v>8116</v>
      </c>
      <c r="D663" s="4296" t="s">
        <v>4897</v>
      </c>
      <c r="E663" s="4297">
        <v>2.5799999999999996</v>
      </c>
    </row>
    <row r="664" spans="2:5">
      <c r="B664" s="4296" t="s">
        <v>6593</v>
      </c>
      <c r="C664" s="4296" t="s">
        <v>8117</v>
      </c>
      <c r="D664" s="4296" t="s">
        <v>4897</v>
      </c>
      <c r="E664" s="4297">
        <v>2.5799999999999996</v>
      </c>
    </row>
    <row r="665" spans="2:5">
      <c r="B665" s="4296" t="s">
        <v>6595</v>
      </c>
      <c r="C665" s="4296" t="s">
        <v>8118</v>
      </c>
      <c r="D665" s="4296" t="s">
        <v>4897</v>
      </c>
      <c r="E665" s="4297">
        <v>2.5499999999999998</v>
      </c>
    </row>
    <row r="666" spans="2:5">
      <c r="B666" s="4296" t="s">
        <v>6597</v>
      </c>
      <c r="C666" s="4296" t="s">
        <v>8119</v>
      </c>
      <c r="D666" s="4296" t="s">
        <v>4897</v>
      </c>
      <c r="E666" s="4297">
        <v>2.5499999999999998</v>
      </c>
    </row>
    <row r="667" spans="2:5">
      <c r="B667" s="4296" t="s">
        <v>6599</v>
      </c>
      <c r="C667" s="4296" t="s">
        <v>8120</v>
      </c>
      <c r="D667" s="4296" t="s">
        <v>5222</v>
      </c>
      <c r="E667" s="4297">
        <v>2.5258060000000002</v>
      </c>
    </row>
    <row r="668" spans="2:5">
      <c r="B668" s="4296" t="s">
        <v>6601</v>
      </c>
      <c r="C668" s="4296" t="s">
        <v>8121</v>
      </c>
      <c r="D668" s="4296" t="s">
        <v>4897</v>
      </c>
      <c r="E668" s="4297">
        <v>2.5</v>
      </c>
    </row>
    <row r="669" spans="2:5">
      <c r="B669" s="4296" t="s">
        <v>6603</v>
      </c>
      <c r="C669" s="4296" t="s">
        <v>8122</v>
      </c>
      <c r="D669" s="4296" t="s">
        <v>4897</v>
      </c>
      <c r="E669" s="4297">
        <v>2.5</v>
      </c>
    </row>
    <row r="670" spans="2:5">
      <c r="B670" s="4296" t="s">
        <v>6605</v>
      </c>
      <c r="C670" s="4296" t="s">
        <v>8123</v>
      </c>
      <c r="D670" s="4296" t="s">
        <v>4897</v>
      </c>
      <c r="E670" s="4297">
        <v>2.5</v>
      </c>
    </row>
    <row r="671" spans="2:5">
      <c r="B671" s="4296" t="s">
        <v>6607</v>
      </c>
      <c r="C671" s="4296" t="s">
        <v>8124</v>
      </c>
      <c r="D671" s="4296" t="s">
        <v>5222</v>
      </c>
      <c r="E671" s="4297">
        <v>2.5</v>
      </c>
    </row>
    <row r="672" spans="2:5">
      <c r="B672" s="4296" t="s">
        <v>6609</v>
      </c>
      <c r="C672" s="4296" t="s">
        <v>7507</v>
      </c>
      <c r="D672" s="4296" t="s">
        <v>5222</v>
      </c>
      <c r="E672" s="4297">
        <v>2.5</v>
      </c>
    </row>
    <row r="673" spans="2:5">
      <c r="B673" s="4296" t="s">
        <v>6611</v>
      </c>
      <c r="C673" s="4296" t="s">
        <v>8125</v>
      </c>
      <c r="D673" s="4296" t="s">
        <v>5222</v>
      </c>
      <c r="E673" s="4297">
        <v>2.5</v>
      </c>
    </row>
    <row r="674" spans="2:5">
      <c r="B674" s="4296" t="s">
        <v>6613</v>
      </c>
      <c r="C674" s="4296" t="s">
        <v>8126</v>
      </c>
      <c r="D674" s="4296" t="s">
        <v>4897</v>
      </c>
      <c r="E674" s="4297">
        <v>2.48</v>
      </c>
    </row>
    <row r="675" spans="2:5">
      <c r="B675" s="4296" t="s">
        <v>6615</v>
      </c>
      <c r="C675" s="4296" t="s">
        <v>8127</v>
      </c>
      <c r="D675" s="4296" t="s">
        <v>4897</v>
      </c>
      <c r="E675" s="4297">
        <v>2.4700000000000002</v>
      </c>
    </row>
    <row r="676" spans="2:5">
      <c r="B676" s="4296" t="s">
        <v>6617</v>
      </c>
      <c r="C676" s="4296" t="s">
        <v>8128</v>
      </c>
      <c r="D676" s="4296" t="s">
        <v>5222</v>
      </c>
      <c r="E676" s="4297">
        <v>2.4239999999999999</v>
      </c>
    </row>
    <row r="677" spans="2:5">
      <c r="B677" s="4296" t="s">
        <v>6619</v>
      </c>
      <c r="C677" s="4296" t="s">
        <v>7426</v>
      </c>
      <c r="D677" s="4296" t="s">
        <v>5231</v>
      </c>
      <c r="E677" s="4297">
        <v>2.416712</v>
      </c>
    </row>
    <row r="678" spans="2:5">
      <c r="B678" s="4296" t="s">
        <v>6621</v>
      </c>
      <c r="C678" s="4296" t="s">
        <v>8129</v>
      </c>
      <c r="D678" s="4296" t="s">
        <v>4897</v>
      </c>
      <c r="E678" s="4297">
        <v>2.406666</v>
      </c>
    </row>
    <row r="679" spans="2:5">
      <c r="B679" s="4296" t="s">
        <v>6623</v>
      </c>
      <c r="C679" s="4296" t="s">
        <v>8130</v>
      </c>
      <c r="D679" s="4296" t="s">
        <v>4897</v>
      </c>
      <c r="E679" s="4297">
        <v>2.4</v>
      </c>
    </row>
    <row r="680" spans="2:5">
      <c r="B680" s="4296" t="s">
        <v>6625</v>
      </c>
      <c r="C680" s="4296" t="s">
        <v>8131</v>
      </c>
      <c r="D680" s="4296" t="s">
        <v>4897</v>
      </c>
      <c r="E680" s="4297">
        <v>2.4</v>
      </c>
    </row>
    <row r="681" spans="2:5">
      <c r="B681" s="4296" t="s">
        <v>6627</v>
      </c>
      <c r="C681" s="4296" t="s">
        <v>7427</v>
      </c>
      <c r="D681" s="4296" t="s">
        <v>4897</v>
      </c>
      <c r="E681" s="4297">
        <v>2.4</v>
      </c>
    </row>
    <row r="682" spans="2:5">
      <c r="B682" s="4296" t="s">
        <v>6629</v>
      </c>
      <c r="C682" s="4296" t="s">
        <v>8132</v>
      </c>
      <c r="D682" s="4296" t="s">
        <v>5222</v>
      </c>
      <c r="E682" s="4297">
        <v>2.4</v>
      </c>
    </row>
    <row r="683" spans="2:5">
      <c r="B683" s="4296" t="s">
        <v>6631</v>
      </c>
      <c r="C683" s="4296" t="s">
        <v>8133</v>
      </c>
      <c r="D683" s="4296" t="s">
        <v>5222</v>
      </c>
      <c r="E683" s="4297">
        <v>2.4</v>
      </c>
    </row>
    <row r="684" spans="2:5">
      <c r="B684" s="4296" t="s">
        <v>6633</v>
      </c>
      <c r="C684" s="4296" t="s">
        <v>8134</v>
      </c>
      <c r="D684" s="4296" t="s">
        <v>5222</v>
      </c>
      <c r="E684" s="4297">
        <v>2.4</v>
      </c>
    </row>
    <row r="685" spans="2:5">
      <c r="B685" s="4296" t="s">
        <v>6635</v>
      </c>
      <c r="C685" s="4296" t="s">
        <v>8135</v>
      </c>
      <c r="D685" s="4296" t="s">
        <v>4897</v>
      </c>
      <c r="E685" s="4297">
        <v>2.3999999999999995</v>
      </c>
    </row>
    <row r="686" spans="2:5">
      <c r="B686" s="4296" t="s">
        <v>6637</v>
      </c>
      <c r="C686" s="4296" t="s">
        <v>5499</v>
      </c>
      <c r="D686" s="4296" t="s">
        <v>4674</v>
      </c>
      <c r="E686" s="4297">
        <v>2.3987400000000001</v>
      </c>
    </row>
    <row r="687" spans="2:5">
      <c r="B687" s="4296" t="s">
        <v>6639</v>
      </c>
      <c r="C687" s="4296" t="s">
        <v>8136</v>
      </c>
      <c r="D687" s="4296" t="s">
        <v>5222</v>
      </c>
      <c r="E687" s="4297">
        <v>2.3780480000000002</v>
      </c>
    </row>
    <row r="688" spans="2:5">
      <c r="B688" s="4296" t="s">
        <v>6641</v>
      </c>
      <c r="C688" s="4296" t="s">
        <v>8137</v>
      </c>
      <c r="D688" s="4296" t="s">
        <v>4897</v>
      </c>
      <c r="E688" s="4297">
        <v>2.3741940000000001</v>
      </c>
    </row>
    <row r="689" spans="2:5">
      <c r="B689" s="4296" t="s">
        <v>6643</v>
      </c>
      <c r="C689" s="4296" t="s">
        <v>7458</v>
      </c>
      <c r="D689" s="4296" t="s">
        <v>4897</v>
      </c>
      <c r="E689" s="4297">
        <v>2.3726100000000003</v>
      </c>
    </row>
    <row r="690" spans="2:5">
      <c r="B690" s="4296" t="s">
        <v>6645</v>
      </c>
      <c r="C690" s="4296" t="s">
        <v>8138</v>
      </c>
      <c r="D690" s="4296" t="s">
        <v>4897</v>
      </c>
      <c r="E690" s="4297">
        <v>2.34</v>
      </c>
    </row>
    <row r="691" spans="2:5">
      <c r="B691" s="4296" t="s">
        <v>6647</v>
      </c>
      <c r="C691" s="4296" t="s">
        <v>7521</v>
      </c>
      <c r="D691" s="4296" t="s">
        <v>4897</v>
      </c>
      <c r="E691" s="4297">
        <v>2.3175739999999996</v>
      </c>
    </row>
    <row r="692" spans="2:5">
      <c r="B692" s="4296" t="s">
        <v>6649</v>
      </c>
      <c r="C692" s="4296" t="s">
        <v>8139</v>
      </c>
      <c r="D692" s="4296" t="s">
        <v>4897</v>
      </c>
      <c r="E692" s="4297">
        <v>2.2999999999999998</v>
      </c>
    </row>
    <row r="693" spans="2:5">
      <c r="B693" s="4296" t="s">
        <v>6651</v>
      </c>
      <c r="C693" s="4296" t="s">
        <v>8140</v>
      </c>
      <c r="D693" s="4296" t="s">
        <v>4897</v>
      </c>
      <c r="E693" s="4297">
        <v>2.2999999999999998</v>
      </c>
    </row>
    <row r="694" spans="2:5">
      <c r="B694" s="4296" t="s">
        <v>6653</v>
      </c>
      <c r="C694" s="4296" t="s">
        <v>8141</v>
      </c>
      <c r="D694" s="4296" t="s">
        <v>4897</v>
      </c>
      <c r="E694" s="4297">
        <v>2.29</v>
      </c>
    </row>
    <row r="695" spans="2:5">
      <c r="B695" s="4296" t="s">
        <v>6655</v>
      </c>
      <c r="C695" s="4296" t="s">
        <v>8142</v>
      </c>
      <c r="D695" s="4296" t="s">
        <v>5222</v>
      </c>
      <c r="E695" s="4297">
        <v>2.286</v>
      </c>
    </row>
    <row r="696" spans="2:5">
      <c r="B696" s="4296" t="s">
        <v>6657</v>
      </c>
      <c r="C696" s="4296" t="s">
        <v>8143</v>
      </c>
      <c r="D696" s="4296" t="s">
        <v>5222</v>
      </c>
      <c r="E696" s="4297">
        <v>2.2799999999999998</v>
      </c>
    </row>
    <row r="697" spans="2:5">
      <c r="B697" s="4296" t="s">
        <v>6659</v>
      </c>
      <c r="C697" s="4296" t="s">
        <v>8144</v>
      </c>
      <c r="D697" s="4296" t="s">
        <v>5222</v>
      </c>
      <c r="E697" s="4297">
        <v>2.2616669999999996</v>
      </c>
    </row>
    <row r="698" spans="2:5">
      <c r="B698" s="4296" t="s">
        <v>6661</v>
      </c>
      <c r="C698" s="4296" t="s">
        <v>8145</v>
      </c>
      <c r="D698" s="4296" t="s">
        <v>4897</v>
      </c>
      <c r="E698" s="4297">
        <v>2.25</v>
      </c>
    </row>
    <row r="699" spans="2:5">
      <c r="B699" s="4296" t="s">
        <v>6663</v>
      </c>
      <c r="C699" s="4296" t="s">
        <v>8146</v>
      </c>
      <c r="D699" s="4296" t="s">
        <v>4897</v>
      </c>
      <c r="E699" s="4297">
        <v>2.25</v>
      </c>
    </row>
    <row r="700" spans="2:5">
      <c r="B700" s="4296" t="s">
        <v>6665</v>
      </c>
      <c r="C700" s="4296" t="s">
        <v>8147</v>
      </c>
      <c r="D700" s="4296" t="s">
        <v>4897</v>
      </c>
      <c r="E700" s="4297">
        <v>2.25</v>
      </c>
    </row>
    <row r="701" spans="2:5">
      <c r="B701" s="4296" t="s">
        <v>6667</v>
      </c>
      <c r="C701" s="4296" t="s">
        <v>8148</v>
      </c>
      <c r="D701" s="4296" t="s">
        <v>4987</v>
      </c>
      <c r="E701" s="4297">
        <v>2.2416210000000003</v>
      </c>
    </row>
    <row r="702" spans="2:5">
      <c r="B702" s="4296" t="s">
        <v>6669</v>
      </c>
      <c r="C702" s="4296" t="s">
        <v>8149</v>
      </c>
      <c r="D702" s="4296" t="s">
        <v>4897</v>
      </c>
      <c r="E702" s="4297">
        <v>2.2000000000000002</v>
      </c>
    </row>
    <row r="703" spans="2:5">
      <c r="B703" s="4296" t="s">
        <v>6671</v>
      </c>
      <c r="C703" s="4296" t="s">
        <v>8150</v>
      </c>
      <c r="D703" s="4296" t="s">
        <v>4897</v>
      </c>
      <c r="E703" s="4297">
        <v>2.2000000000000002</v>
      </c>
    </row>
    <row r="704" spans="2:5">
      <c r="B704" s="4296" t="s">
        <v>6673</v>
      </c>
      <c r="C704" s="4296" t="s">
        <v>8151</v>
      </c>
      <c r="D704" s="4296" t="s">
        <v>4897</v>
      </c>
      <c r="E704" s="4297">
        <v>2.2000000000000002</v>
      </c>
    </row>
    <row r="705" spans="2:5">
      <c r="B705" s="4296" t="s">
        <v>6675</v>
      </c>
      <c r="C705" s="4296" t="s">
        <v>8152</v>
      </c>
      <c r="D705" s="4296" t="s">
        <v>4897</v>
      </c>
      <c r="E705" s="4297">
        <v>2.2000000000000002</v>
      </c>
    </row>
    <row r="706" spans="2:5">
      <c r="B706" s="4296" t="s">
        <v>6677</v>
      </c>
      <c r="C706" s="4296" t="s">
        <v>8153</v>
      </c>
      <c r="D706" s="4296" t="s">
        <v>4897</v>
      </c>
      <c r="E706" s="4297">
        <v>2.2000000000000002</v>
      </c>
    </row>
    <row r="707" spans="2:5">
      <c r="B707" s="4296" t="s">
        <v>6679</v>
      </c>
      <c r="C707" s="4296" t="s">
        <v>8154</v>
      </c>
      <c r="D707" s="4296" t="s">
        <v>4897</v>
      </c>
      <c r="E707" s="4297">
        <v>2.2000000000000002</v>
      </c>
    </row>
    <row r="708" spans="2:5">
      <c r="B708" s="4296" t="s">
        <v>6681</v>
      </c>
      <c r="C708" s="4296" t="s">
        <v>8155</v>
      </c>
      <c r="D708" s="4296" t="s">
        <v>4897</v>
      </c>
      <c r="E708" s="4297">
        <v>2.2000000000000002</v>
      </c>
    </row>
    <row r="709" spans="2:5">
      <c r="B709" s="4296" t="s">
        <v>6683</v>
      </c>
      <c r="C709" s="4296" t="s">
        <v>8156</v>
      </c>
      <c r="D709" s="4296" t="s">
        <v>4897</v>
      </c>
      <c r="E709" s="4297">
        <v>2.2000000000000002</v>
      </c>
    </row>
    <row r="710" spans="2:5">
      <c r="B710" s="4296" t="s">
        <v>6685</v>
      </c>
      <c r="C710" s="4296" t="s">
        <v>8157</v>
      </c>
      <c r="D710" s="4296" t="s">
        <v>4897</v>
      </c>
      <c r="E710" s="4297">
        <v>2.2000000000000002</v>
      </c>
    </row>
    <row r="711" spans="2:5">
      <c r="B711" s="4296" t="s">
        <v>6687</v>
      </c>
      <c r="C711" s="4296" t="s">
        <v>8158</v>
      </c>
      <c r="D711" s="4296" t="s">
        <v>5222</v>
      </c>
      <c r="E711" s="4297">
        <v>2.2000000000000002</v>
      </c>
    </row>
    <row r="712" spans="2:5">
      <c r="B712" s="4296" t="s">
        <v>6689</v>
      </c>
      <c r="C712" s="4296" t="s">
        <v>8159</v>
      </c>
      <c r="D712" s="4296" t="s">
        <v>4987</v>
      </c>
      <c r="E712" s="4297">
        <v>2.1988800000000004</v>
      </c>
    </row>
    <row r="713" spans="2:5">
      <c r="B713" s="4296" t="s">
        <v>6691</v>
      </c>
      <c r="C713" s="4296" t="s">
        <v>7474</v>
      </c>
      <c r="D713" s="4296" t="s">
        <v>4987</v>
      </c>
      <c r="E713" s="4297">
        <v>2.1888000000000001</v>
      </c>
    </row>
    <row r="714" spans="2:5">
      <c r="B714" s="4296" t="s">
        <v>6693</v>
      </c>
      <c r="C714" s="4296" t="s">
        <v>8160</v>
      </c>
      <c r="D714" s="4296" t="s">
        <v>4897</v>
      </c>
      <c r="E714" s="4297">
        <v>2.17</v>
      </c>
    </row>
    <row r="715" spans="2:5">
      <c r="B715" s="4296" t="s">
        <v>6695</v>
      </c>
      <c r="C715" s="4296" t="s">
        <v>8161</v>
      </c>
      <c r="D715" s="4296" t="s">
        <v>4897</v>
      </c>
      <c r="E715" s="4297">
        <v>2.17</v>
      </c>
    </row>
    <row r="716" spans="2:5">
      <c r="B716" s="4296" t="s">
        <v>6697</v>
      </c>
      <c r="C716" s="4296" t="s">
        <v>5703</v>
      </c>
      <c r="D716" s="4296" t="s">
        <v>4674</v>
      </c>
      <c r="E716" s="4297">
        <v>2.1504150000000002</v>
      </c>
    </row>
    <row r="717" spans="2:5">
      <c r="B717" s="4296" t="s">
        <v>6699</v>
      </c>
      <c r="C717" s="4296" t="s">
        <v>8162</v>
      </c>
      <c r="D717" s="4296" t="s">
        <v>5149</v>
      </c>
      <c r="E717" s="4297">
        <v>2.1455000000000002</v>
      </c>
    </row>
    <row r="718" spans="2:5">
      <c r="B718" s="4296" t="s">
        <v>6701</v>
      </c>
      <c r="C718" s="4296" t="s">
        <v>7636</v>
      </c>
      <c r="D718" s="4296" t="s">
        <v>5232</v>
      </c>
      <c r="E718" s="4297">
        <v>2.1285010000000004</v>
      </c>
    </row>
    <row r="719" spans="2:5">
      <c r="B719" s="4296" t="s">
        <v>6703</v>
      </c>
      <c r="C719" s="4296" t="s">
        <v>7564</v>
      </c>
      <c r="D719" s="4296" t="s">
        <v>5222</v>
      </c>
      <c r="E719" s="4297">
        <v>2.1142859999999999</v>
      </c>
    </row>
    <row r="720" spans="2:5">
      <c r="B720" s="4296" t="s">
        <v>6705</v>
      </c>
      <c r="C720" s="4296" t="s">
        <v>8163</v>
      </c>
      <c r="D720" s="4296" t="s">
        <v>4897</v>
      </c>
      <c r="E720" s="4297">
        <v>2.1</v>
      </c>
    </row>
    <row r="721" spans="2:5">
      <c r="B721" s="4296" t="s">
        <v>6707</v>
      </c>
      <c r="C721" s="4296" t="s">
        <v>8164</v>
      </c>
      <c r="D721" s="4296" t="s">
        <v>4897</v>
      </c>
      <c r="E721" s="4297">
        <v>2.1</v>
      </c>
    </row>
    <row r="722" spans="2:5">
      <c r="B722" s="4296" t="s">
        <v>6709</v>
      </c>
      <c r="C722" s="4296" t="s">
        <v>8165</v>
      </c>
      <c r="D722" s="4296" t="s">
        <v>4897</v>
      </c>
      <c r="E722" s="4297">
        <v>2.1</v>
      </c>
    </row>
    <row r="723" spans="2:5">
      <c r="B723" s="4296" t="s">
        <v>6711</v>
      </c>
      <c r="C723" s="4296" t="s">
        <v>8166</v>
      </c>
      <c r="D723" s="4296" t="s">
        <v>5222</v>
      </c>
      <c r="E723" s="4297">
        <v>2.1</v>
      </c>
    </row>
    <row r="724" spans="2:5">
      <c r="B724" s="4296" t="s">
        <v>6713</v>
      </c>
      <c r="C724" s="4296" t="s">
        <v>8167</v>
      </c>
      <c r="D724" s="4296" t="s">
        <v>4987</v>
      </c>
      <c r="E724" s="4297">
        <v>2.0942500000000002</v>
      </c>
    </row>
    <row r="725" spans="2:5">
      <c r="B725" s="4296" t="s">
        <v>6715</v>
      </c>
      <c r="C725" s="4296" t="s">
        <v>7502</v>
      </c>
      <c r="D725" s="4296" t="s">
        <v>4897</v>
      </c>
      <c r="E725" s="4297">
        <v>2.0878779999999999</v>
      </c>
    </row>
    <row r="726" spans="2:5">
      <c r="B726" s="4296" t="s">
        <v>6717</v>
      </c>
      <c r="C726" s="4296" t="s">
        <v>7503</v>
      </c>
      <c r="D726" s="4296" t="s">
        <v>5222</v>
      </c>
      <c r="E726" s="4297">
        <v>2.0803750000000001</v>
      </c>
    </row>
    <row r="727" spans="2:5">
      <c r="B727" s="4296" t="s">
        <v>6719</v>
      </c>
      <c r="C727" s="4296" t="s">
        <v>8168</v>
      </c>
      <c r="D727" s="4296" t="s">
        <v>4897</v>
      </c>
      <c r="E727" s="4297">
        <v>2.0699999999999998</v>
      </c>
    </row>
    <row r="728" spans="2:5">
      <c r="B728" s="4296" t="s">
        <v>6721</v>
      </c>
      <c r="C728" s="4296" t="s">
        <v>8169</v>
      </c>
      <c r="D728" s="4296" t="s">
        <v>4987</v>
      </c>
      <c r="E728" s="4297">
        <v>2.0678400000000003</v>
      </c>
    </row>
    <row r="729" spans="2:5">
      <c r="B729" s="4296" t="s">
        <v>6723</v>
      </c>
      <c r="C729" s="4296" t="s">
        <v>7540</v>
      </c>
      <c r="D729" s="4296" t="s">
        <v>4897</v>
      </c>
      <c r="E729" s="4297">
        <v>2.0347819999999999</v>
      </c>
    </row>
    <row r="730" spans="2:5">
      <c r="B730" s="4296" t="s">
        <v>6725</v>
      </c>
      <c r="C730" s="4296" t="s">
        <v>8170</v>
      </c>
      <c r="D730" s="4296" t="s">
        <v>5222</v>
      </c>
      <c r="E730" s="4297">
        <v>2.0333330000000003</v>
      </c>
    </row>
    <row r="731" spans="2:5">
      <c r="B731" s="4296" t="s">
        <v>6727</v>
      </c>
      <c r="C731" s="4296" t="s">
        <v>7259</v>
      </c>
      <c r="D731" s="4296" t="s">
        <v>4674</v>
      </c>
      <c r="E731" s="4297">
        <v>2.0235849999999997</v>
      </c>
    </row>
    <row r="732" spans="2:5">
      <c r="B732" s="4296" t="s">
        <v>6729</v>
      </c>
      <c r="C732" s="4296" t="s">
        <v>8171</v>
      </c>
      <c r="D732" s="4296" t="s">
        <v>4897</v>
      </c>
      <c r="E732" s="4297">
        <v>2</v>
      </c>
    </row>
    <row r="733" spans="2:5">
      <c r="B733" s="4296" t="s">
        <v>6731</v>
      </c>
      <c r="C733" s="4296" t="s">
        <v>8172</v>
      </c>
      <c r="D733" s="4296" t="s">
        <v>4897</v>
      </c>
      <c r="E733" s="4297">
        <v>2</v>
      </c>
    </row>
    <row r="734" spans="2:5">
      <c r="B734" s="4296" t="s">
        <v>6733</v>
      </c>
      <c r="C734" s="4296" t="s">
        <v>8173</v>
      </c>
      <c r="D734" s="4296" t="s">
        <v>4897</v>
      </c>
      <c r="E734" s="4297">
        <v>2</v>
      </c>
    </row>
    <row r="735" spans="2:5">
      <c r="B735" s="4296" t="s">
        <v>6735</v>
      </c>
      <c r="C735" s="4296" t="s">
        <v>8174</v>
      </c>
      <c r="D735" s="4296" t="s">
        <v>4897</v>
      </c>
      <c r="E735" s="4297">
        <v>2</v>
      </c>
    </row>
    <row r="736" spans="2:5">
      <c r="B736" s="4296" t="s">
        <v>6737</v>
      </c>
      <c r="C736" s="4296" t="s">
        <v>8175</v>
      </c>
      <c r="D736" s="4296" t="s">
        <v>4897</v>
      </c>
      <c r="E736" s="4297">
        <v>2</v>
      </c>
    </row>
    <row r="737" spans="2:5">
      <c r="B737" s="4296" t="s">
        <v>6739</v>
      </c>
      <c r="C737" s="4296" t="s">
        <v>8176</v>
      </c>
      <c r="D737" s="4296" t="s">
        <v>4897</v>
      </c>
      <c r="E737" s="4297">
        <v>2</v>
      </c>
    </row>
    <row r="738" spans="2:5">
      <c r="B738" s="4296" t="s">
        <v>6741</v>
      </c>
      <c r="C738" s="4296" t="s">
        <v>8177</v>
      </c>
      <c r="D738" s="4296" t="s">
        <v>4897</v>
      </c>
      <c r="E738" s="4297">
        <v>2</v>
      </c>
    </row>
    <row r="739" spans="2:5">
      <c r="B739" s="4296" t="s">
        <v>6743</v>
      </c>
      <c r="C739" s="4296" t="s">
        <v>8178</v>
      </c>
      <c r="D739" s="4296" t="s">
        <v>4897</v>
      </c>
      <c r="E739" s="4297">
        <v>2</v>
      </c>
    </row>
    <row r="740" spans="2:5">
      <c r="B740" s="4296" t="s">
        <v>6745</v>
      </c>
      <c r="C740" s="4296" t="s">
        <v>8179</v>
      </c>
      <c r="D740" s="4296" t="s">
        <v>4897</v>
      </c>
      <c r="E740" s="4297">
        <v>2</v>
      </c>
    </row>
    <row r="741" spans="2:5">
      <c r="B741" s="4296" t="s">
        <v>6747</v>
      </c>
      <c r="C741" s="4296" t="s">
        <v>8180</v>
      </c>
      <c r="D741" s="4296" t="s">
        <v>4897</v>
      </c>
      <c r="E741" s="4297">
        <v>2</v>
      </c>
    </row>
    <row r="742" spans="2:5">
      <c r="B742" s="4296" t="s">
        <v>6749</v>
      </c>
      <c r="C742" s="4296" t="s">
        <v>8181</v>
      </c>
      <c r="D742" s="4296" t="s">
        <v>4897</v>
      </c>
      <c r="E742" s="4297">
        <v>2</v>
      </c>
    </row>
    <row r="743" spans="2:5">
      <c r="B743" s="4296" t="s">
        <v>6751</v>
      </c>
      <c r="C743" s="4296" t="s">
        <v>8182</v>
      </c>
      <c r="D743" s="4296" t="s">
        <v>4897</v>
      </c>
      <c r="E743" s="4297">
        <v>2</v>
      </c>
    </row>
    <row r="744" spans="2:5">
      <c r="B744" s="4296" t="s">
        <v>6753</v>
      </c>
      <c r="C744" s="4296" t="s">
        <v>8183</v>
      </c>
      <c r="D744" s="4296" t="s">
        <v>4897</v>
      </c>
      <c r="E744" s="4297">
        <v>2</v>
      </c>
    </row>
    <row r="745" spans="2:5">
      <c r="B745" s="4296" t="s">
        <v>6755</v>
      </c>
      <c r="C745" s="4296" t="s">
        <v>8184</v>
      </c>
      <c r="D745" s="4296" t="s">
        <v>5222</v>
      </c>
      <c r="E745" s="4297">
        <v>2</v>
      </c>
    </row>
    <row r="746" spans="2:5">
      <c r="B746" s="4296" t="s">
        <v>6757</v>
      </c>
      <c r="C746" s="4296" t="s">
        <v>8185</v>
      </c>
      <c r="D746" s="4296" t="s">
        <v>5222</v>
      </c>
      <c r="E746" s="4297">
        <v>2</v>
      </c>
    </row>
    <row r="747" spans="2:5">
      <c r="B747" s="4296" t="s">
        <v>6759</v>
      </c>
      <c r="C747" s="4296" t="s">
        <v>8186</v>
      </c>
      <c r="D747" s="4296" t="s">
        <v>5222</v>
      </c>
      <c r="E747" s="4297">
        <v>2</v>
      </c>
    </row>
    <row r="748" spans="2:5">
      <c r="B748" s="4296" t="s">
        <v>6761</v>
      </c>
      <c r="C748" s="4296" t="s">
        <v>8187</v>
      </c>
      <c r="D748" s="4296" t="s">
        <v>5222</v>
      </c>
      <c r="E748" s="4297">
        <v>2</v>
      </c>
    </row>
    <row r="749" spans="2:5">
      <c r="B749" s="4296" t="s">
        <v>6763</v>
      </c>
      <c r="C749" s="4296" t="s">
        <v>8188</v>
      </c>
      <c r="D749" s="4296" t="s">
        <v>5222</v>
      </c>
      <c r="E749" s="4297">
        <v>2</v>
      </c>
    </row>
    <row r="750" spans="2:5">
      <c r="B750" s="4296" t="s">
        <v>6765</v>
      </c>
      <c r="C750" s="4296" t="s">
        <v>8189</v>
      </c>
      <c r="D750" s="4296" t="s">
        <v>5222</v>
      </c>
      <c r="E750" s="4297">
        <v>2</v>
      </c>
    </row>
    <row r="751" spans="2:5">
      <c r="B751" s="4296" t="s">
        <v>6767</v>
      </c>
      <c r="C751" s="4296" t="s">
        <v>8190</v>
      </c>
      <c r="D751" s="4296" t="s">
        <v>5222</v>
      </c>
      <c r="E751" s="4297">
        <v>2</v>
      </c>
    </row>
    <row r="752" spans="2:5">
      <c r="B752" s="4296" t="s">
        <v>6769</v>
      </c>
      <c r="C752" s="4296" t="s">
        <v>8191</v>
      </c>
      <c r="D752" s="4296" t="s">
        <v>5222</v>
      </c>
      <c r="E752" s="4297">
        <v>2</v>
      </c>
    </row>
    <row r="753" spans="2:5">
      <c r="B753" s="4296" t="s">
        <v>6771</v>
      </c>
      <c r="C753" s="4296" t="s">
        <v>8192</v>
      </c>
      <c r="D753" s="4296" t="s">
        <v>5222</v>
      </c>
      <c r="E753" s="4297">
        <v>2</v>
      </c>
    </row>
    <row r="754" spans="2:5">
      <c r="B754" s="4296" t="s">
        <v>6773</v>
      </c>
      <c r="C754" s="4296" t="s">
        <v>8193</v>
      </c>
      <c r="D754" s="4296" t="s">
        <v>5222</v>
      </c>
      <c r="E754" s="4297">
        <v>2</v>
      </c>
    </row>
    <row r="755" spans="2:5">
      <c r="B755" s="4296" t="s">
        <v>6775</v>
      </c>
      <c r="C755" s="4296" t="s">
        <v>8194</v>
      </c>
      <c r="D755" s="4296" t="s">
        <v>4897</v>
      </c>
      <c r="E755" s="4297">
        <v>1.9877400000000005</v>
      </c>
    </row>
    <row r="756" spans="2:5">
      <c r="B756" s="4296" t="s">
        <v>6777</v>
      </c>
      <c r="C756" s="4296" t="s">
        <v>8195</v>
      </c>
      <c r="D756" s="4296" t="s">
        <v>4987</v>
      </c>
      <c r="E756" s="4297">
        <v>1.9809000000000001</v>
      </c>
    </row>
    <row r="757" spans="2:5">
      <c r="B757" s="4296" t="s">
        <v>6779</v>
      </c>
      <c r="C757" s="4296" t="s">
        <v>8196</v>
      </c>
      <c r="D757" s="4296" t="s">
        <v>4897</v>
      </c>
      <c r="E757" s="4297">
        <v>1.98</v>
      </c>
    </row>
    <row r="758" spans="2:5">
      <c r="B758" s="4296" t="s">
        <v>6781</v>
      </c>
      <c r="C758" s="4296" t="s">
        <v>8197</v>
      </c>
      <c r="D758" s="4296" t="s">
        <v>4897</v>
      </c>
      <c r="E758" s="4297">
        <v>1.9750000000000001</v>
      </c>
    </row>
    <row r="759" spans="2:5">
      <c r="B759" s="4296" t="s">
        <v>6783</v>
      </c>
      <c r="C759" s="4296" t="s">
        <v>8198</v>
      </c>
      <c r="D759" s="4296" t="s">
        <v>4987</v>
      </c>
      <c r="E759" s="4297">
        <v>1.9678400000000003</v>
      </c>
    </row>
    <row r="760" spans="2:5">
      <c r="B760" s="4296" t="s">
        <v>6785</v>
      </c>
      <c r="C760" s="4296" t="s">
        <v>8199</v>
      </c>
      <c r="D760" s="4296" t="s">
        <v>5222</v>
      </c>
      <c r="E760" s="4297">
        <v>1.95</v>
      </c>
    </row>
    <row r="761" spans="2:5">
      <c r="B761" s="4296" t="s">
        <v>6787</v>
      </c>
      <c r="C761" s="4296" t="s">
        <v>7318</v>
      </c>
      <c r="D761" s="4296" t="s">
        <v>4674</v>
      </c>
      <c r="E761" s="4297">
        <v>1.9299279999999999</v>
      </c>
    </row>
    <row r="762" spans="2:5">
      <c r="B762" s="4296" t="s">
        <v>6789</v>
      </c>
      <c r="C762" s="4296" t="s">
        <v>8200</v>
      </c>
      <c r="D762" s="4296" t="s">
        <v>5149</v>
      </c>
      <c r="E762" s="4297">
        <v>1.91875</v>
      </c>
    </row>
    <row r="763" spans="2:5">
      <c r="B763" s="4296" t="s">
        <v>6791</v>
      </c>
      <c r="C763" s="4296" t="s">
        <v>8201</v>
      </c>
      <c r="D763" s="4296" t="s">
        <v>5222</v>
      </c>
      <c r="E763" s="4297">
        <v>1.9</v>
      </c>
    </row>
    <row r="764" spans="2:5">
      <c r="B764" s="4296" t="s">
        <v>6793</v>
      </c>
      <c r="C764" s="4296" t="s">
        <v>8202</v>
      </c>
      <c r="D764" s="4296" t="s">
        <v>4897</v>
      </c>
      <c r="E764" s="4297">
        <v>1.8666660000000004</v>
      </c>
    </row>
    <row r="765" spans="2:5">
      <c r="B765" s="4296" t="s">
        <v>6795</v>
      </c>
      <c r="C765" s="4296" t="s">
        <v>6812</v>
      </c>
      <c r="D765" s="4296" t="s">
        <v>4987</v>
      </c>
      <c r="E765" s="4297">
        <v>1.8187199999999997</v>
      </c>
    </row>
    <row r="766" spans="2:5">
      <c r="B766" s="4296" t="s">
        <v>6797</v>
      </c>
      <c r="C766" s="4296" t="s">
        <v>7432</v>
      </c>
      <c r="D766" s="4296" t="s">
        <v>4897</v>
      </c>
      <c r="E766" s="4297">
        <v>1.8173710000000003</v>
      </c>
    </row>
    <row r="767" spans="2:5">
      <c r="B767" s="4296" t="s">
        <v>6799</v>
      </c>
      <c r="C767" s="4296" t="s">
        <v>8203</v>
      </c>
      <c r="D767" s="4296" t="s">
        <v>4987</v>
      </c>
      <c r="E767" s="4297">
        <v>1.8124799999999999</v>
      </c>
    </row>
    <row r="768" spans="2:5">
      <c r="B768" s="4296" t="s">
        <v>6801</v>
      </c>
      <c r="C768" s="4296" t="s">
        <v>8204</v>
      </c>
      <c r="D768" s="4296" t="s">
        <v>5222</v>
      </c>
      <c r="E768" s="4297">
        <v>1.8000000000000003</v>
      </c>
    </row>
    <row r="769" spans="2:5">
      <c r="B769" s="4296" t="s">
        <v>6803</v>
      </c>
      <c r="C769" s="4296" t="s">
        <v>8205</v>
      </c>
      <c r="D769" s="4296" t="s">
        <v>4897</v>
      </c>
      <c r="E769" s="4297">
        <v>1.8</v>
      </c>
    </row>
    <row r="770" spans="2:5">
      <c r="B770" s="4296" t="s">
        <v>6805</v>
      </c>
      <c r="C770" s="4296" t="s">
        <v>8206</v>
      </c>
      <c r="D770" s="4296" t="s">
        <v>4897</v>
      </c>
      <c r="E770" s="4297">
        <v>1.8</v>
      </c>
    </row>
    <row r="771" spans="2:5">
      <c r="B771" s="4296" t="s">
        <v>6807</v>
      </c>
      <c r="C771" s="4296" t="s">
        <v>8207</v>
      </c>
      <c r="D771" s="4296" t="s">
        <v>5222</v>
      </c>
      <c r="E771" s="4297">
        <v>1.8</v>
      </c>
    </row>
    <row r="772" spans="2:5">
      <c r="B772" s="4296" t="s">
        <v>6809</v>
      </c>
      <c r="C772" s="4296" t="s">
        <v>5495</v>
      </c>
      <c r="D772" s="4296" t="s">
        <v>4674</v>
      </c>
      <c r="E772" s="4297">
        <v>1.7963380000000002</v>
      </c>
    </row>
    <row r="773" spans="2:5">
      <c r="B773" s="4296" t="s">
        <v>6811</v>
      </c>
      <c r="C773" s="4296" t="s">
        <v>7393</v>
      </c>
      <c r="D773" s="4296" t="s">
        <v>4987</v>
      </c>
      <c r="E773" s="4297">
        <v>1.7655000000000001</v>
      </c>
    </row>
    <row r="774" spans="2:5">
      <c r="B774" s="4296" t="s">
        <v>6813</v>
      </c>
      <c r="C774" s="4296" t="s">
        <v>8208</v>
      </c>
      <c r="D774" s="4296" t="s">
        <v>5222</v>
      </c>
      <c r="E774" s="4297">
        <v>1.75</v>
      </c>
    </row>
    <row r="775" spans="2:5">
      <c r="B775" s="4296" t="s">
        <v>6815</v>
      </c>
      <c r="C775" s="4296" t="s">
        <v>7213</v>
      </c>
      <c r="D775" s="4296" t="s">
        <v>4674</v>
      </c>
      <c r="E775" s="4297">
        <v>1.7467259999999998</v>
      </c>
    </row>
    <row r="776" spans="2:5">
      <c r="B776" s="4296" t="s">
        <v>6817</v>
      </c>
      <c r="C776" s="4296" t="s">
        <v>8209</v>
      </c>
      <c r="D776" s="4296" t="s">
        <v>4674</v>
      </c>
      <c r="E776" s="4297">
        <v>1.7430000000000001</v>
      </c>
    </row>
    <row r="777" spans="2:5">
      <c r="B777" s="4296" t="s">
        <v>6819</v>
      </c>
      <c r="C777" s="4296" t="s">
        <v>8210</v>
      </c>
      <c r="D777" s="4296" t="s">
        <v>4897</v>
      </c>
      <c r="E777" s="4297">
        <v>1.7405739999999998</v>
      </c>
    </row>
    <row r="778" spans="2:5">
      <c r="B778" s="4296" t="s">
        <v>6821</v>
      </c>
      <c r="C778" s="4296" t="s">
        <v>5597</v>
      </c>
      <c r="D778" s="4296" t="s">
        <v>4674</v>
      </c>
      <c r="E778" s="4297">
        <v>1.7286110000000001</v>
      </c>
    </row>
    <row r="779" spans="2:5">
      <c r="B779" s="4296" t="s">
        <v>6823</v>
      </c>
      <c r="C779" s="4296" t="s">
        <v>7340</v>
      </c>
      <c r="D779" s="4296" t="s">
        <v>4987</v>
      </c>
      <c r="E779" s="4297">
        <v>1.7063999999999999</v>
      </c>
    </row>
    <row r="780" spans="2:5">
      <c r="B780" s="4296" t="s">
        <v>6825</v>
      </c>
      <c r="C780" s="4296" t="s">
        <v>8211</v>
      </c>
      <c r="D780" s="4296" t="s">
        <v>4674</v>
      </c>
      <c r="E780" s="4297">
        <v>1.70245</v>
      </c>
    </row>
    <row r="781" spans="2:5">
      <c r="B781" s="4296" t="s">
        <v>6827</v>
      </c>
      <c r="C781" s="4296" t="s">
        <v>8212</v>
      </c>
      <c r="D781" s="4296" t="s">
        <v>4897</v>
      </c>
      <c r="E781" s="4297">
        <v>1.7</v>
      </c>
    </row>
    <row r="782" spans="2:5">
      <c r="B782" s="4296" t="s">
        <v>6829</v>
      </c>
      <c r="C782" s="4296" t="s">
        <v>8213</v>
      </c>
      <c r="D782" s="4296" t="s">
        <v>4987</v>
      </c>
      <c r="E782" s="4297">
        <v>1.6755200000000001</v>
      </c>
    </row>
    <row r="783" spans="2:5">
      <c r="B783" s="4296" t="s">
        <v>6831</v>
      </c>
      <c r="C783" s="4296" t="s">
        <v>7546</v>
      </c>
      <c r="D783" s="4296" t="s">
        <v>5222</v>
      </c>
      <c r="E783" s="4297">
        <v>1.65</v>
      </c>
    </row>
    <row r="784" spans="2:5">
      <c r="B784" s="4296" t="s">
        <v>6833</v>
      </c>
      <c r="C784" s="4296" t="s">
        <v>5625</v>
      </c>
      <c r="D784" s="4296" t="s">
        <v>4674</v>
      </c>
      <c r="E784" s="4297">
        <v>1.6250249999999999</v>
      </c>
    </row>
    <row r="785" spans="2:5">
      <c r="B785" s="4296" t="s">
        <v>6835</v>
      </c>
      <c r="C785" s="4296" t="s">
        <v>7406</v>
      </c>
      <c r="D785" s="4296" t="s">
        <v>4987</v>
      </c>
      <c r="E785" s="4297">
        <v>1.6217099999999998</v>
      </c>
    </row>
    <row r="786" spans="2:5">
      <c r="B786" s="4296" t="s">
        <v>6837</v>
      </c>
      <c r="C786" s="4296" t="s">
        <v>7128</v>
      </c>
      <c r="D786" s="4296" t="s">
        <v>4674</v>
      </c>
      <c r="E786" s="4297">
        <v>1.6164000000000001</v>
      </c>
    </row>
    <row r="787" spans="2:5">
      <c r="B787" s="4296" t="s">
        <v>6839</v>
      </c>
      <c r="C787" s="4296" t="s">
        <v>8214</v>
      </c>
      <c r="D787" s="4296" t="s">
        <v>4897</v>
      </c>
      <c r="E787" s="4297">
        <v>1.6</v>
      </c>
    </row>
    <row r="788" spans="2:5">
      <c r="B788" s="4296" t="s">
        <v>6841</v>
      </c>
      <c r="C788" s="4296" t="s">
        <v>8215</v>
      </c>
      <c r="D788" s="4296" t="s">
        <v>4897</v>
      </c>
      <c r="E788" s="4297">
        <v>1.6</v>
      </c>
    </row>
    <row r="789" spans="2:5">
      <c r="B789" s="4296" t="s">
        <v>6843</v>
      </c>
      <c r="C789" s="4296" t="s">
        <v>7286</v>
      </c>
      <c r="D789" s="4296" t="s">
        <v>4897</v>
      </c>
      <c r="E789" s="4297">
        <v>1.6</v>
      </c>
    </row>
    <row r="790" spans="2:5">
      <c r="B790" s="4296" t="s">
        <v>6845</v>
      </c>
      <c r="C790" s="4296" t="s">
        <v>8216</v>
      </c>
      <c r="D790" s="4296" t="s">
        <v>4897</v>
      </c>
      <c r="E790" s="4297">
        <v>1.6</v>
      </c>
    </row>
    <row r="791" spans="2:5">
      <c r="B791" s="4296" t="s">
        <v>6847</v>
      </c>
      <c r="C791" s="4296" t="s">
        <v>7460</v>
      </c>
      <c r="D791" s="4296" t="s">
        <v>5222</v>
      </c>
      <c r="E791" s="4297">
        <v>1.6</v>
      </c>
    </row>
    <row r="792" spans="2:5">
      <c r="B792" s="4296" t="s">
        <v>6849</v>
      </c>
      <c r="C792" s="4296" t="s">
        <v>8217</v>
      </c>
      <c r="D792" s="4296" t="s">
        <v>5222</v>
      </c>
      <c r="E792" s="4297">
        <v>1.6</v>
      </c>
    </row>
    <row r="793" spans="2:5">
      <c r="B793" s="4296" t="s">
        <v>6851</v>
      </c>
      <c r="C793" s="4296" t="s">
        <v>7584</v>
      </c>
      <c r="D793" s="4296" t="s">
        <v>5222</v>
      </c>
      <c r="E793" s="4297">
        <v>1.5939759999999998</v>
      </c>
    </row>
    <row r="794" spans="2:5">
      <c r="B794" s="4296" t="s">
        <v>6853</v>
      </c>
      <c r="C794" s="4296" t="s">
        <v>7504</v>
      </c>
      <c r="D794" s="4296" t="s">
        <v>4897</v>
      </c>
      <c r="E794" s="4297">
        <v>1.577869</v>
      </c>
    </row>
    <row r="795" spans="2:5">
      <c r="B795" s="4296" t="s">
        <v>6855</v>
      </c>
      <c r="C795" s="4296" t="s">
        <v>7202</v>
      </c>
      <c r="D795" s="4296" t="s">
        <v>5222</v>
      </c>
      <c r="E795" s="4297">
        <v>1.5717760000000001</v>
      </c>
    </row>
    <row r="796" spans="2:5">
      <c r="B796" s="4296" t="s">
        <v>6857</v>
      </c>
      <c r="C796" s="4296" t="s">
        <v>7505</v>
      </c>
      <c r="D796" s="4296" t="s">
        <v>4897</v>
      </c>
      <c r="E796" s="4297">
        <v>1.5595900000000005</v>
      </c>
    </row>
    <row r="797" spans="2:5">
      <c r="B797" s="4296" t="s">
        <v>6859</v>
      </c>
      <c r="C797" s="4296" t="s">
        <v>7365</v>
      </c>
      <c r="D797" s="4296" t="s">
        <v>5222</v>
      </c>
      <c r="E797" s="4297">
        <v>1.55</v>
      </c>
    </row>
    <row r="798" spans="2:5">
      <c r="B798" s="4296" t="s">
        <v>6861</v>
      </c>
      <c r="C798" s="4296" t="s">
        <v>8218</v>
      </c>
      <c r="D798" s="4296" t="s">
        <v>4897</v>
      </c>
      <c r="E798" s="4297">
        <v>1.5428559999999998</v>
      </c>
    </row>
    <row r="799" spans="2:5">
      <c r="B799" s="4296" t="s">
        <v>6863</v>
      </c>
      <c r="C799" s="4296" t="s">
        <v>8219</v>
      </c>
      <c r="D799" s="4296" t="s">
        <v>4897</v>
      </c>
      <c r="E799" s="4297">
        <v>1.5300000000000002</v>
      </c>
    </row>
    <row r="800" spans="2:5">
      <c r="B800" s="4296" t="s">
        <v>6865</v>
      </c>
      <c r="C800" s="4296" t="s">
        <v>7362</v>
      </c>
      <c r="D800" s="4296" t="s">
        <v>4897</v>
      </c>
      <c r="E800" s="4297">
        <v>1.5290319999999999</v>
      </c>
    </row>
    <row r="801" spans="2:5">
      <c r="B801" s="4296" t="s">
        <v>6867</v>
      </c>
      <c r="C801" s="4296" t="s">
        <v>8220</v>
      </c>
      <c r="D801" s="4296" t="s">
        <v>5222</v>
      </c>
      <c r="E801" s="4297">
        <v>1.5000000000000002</v>
      </c>
    </row>
    <row r="802" spans="2:5">
      <c r="B802" s="4296" t="s">
        <v>6869</v>
      </c>
      <c r="C802" s="4296" t="s">
        <v>8221</v>
      </c>
      <c r="D802" s="4296" t="s">
        <v>5222</v>
      </c>
      <c r="E802" s="4297">
        <v>1.5000000000000002</v>
      </c>
    </row>
    <row r="803" spans="2:5">
      <c r="B803" s="4296" t="s">
        <v>6871</v>
      </c>
      <c r="C803" s="4296" t="s">
        <v>8222</v>
      </c>
      <c r="D803" s="4296" t="s">
        <v>4897</v>
      </c>
      <c r="E803" s="4297">
        <v>1.5</v>
      </c>
    </row>
    <row r="804" spans="2:5">
      <c r="B804" s="4296" t="s">
        <v>6873</v>
      </c>
      <c r="C804" s="4296" t="s">
        <v>8223</v>
      </c>
      <c r="D804" s="4296" t="s">
        <v>4897</v>
      </c>
      <c r="E804" s="4297">
        <v>1.5</v>
      </c>
    </row>
    <row r="805" spans="2:5">
      <c r="B805" s="4296" t="s">
        <v>6875</v>
      </c>
      <c r="C805" s="4296" t="s">
        <v>8224</v>
      </c>
      <c r="D805" s="4296" t="s">
        <v>4897</v>
      </c>
      <c r="E805" s="4297">
        <v>1.5</v>
      </c>
    </row>
    <row r="806" spans="2:5">
      <c r="B806" s="4296" t="s">
        <v>6877</v>
      </c>
      <c r="C806" s="4296" t="s">
        <v>8225</v>
      </c>
      <c r="D806" s="4296" t="s">
        <v>4897</v>
      </c>
      <c r="E806" s="4297">
        <v>1.5</v>
      </c>
    </row>
    <row r="807" spans="2:5">
      <c r="B807" s="4296" t="s">
        <v>6879</v>
      </c>
      <c r="C807" s="4296" t="s">
        <v>8226</v>
      </c>
      <c r="D807" s="4296" t="s">
        <v>4897</v>
      </c>
      <c r="E807" s="4297">
        <v>1.5</v>
      </c>
    </row>
    <row r="808" spans="2:5">
      <c r="B808" s="4296" t="s">
        <v>6881</v>
      </c>
      <c r="C808" s="4296" t="s">
        <v>8227</v>
      </c>
      <c r="D808" s="4296" t="s">
        <v>4897</v>
      </c>
      <c r="E808" s="4297">
        <v>1.5</v>
      </c>
    </row>
    <row r="809" spans="2:5">
      <c r="B809" s="4296" t="s">
        <v>6883</v>
      </c>
      <c r="C809" s="4296" t="s">
        <v>8228</v>
      </c>
      <c r="D809" s="4296" t="s">
        <v>4897</v>
      </c>
      <c r="E809" s="4297">
        <v>1.5</v>
      </c>
    </row>
    <row r="810" spans="2:5">
      <c r="B810" s="4296" t="s">
        <v>6885</v>
      </c>
      <c r="C810" s="4296" t="s">
        <v>8229</v>
      </c>
      <c r="D810" s="4296" t="s">
        <v>4897</v>
      </c>
      <c r="E810" s="4297">
        <v>1.5</v>
      </c>
    </row>
    <row r="811" spans="2:5">
      <c r="B811" s="4296" t="s">
        <v>6887</v>
      </c>
      <c r="C811" s="4296" t="s">
        <v>8230</v>
      </c>
      <c r="D811" s="4296" t="s">
        <v>5222</v>
      </c>
      <c r="E811" s="4297">
        <v>1.5</v>
      </c>
    </row>
    <row r="812" spans="2:5">
      <c r="B812" s="4296" t="s">
        <v>6889</v>
      </c>
      <c r="C812" s="4296" t="s">
        <v>8231</v>
      </c>
      <c r="D812" s="4296" t="s">
        <v>5222</v>
      </c>
      <c r="E812" s="4297">
        <v>1.5</v>
      </c>
    </row>
    <row r="813" spans="2:5">
      <c r="B813" s="4296" t="s">
        <v>6891</v>
      </c>
      <c r="C813" s="4296" t="s">
        <v>8232</v>
      </c>
      <c r="D813" s="4296" t="s">
        <v>5222</v>
      </c>
      <c r="E813" s="4297">
        <v>1.5</v>
      </c>
    </row>
    <row r="814" spans="2:5">
      <c r="B814" s="4296" t="s">
        <v>6893</v>
      </c>
      <c r="C814" s="4296" t="s">
        <v>8233</v>
      </c>
      <c r="D814" s="4296" t="s">
        <v>5222</v>
      </c>
      <c r="E814" s="4297">
        <v>1.5</v>
      </c>
    </row>
    <row r="815" spans="2:5">
      <c r="B815" s="4296" t="s">
        <v>6895</v>
      </c>
      <c r="C815" s="4296" t="s">
        <v>7444</v>
      </c>
      <c r="D815" s="4296" t="s">
        <v>5222</v>
      </c>
      <c r="E815" s="4297">
        <v>1.5</v>
      </c>
    </row>
    <row r="816" spans="2:5">
      <c r="B816" s="4296" t="s">
        <v>6897</v>
      </c>
      <c r="C816" s="4296" t="s">
        <v>8234</v>
      </c>
      <c r="D816" s="4296" t="s">
        <v>5222</v>
      </c>
      <c r="E816" s="4297">
        <v>1.5</v>
      </c>
    </row>
    <row r="817" spans="2:5">
      <c r="B817" s="4296" t="s">
        <v>6899</v>
      </c>
      <c r="C817" s="4296" t="s">
        <v>7608</v>
      </c>
      <c r="D817" s="4296" t="s">
        <v>5222</v>
      </c>
      <c r="E817" s="4297">
        <v>1.468852</v>
      </c>
    </row>
    <row r="818" spans="2:5">
      <c r="B818" s="4296" t="s">
        <v>6901</v>
      </c>
      <c r="C818" s="4296" t="s">
        <v>8235</v>
      </c>
      <c r="D818" s="4296" t="s">
        <v>4897</v>
      </c>
      <c r="E818" s="4297">
        <v>1.45</v>
      </c>
    </row>
    <row r="819" spans="2:5">
      <c r="B819" s="4296" t="s">
        <v>6903</v>
      </c>
      <c r="C819" s="4296" t="s">
        <v>8236</v>
      </c>
      <c r="D819" s="4296" t="s">
        <v>5222</v>
      </c>
      <c r="E819" s="4297">
        <v>1.4406450000000002</v>
      </c>
    </row>
    <row r="820" spans="2:5">
      <c r="B820" s="4296" t="s">
        <v>6905</v>
      </c>
      <c r="C820" s="4296" t="s">
        <v>8237</v>
      </c>
      <c r="D820" s="4296" t="s">
        <v>4674</v>
      </c>
      <c r="E820" s="4297">
        <v>1.4370000000000001</v>
      </c>
    </row>
    <row r="821" spans="2:5">
      <c r="B821" s="4296" t="s">
        <v>6907</v>
      </c>
      <c r="C821" s="4296" t="s">
        <v>8238</v>
      </c>
      <c r="D821" s="4296" t="s">
        <v>4674</v>
      </c>
      <c r="E821" s="4297">
        <v>1.4370000000000001</v>
      </c>
    </row>
    <row r="822" spans="2:5">
      <c r="B822" s="4296" t="s">
        <v>6909</v>
      </c>
      <c r="C822" s="4296" t="s">
        <v>8239</v>
      </c>
      <c r="D822" s="4296" t="s">
        <v>4897</v>
      </c>
      <c r="E822" s="4297">
        <v>1.4</v>
      </c>
    </row>
    <row r="823" spans="2:5">
      <c r="B823" s="4296" t="s">
        <v>6911</v>
      </c>
      <c r="C823" s="4296" t="s">
        <v>8240</v>
      </c>
      <c r="D823" s="4296" t="s">
        <v>4897</v>
      </c>
      <c r="E823" s="4297">
        <v>1.4</v>
      </c>
    </row>
    <row r="824" spans="2:5">
      <c r="B824" s="4296" t="s">
        <v>6913</v>
      </c>
      <c r="C824" s="4296" t="s">
        <v>8241</v>
      </c>
      <c r="D824" s="4296" t="s">
        <v>4897</v>
      </c>
      <c r="E824" s="4297">
        <v>1.4</v>
      </c>
    </row>
    <row r="825" spans="2:5">
      <c r="B825" s="4296" t="s">
        <v>6915</v>
      </c>
      <c r="C825" s="4296" t="s">
        <v>8242</v>
      </c>
      <c r="D825" s="4296" t="s">
        <v>4897</v>
      </c>
      <c r="E825" s="4297">
        <v>1.4</v>
      </c>
    </row>
    <row r="826" spans="2:5">
      <c r="B826" s="4296" t="s">
        <v>6917</v>
      </c>
      <c r="C826" s="4296" t="s">
        <v>8243</v>
      </c>
      <c r="D826" s="4296" t="s">
        <v>5149</v>
      </c>
      <c r="E826" s="4297">
        <v>1.3982330000000003</v>
      </c>
    </row>
    <row r="827" spans="2:5">
      <c r="B827" s="4296" t="s">
        <v>6919</v>
      </c>
      <c r="C827" s="4296" t="s">
        <v>6304</v>
      </c>
      <c r="D827" s="4296" t="s">
        <v>5149</v>
      </c>
      <c r="E827" s="4297">
        <v>1.3787070000000001</v>
      </c>
    </row>
    <row r="828" spans="2:5">
      <c r="B828" s="4296" t="s">
        <v>6921</v>
      </c>
      <c r="C828" s="4296" t="s">
        <v>8244</v>
      </c>
      <c r="D828" s="4296" t="s">
        <v>5222</v>
      </c>
      <c r="E828" s="4297">
        <v>1.375</v>
      </c>
    </row>
    <row r="829" spans="2:5">
      <c r="B829" s="4296" t="s">
        <v>6923</v>
      </c>
      <c r="C829" s="4296" t="s">
        <v>7480</v>
      </c>
      <c r="D829" s="4296" t="s">
        <v>4897</v>
      </c>
      <c r="E829" s="4297">
        <v>1.36</v>
      </c>
    </row>
    <row r="830" spans="2:5">
      <c r="B830" s="4296" t="s">
        <v>6925</v>
      </c>
      <c r="C830" s="4296" t="s">
        <v>8245</v>
      </c>
      <c r="D830" s="4296" t="s">
        <v>4987</v>
      </c>
      <c r="E830" s="4297">
        <v>1.3542399999999999</v>
      </c>
    </row>
    <row r="831" spans="2:5">
      <c r="B831" s="4296" t="s">
        <v>6927</v>
      </c>
      <c r="C831" s="4296" t="s">
        <v>8246</v>
      </c>
      <c r="D831" s="4296" t="s">
        <v>4897</v>
      </c>
      <c r="E831" s="4297">
        <v>1.3199999999999998</v>
      </c>
    </row>
    <row r="832" spans="2:5">
      <c r="B832" s="4296" t="s">
        <v>6929</v>
      </c>
      <c r="C832" s="4296" t="s">
        <v>8247</v>
      </c>
      <c r="D832" s="4296" t="s">
        <v>5222</v>
      </c>
      <c r="E832" s="4297">
        <v>1.3</v>
      </c>
    </row>
    <row r="833" spans="2:5">
      <c r="B833" s="4296" t="s">
        <v>6931</v>
      </c>
      <c r="C833" s="4296" t="s">
        <v>8248</v>
      </c>
      <c r="D833" s="4296" t="s">
        <v>5222</v>
      </c>
      <c r="E833" s="4297">
        <v>1.2673989999999999</v>
      </c>
    </row>
    <row r="834" spans="2:5">
      <c r="B834" s="4296" t="s">
        <v>6933</v>
      </c>
      <c r="C834" s="4296" t="s">
        <v>8249</v>
      </c>
      <c r="D834" s="4296" t="s">
        <v>4897</v>
      </c>
      <c r="E834" s="4297">
        <v>1.26</v>
      </c>
    </row>
    <row r="835" spans="2:5">
      <c r="B835" s="4296" t="s">
        <v>6935</v>
      </c>
      <c r="C835" s="4296" t="s">
        <v>7425</v>
      </c>
      <c r="D835" s="4296" t="s">
        <v>5222</v>
      </c>
      <c r="E835" s="4297">
        <v>1.2568299999999999</v>
      </c>
    </row>
    <row r="836" spans="2:5">
      <c r="B836" s="4296" t="s">
        <v>6937</v>
      </c>
      <c r="C836" s="4296" t="s">
        <v>7239</v>
      </c>
      <c r="D836" s="4296" t="s">
        <v>4987</v>
      </c>
      <c r="E836" s="4297">
        <v>1.24542</v>
      </c>
    </row>
    <row r="837" spans="2:5">
      <c r="B837" s="4296" t="s">
        <v>6939</v>
      </c>
      <c r="C837" s="4296" t="s">
        <v>8250</v>
      </c>
      <c r="D837" s="4296" t="s">
        <v>4987</v>
      </c>
      <c r="E837" s="4297">
        <v>1.2409600000000001</v>
      </c>
    </row>
    <row r="838" spans="2:5">
      <c r="B838" s="4296" t="s">
        <v>6941</v>
      </c>
      <c r="C838" s="4296" t="s">
        <v>8251</v>
      </c>
      <c r="D838" s="4296" t="s">
        <v>5222</v>
      </c>
      <c r="E838" s="4297">
        <v>1.2374459999999998</v>
      </c>
    </row>
    <row r="839" spans="2:5">
      <c r="B839" s="4296" t="s">
        <v>6943</v>
      </c>
      <c r="C839" s="4296" t="s">
        <v>8252</v>
      </c>
      <c r="D839" s="4296" t="s">
        <v>5222</v>
      </c>
      <c r="E839" s="4297">
        <v>1.23</v>
      </c>
    </row>
    <row r="840" spans="2:5">
      <c r="B840" s="4296" t="s">
        <v>6945</v>
      </c>
      <c r="C840" s="4296" t="s">
        <v>7180</v>
      </c>
      <c r="D840" s="4296" t="s">
        <v>5222</v>
      </c>
      <c r="E840" s="4297">
        <v>1.226667</v>
      </c>
    </row>
    <row r="841" spans="2:5">
      <c r="B841" s="4296" t="s">
        <v>6947</v>
      </c>
      <c r="C841" s="4296" t="s">
        <v>8253</v>
      </c>
      <c r="D841" s="4296" t="s">
        <v>4897</v>
      </c>
      <c r="E841" s="4297">
        <v>1.2</v>
      </c>
    </row>
    <row r="842" spans="2:5">
      <c r="B842" s="4296" t="s">
        <v>6949</v>
      </c>
      <c r="C842" s="4296" t="s">
        <v>8254</v>
      </c>
      <c r="D842" s="4296" t="s">
        <v>4897</v>
      </c>
      <c r="E842" s="4297">
        <v>1.2</v>
      </c>
    </row>
    <row r="843" spans="2:5">
      <c r="B843" s="4296" t="s">
        <v>6951</v>
      </c>
      <c r="C843" s="4296" t="s">
        <v>8255</v>
      </c>
      <c r="D843" s="4296" t="s">
        <v>4897</v>
      </c>
      <c r="E843" s="4297">
        <v>1.2</v>
      </c>
    </row>
    <row r="844" spans="2:5">
      <c r="B844" s="4296" t="s">
        <v>6953</v>
      </c>
      <c r="C844" s="4296" t="s">
        <v>8256</v>
      </c>
      <c r="D844" s="4296" t="s">
        <v>5222</v>
      </c>
      <c r="E844" s="4297">
        <v>1.2</v>
      </c>
    </row>
    <row r="845" spans="2:5">
      <c r="B845" s="4296" t="s">
        <v>6955</v>
      </c>
      <c r="C845" s="4296" t="s">
        <v>8257</v>
      </c>
      <c r="D845" s="4296" t="s">
        <v>5222</v>
      </c>
      <c r="E845" s="4297">
        <v>1.2</v>
      </c>
    </row>
    <row r="846" spans="2:5">
      <c r="B846" s="4296" t="s">
        <v>6957</v>
      </c>
      <c r="C846" s="4296" t="s">
        <v>7275</v>
      </c>
      <c r="D846" s="4296" t="s">
        <v>5222</v>
      </c>
      <c r="E846" s="4297">
        <v>1.2</v>
      </c>
    </row>
    <row r="847" spans="2:5">
      <c r="B847" s="4296" t="s">
        <v>6959</v>
      </c>
      <c r="C847" s="4296" t="s">
        <v>8258</v>
      </c>
      <c r="D847" s="4296" t="s">
        <v>4987</v>
      </c>
      <c r="E847" s="4297">
        <v>1.1988840000000001</v>
      </c>
    </row>
    <row r="848" spans="2:5">
      <c r="B848" s="4296" t="s">
        <v>6961</v>
      </c>
      <c r="C848" s="4296" t="s">
        <v>8259</v>
      </c>
      <c r="D848" s="4296" t="s">
        <v>5222</v>
      </c>
      <c r="E848" s="4297">
        <v>1.198356</v>
      </c>
    </row>
    <row r="849" spans="2:5">
      <c r="B849" s="4296" t="s">
        <v>6963</v>
      </c>
      <c r="C849" s="4296" t="s">
        <v>8260</v>
      </c>
      <c r="D849" s="4296" t="s">
        <v>4674</v>
      </c>
      <c r="E849" s="4297">
        <v>1.197767</v>
      </c>
    </row>
    <row r="850" spans="2:5">
      <c r="B850" s="4296" t="s">
        <v>6965</v>
      </c>
      <c r="C850" s="4296" t="s">
        <v>7611</v>
      </c>
      <c r="D850" s="4296" t="s">
        <v>5232</v>
      </c>
      <c r="E850" s="4297">
        <v>1.1910160000000001</v>
      </c>
    </row>
    <row r="851" spans="2:5">
      <c r="B851" s="4296" t="s">
        <v>6967</v>
      </c>
      <c r="C851" s="4287" t="s">
        <v>8261</v>
      </c>
      <c r="D851" s="4287" t="s">
        <v>4674</v>
      </c>
      <c r="E851" s="4297">
        <v>1.1843999999999999</v>
      </c>
    </row>
    <row r="852" spans="2:5">
      <c r="B852" s="4296" t="s">
        <v>6969</v>
      </c>
      <c r="C852" s="4296" t="s">
        <v>8262</v>
      </c>
      <c r="D852" s="4296" t="s">
        <v>4987</v>
      </c>
      <c r="E852" s="4297">
        <v>1.1688000000000001</v>
      </c>
    </row>
    <row r="853" spans="2:5">
      <c r="B853" s="4296" t="s">
        <v>6971</v>
      </c>
      <c r="C853" s="4296" t="s">
        <v>8263</v>
      </c>
      <c r="D853" s="4296" t="s">
        <v>5222</v>
      </c>
      <c r="E853" s="4297">
        <v>1.1523000000000001</v>
      </c>
    </row>
    <row r="854" spans="2:5">
      <c r="B854" s="4296" t="s">
        <v>6973</v>
      </c>
      <c r="C854" s="4296" t="s">
        <v>8264</v>
      </c>
      <c r="D854" s="4296" t="s">
        <v>4987</v>
      </c>
      <c r="E854" s="4297">
        <v>1.11104</v>
      </c>
    </row>
    <row r="855" spans="2:5">
      <c r="B855" s="4296" t="s">
        <v>6975</v>
      </c>
      <c r="C855" s="4296" t="s">
        <v>7597</v>
      </c>
      <c r="D855" s="4296" t="s">
        <v>5232</v>
      </c>
      <c r="E855" s="4297">
        <v>1.1003169999999998</v>
      </c>
    </row>
    <row r="856" spans="2:5">
      <c r="B856" s="4296" t="s">
        <v>6977</v>
      </c>
      <c r="C856" s="4296" t="s">
        <v>8265</v>
      </c>
      <c r="D856" s="4296" t="s">
        <v>7519</v>
      </c>
      <c r="E856" s="4297">
        <v>1.1000000000000001</v>
      </c>
    </row>
    <row r="857" spans="2:5">
      <c r="B857" s="4296" t="s">
        <v>6979</v>
      </c>
      <c r="C857" s="4296" t="s">
        <v>8266</v>
      </c>
      <c r="D857" s="4296" t="s">
        <v>4897</v>
      </c>
      <c r="E857" s="4297">
        <v>1.1000000000000001</v>
      </c>
    </row>
    <row r="858" spans="2:5">
      <c r="B858" s="4296" t="s">
        <v>6981</v>
      </c>
      <c r="C858" s="4296" t="s">
        <v>8267</v>
      </c>
      <c r="D858" s="4296" t="s">
        <v>4897</v>
      </c>
      <c r="E858" s="4297">
        <v>1.1000000000000001</v>
      </c>
    </row>
    <row r="859" spans="2:5">
      <c r="B859" s="4296" t="s">
        <v>6983</v>
      </c>
      <c r="C859" s="4296" t="s">
        <v>8268</v>
      </c>
      <c r="D859" s="4296" t="s">
        <v>5222</v>
      </c>
      <c r="E859" s="4297">
        <v>1.1000000000000001</v>
      </c>
    </row>
    <row r="860" spans="2:5">
      <c r="B860" s="4296" t="s">
        <v>6985</v>
      </c>
      <c r="C860" s="4296" t="s">
        <v>6930</v>
      </c>
      <c r="D860" s="4296" t="s">
        <v>4987</v>
      </c>
      <c r="E860" s="4297">
        <v>1.08</v>
      </c>
    </row>
    <row r="861" spans="2:5">
      <c r="B861" s="4296" t="s">
        <v>6987</v>
      </c>
      <c r="C861" s="4296" t="s">
        <v>8269</v>
      </c>
      <c r="D861" s="4296" t="s">
        <v>5222</v>
      </c>
      <c r="E861" s="4297">
        <v>1.05</v>
      </c>
    </row>
    <row r="862" spans="2:5">
      <c r="B862" s="4296" t="s">
        <v>6989</v>
      </c>
      <c r="C862" s="4296" t="s">
        <v>7289</v>
      </c>
      <c r="D862" s="4296" t="s">
        <v>5222</v>
      </c>
      <c r="E862" s="4297">
        <v>1.05</v>
      </c>
    </row>
    <row r="863" spans="2:5">
      <c r="B863" s="4296" t="s">
        <v>6991</v>
      </c>
      <c r="C863" s="4296" t="s">
        <v>8270</v>
      </c>
      <c r="D863" s="4296" t="s">
        <v>4897</v>
      </c>
      <c r="E863" s="4297">
        <v>1.03125</v>
      </c>
    </row>
    <row r="864" spans="2:5">
      <c r="B864" s="4296" t="s">
        <v>6993</v>
      </c>
      <c r="C864" s="4296" t="s">
        <v>7424</v>
      </c>
      <c r="D864" s="4296" t="s">
        <v>4987</v>
      </c>
      <c r="E864" s="4297">
        <v>1.01952</v>
      </c>
    </row>
    <row r="865" spans="2:5">
      <c r="B865" s="4296" t="s">
        <v>6995</v>
      </c>
      <c r="C865" s="4296" t="s">
        <v>8271</v>
      </c>
      <c r="D865" s="4296" t="s">
        <v>4897</v>
      </c>
      <c r="E865" s="4297">
        <v>1</v>
      </c>
    </row>
    <row r="866" spans="2:5">
      <c r="B866" s="4296" t="s">
        <v>6997</v>
      </c>
      <c r="C866" s="4296" t="s">
        <v>8272</v>
      </c>
      <c r="D866" s="4296" t="s">
        <v>4897</v>
      </c>
      <c r="E866" s="4297">
        <v>1</v>
      </c>
    </row>
    <row r="867" spans="2:5">
      <c r="B867" s="4296" t="s">
        <v>6999</v>
      </c>
      <c r="C867" s="4296" t="s">
        <v>8273</v>
      </c>
      <c r="D867" s="4296" t="s">
        <v>4897</v>
      </c>
      <c r="E867" s="4297">
        <v>1</v>
      </c>
    </row>
    <row r="868" spans="2:5">
      <c r="B868" s="4296" t="s">
        <v>7001</v>
      </c>
      <c r="C868" s="4296" t="s">
        <v>8274</v>
      </c>
      <c r="D868" s="4296" t="s">
        <v>4897</v>
      </c>
      <c r="E868" s="4297">
        <v>1</v>
      </c>
    </row>
    <row r="869" spans="2:5">
      <c r="B869" s="4296" t="s">
        <v>7003</v>
      </c>
      <c r="C869" s="4296" t="s">
        <v>8275</v>
      </c>
      <c r="D869" s="4296" t="s">
        <v>4897</v>
      </c>
      <c r="E869" s="4297">
        <v>1</v>
      </c>
    </row>
    <row r="870" spans="2:5">
      <c r="B870" s="4296" t="s">
        <v>7005</v>
      </c>
      <c r="C870" s="4296" t="s">
        <v>8276</v>
      </c>
      <c r="D870" s="4296" t="s">
        <v>4897</v>
      </c>
      <c r="E870" s="4297">
        <v>1</v>
      </c>
    </row>
    <row r="871" spans="2:5">
      <c r="B871" s="4296" t="s">
        <v>7007</v>
      </c>
      <c r="C871" s="4296" t="s">
        <v>8277</v>
      </c>
      <c r="D871" s="4296" t="s">
        <v>4897</v>
      </c>
      <c r="E871" s="4297">
        <v>1</v>
      </c>
    </row>
    <row r="872" spans="2:5">
      <c r="B872" s="4296" t="s">
        <v>7009</v>
      </c>
      <c r="C872" s="4296" t="s">
        <v>8278</v>
      </c>
      <c r="D872" s="4296" t="s">
        <v>4897</v>
      </c>
      <c r="E872" s="4297">
        <v>1</v>
      </c>
    </row>
    <row r="873" spans="2:5">
      <c r="B873" s="4296" t="s">
        <v>7011</v>
      </c>
      <c r="C873" s="4296" t="s">
        <v>8279</v>
      </c>
      <c r="D873" s="4296" t="s">
        <v>5222</v>
      </c>
      <c r="E873" s="4297">
        <v>1</v>
      </c>
    </row>
    <row r="874" spans="2:5">
      <c r="B874" s="4296" t="s">
        <v>7013</v>
      </c>
      <c r="C874" s="4296" t="s">
        <v>8280</v>
      </c>
      <c r="D874" s="4296" t="s">
        <v>5222</v>
      </c>
      <c r="E874" s="4297">
        <v>1</v>
      </c>
    </row>
    <row r="875" spans="2:5">
      <c r="B875" s="4296" t="s">
        <v>7015</v>
      </c>
      <c r="C875" s="4296" t="s">
        <v>8281</v>
      </c>
      <c r="D875" s="4296" t="s">
        <v>5222</v>
      </c>
      <c r="E875" s="4297">
        <v>1</v>
      </c>
    </row>
    <row r="876" spans="2:5">
      <c r="B876" s="4296" t="s">
        <v>7017</v>
      </c>
      <c r="C876" s="4296" t="s">
        <v>8282</v>
      </c>
      <c r="D876" s="4296" t="s">
        <v>5222</v>
      </c>
      <c r="E876" s="4297">
        <v>1</v>
      </c>
    </row>
    <row r="877" spans="2:5">
      <c r="B877" s="4296" t="s">
        <v>7562</v>
      </c>
      <c r="C877" s="4296" t="s">
        <v>8283</v>
      </c>
      <c r="D877" s="4296" t="s">
        <v>5222</v>
      </c>
      <c r="E877" s="4297">
        <v>1</v>
      </c>
    </row>
    <row r="878" spans="2:5">
      <c r="B878" s="4296" t="s">
        <v>7563</v>
      </c>
      <c r="C878" s="4296" t="s">
        <v>8284</v>
      </c>
      <c r="D878" s="4296" t="s">
        <v>5222</v>
      </c>
      <c r="E878" s="4297">
        <v>1</v>
      </c>
    </row>
    <row r="879" spans="2:5">
      <c r="B879" s="4296" t="s">
        <v>7565</v>
      </c>
      <c r="C879" s="4296" t="s">
        <v>8285</v>
      </c>
      <c r="D879" s="4296" t="s">
        <v>5222</v>
      </c>
      <c r="E879" s="4297">
        <v>1</v>
      </c>
    </row>
    <row r="880" spans="2:5">
      <c r="B880" s="4296" t="s">
        <v>7567</v>
      </c>
      <c r="C880" s="4296" t="s">
        <v>8286</v>
      </c>
      <c r="D880" s="4296" t="s">
        <v>5222</v>
      </c>
      <c r="E880" s="4297">
        <v>1</v>
      </c>
    </row>
    <row r="881" spans="2:5">
      <c r="B881" s="4296" t="s">
        <v>7568</v>
      </c>
      <c r="C881" s="4296" t="s">
        <v>8287</v>
      </c>
      <c r="D881" s="4296" t="s">
        <v>5222</v>
      </c>
      <c r="E881" s="4297">
        <v>1</v>
      </c>
    </row>
    <row r="882" spans="2:5">
      <c r="B882" s="4296" t="s">
        <v>7570</v>
      </c>
      <c r="C882" s="4296" t="s">
        <v>8288</v>
      </c>
      <c r="D882" s="4296" t="s">
        <v>5222</v>
      </c>
      <c r="E882" s="4297">
        <v>1</v>
      </c>
    </row>
    <row r="883" spans="2:5">
      <c r="B883" s="4296" t="s">
        <v>7572</v>
      </c>
      <c r="C883" s="4296" t="s">
        <v>8289</v>
      </c>
      <c r="D883" s="4296" t="s">
        <v>5222</v>
      </c>
      <c r="E883" s="4297">
        <v>1</v>
      </c>
    </row>
    <row r="884" spans="2:5">
      <c r="B884" s="4296" t="s">
        <v>7574</v>
      </c>
      <c r="C884" s="4296" t="s">
        <v>8290</v>
      </c>
      <c r="D884" s="4296" t="s">
        <v>5222</v>
      </c>
      <c r="E884" s="4297">
        <v>1</v>
      </c>
    </row>
    <row r="885" spans="2:5">
      <c r="B885" s="4296" t="s">
        <v>7575</v>
      </c>
      <c r="C885" s="4296" t="s">
        <v>8291</v>
      </c>
      <c r="D885" s="4296" t="s">
        <v>5222</v>
      </c>
      <c r="E885" s="4297">
        <v>1</v>
      </c>
    </row>
    <row r="886" spans="2:5">
      <c r="B886" s="4296" t="s">
        <v>7577</v>
      </c>
      <c r="C886" s="4296" t="s">
        <v>8292</v>
      </c>
      <c r="D886" s="4296" t="s">
        <v>5222</v>
      </c>
      <c r="E886" s="4297">
        <v>1</v>
      </c>
    </row>
    <row r="887" spans="2:5">
      <c r="B887" s="4296" t="s">
        <v>7579</v>
      </c>
      <c r="C887" s="4296" t="s">
        <v>7462</v>
      </c>
      <c r="D887" s="4296" t="s">
        <v>5222</v>
      </c>
      <c r="E887" s="4297">
        <v>1</v>
      </c>
    </row>
    <row r="888" spans="2:5">
      <c r="B888" s="4296" t="s">
        <v>7581</v>
      </c>
      <c r="C888" s="4296" t="s">
        <v>7383</v>
      </c>
      <c r="D888" s="4296" t="s">
        <v>4987</v>
      </c>
      <c r="E888" s="4297">
        <v>0.99483999999999995</v>
      </c>
    </row>
    <row r="889" spans="2:5">
      <c r="B889" s="4296" t="s">
        <v>7583</v>
      </c>
      <c r="C889" s="4296" t="s">
        <v>8293</v>
      </c>
      <c r="D889" s="4296" t="s">
        <v>4987</v>
      </c>
      <c r="E889" s="4297">
        <v>0.99363899999999994</v>
      </c>
    </row>
    <row r="890" spans="2:5">
      <c r="B890" s="4296" t="s">
        <v>7585</v>
      </c>
      <c r="C890" s="4296" t="s">
        <v>8294</v>
      </c>
      <c r="D890" s="4296" t="s">
        <v>4987</v>
      </c>
      <c r="E890" s="4297">
        <v>0.97307999999999995</v>
      </c>
    </row>
    <row r="891" spans="2:5">
      <c r="B891" s="4296" t="s">
        <v>7586</v>
      </c>
      <c r="C891" s="4296" t="s">
        <v>7484</v>
      </c>
      <c r="D891" s="4296" t="s">
        <v>5222</v>
      </c>
      <c r="E891" s="4297">
        <v>0.96131900000000003</v>
      </c>
    </row>
    <row r="892" spans="2:5">
      <c r="B892" s="4296" t="s">
        <v>7588</v>
      </c>
      <c r="C892" s="4296" t="s">
        <v>8295</v>
      </c>
      <c r="D892" s="4296" t="s">
        <v>4897</v>
      </c>
      <c r="E892" s="4297">
        <v>0.96</v>
      </c>
    </row>
    <row r="893" spans="2:5">
      <c r="B893" s="4296" t="s">
        <v>7590</v>
      </c>
      <c r="C893" s="4296" t="s">
        <v>8296</v>
      </c>
      <c r="D893" s="4296" t="s">
        <v>4987</v>
      </c>
      <c r="E893" s="4297">
        <v>0.94296800000000003</v>
      </c>
    </row>
    <row r="894" spans="2:5">
      <c r="B894" s="4296" t="s">
        <v>7592</v>
      </c>
      <c r="C894" s="4296" t="s">
        <v>8297</v>
      </c>
      <c r="D894" s="4296" t="s">
        <v>5222</v>
      </c>
      <c r="E894" s="4297">
        <v>0.92903199999999997</v>
      </c>
    </row>
    <row r="895" spans="2:5">
      <c r="B895" s="4296" t="s">
        <v>7593</v>
      </c>
      <c r="C895" s="4296" t="s">
        <v>8298</v>
      </c>
      <c r="D895" s="4296" t="s">
        <v>5222</v>
      </c>
      <c r="E895" s="4297">
        <v>0.91769999999999996</v>
      </c>
    </row>
    <row r="896" spans="2:5">
      <c r="B896" s="4296" t="s">
        <v>7594</v>
      </c>
      <c r="C896" s="4296" t="s">
        <v>8299</v>
      </c>
      <c r="D896" s="4296" t="s">
        <v>4897</v>
      </c>
      <c r="E896" s="4297">
        <v>0.9</v>
      </c>
    </row>
    <row r="897" spans="2:5">
      <c r="B897" s="4296" t="s">
        <v>7596</v>
      </c>
      <c r="C897" s="4296" t="s">
        <v>8300</v>
      </c>
      <c r="D897" s="4296" t="s">
        <v>4897</v>
      </c>
      <c r="E897" s="4297">
        <v>0.9</v>
      </c>
    </row>
    <row r="898" spans="2:5">
      <c r="B898" s="4296" t="s">
        <v>7598</v>
      </c>
      <c r="C898" s="4296" t="s">
        <v>8301</v>
      </c>
      <c r="D898" s="4296" t="s">
        <v>4897</v>
      </c>
      <c r="E898" s="4297">
        <v>0.9</v>
      </c>
    </row>
    <row r="899" spans="2:5">
      <c r="B899" s="4296" t="s">
        <v>7600</v>
      </c>
      <c r="C899" s="4296" t="s">
        <v>8302</v>
      </c>
      <c r="D899" s="4296" t="s">
        <v>5222</v>
      </c>
      <c r="E899" s="4297">
        <v>0.9</v>
      </c>
    </row>
    <row r="900" spans="2:5">
      <c r="B900" s="4296" t="s">
        <v>7602</v>
      </c>
      <c r="C900" s="4296" t="s">
        <v>8303</v>
      </c>
      <c r="D900" s="4296" t="s">
        <v>5222</v>
      </c>
      <c r="E900" s="4297">
        <v>0.9</v>
      </c>
    </row>
    <row r="901" spans="2:5">
      <c r="B901" s="4296" t="s">
        <v>7604</v>
      </c>
      <c r="C901" s="4296" t="s">
        <v>8304</v>
      </c>
      <c r="D901" s="4296" t="s">
        <v>5222</v>
      </c>
      <c r="E901" s="4297">
        <v>0.9</v>
      </c>
    </row>
    <row r="902" spans="2:5">
      <c r="B902" s="4296" t="s">
        <v>7606</v>
      </c>
      <c r="C902" s="4296" t="s">
        <v>8305</v>
      </c>
      <c r="D902" s="4296" t="s">
        <v>5222</v>
      </c>
      <c r="E902" s="4297">
        <v>0.9</v>
      </c>
    </row>
    <row r="903" spans="2:5">
      <c r="B903" s="4296" t="s">
        <v>7607</v>
      </c>
      <c r="C903" s="4296" t="s">
        <v>8306</v>
      </c>
      <c r="D903" s="4296" t="s">
        <v>5222</v>
      </c>
      <c r="E903" s="4297">
        <v>0.9</v>
      </c>
    </row>
    <row r="904" spans="2:5">
      <c r="B904" s="4296" t="s">
        <v>7609</v>
      </c>
      <c r="C904" s="4296" t="s">
        <v>8307</v>
      </c>
      <c r="D904" s="4296" t="s">
        <v>4987</v>
      </c>
      <c r="E904" s="4297">
        <v>0.89896100000000001</v>
      </c>
    </row>
    <row r="905" spans="2:5">
      <c r="B905" s="4296" t="s">
        <v>7610</v>
      </c>
      <c r="C905" s="4296" t="s">
        <v>8308</v>
      </c>
      <c r="D905" s="4296" t="s">
        <v>4987</v>
      </c>
      <c r="E905" s="4297">
        <v>0.8969950000000001</v>
      </c>
    </row>
    <row r="906" spans="2:5">
      <c r="B906" s="4296" t="s">
        <v>7612</v>
      </c>
      <c r="C906" s="4296" t="s">
        <v>6712</v>
      </c>
      <c r="D906" s="4296" t="s">
        <v>5234</v>
      </c>
      <c r="E906" s="4297">
        <v>0.85673799999999989</v>
      </c>
    </row>
    <row r="907" spans="2:5">
      <c r="B907" s="4296" t="s">
        <v>7614</v>
      </c>
      <c r="C907" s="4296" t="s">
        <v>7448</v>
      </c>
      <c r="D907" s="4296" t="s">
        <v>5222</v>
      </c>
      <c r="E907" s="4297">
        <v>0.81639400000000006</v>
      </c>
    </row>
    <row r="908" spans="2:5">
      <c r="B908" s="4296" t="s">
        <v>7616</v>
      </c>
      <c r="C908" s="4296" t="s">
        <v>8309</v>
      </c>
      <c r="D908" s="4296" t="s">
        <v>5222</v>
      </c>
      <c r="E908" s="4297">
        <v>0.81248999999999993</v>
      </c>
    </row>
    <row r="909" spans="2:5">
      <c r="B909" s="4296" t="s">
        <v>7618</v>
      </c>
      <c r="C909" s="4296" t="s">
        <v>8310</v>
      </c>
      <c r="D909" s="4296" t="s">
        <v>4897</v>
      </c>
      <c r="E909" s="4297">
        <v>0.81</v>
      </c>
    </row>
    <row r="910" spans="2:5">
      <c r="B910" s="4296" t="s">
        <v>7619</v>
      </c>
      <c r="C910" s="4296" t="s">
        <v>8311</v>
      </c>
      <c r="D910" s="4296" t="s">
        <v>4897</v>
      </c>
      <c r="E910" s="4297">
        <v>0.8</v>
      </c>
    </row>
    <row r="911" spans="2:5">
      <c r="B911" s="4296" t="s">
        <v>7621</v>
      </c>
      <c r="C911" s="4296" t="s">
        <v>8312</v>
      </c>
      <c r="D911" s="4296" t="s">
        <v>4897</v>
      </c>
      <c r="E911" s="4297">
        <v>0.8</v>
      </c>
    </row>
    <row r="912" spans="2:5">
      <c r="B912" s="4296" t="s">
        <v>7622</v>
      </c>
      <c r="C912" s="4296" t="s">
        <v>8313</v>
      </c>
      <c r="D912" s="4296" t="s">
        <v>4897</v>
      </c>
      <c r="E912" s="4297">
        <v>0.8</v>
      </c>
    </row>
    <row r="913" spans="2:5">
      <c r="B913" s="4296" t="s">
        <v>7624</v>
      </c>
      <c r="C913" s="4296" t="s">
        <v>8314</v>
      </c>
      <c r="D913" s="4296" t="s">
        <v>5222</v>
      </c>
      <c r="E913" s="4297">
        <v>0.8</v>
      </c>
    </row>
    <row r="914" spans="2:5">
      <c r="B914" s="4296" t="s">
        <v>7626</v>
      </c>
      <c r="C914" s="4296" t="s">
        <v>8315</v>
      </c>
      <c r="D914" s="4296" t="s">
        <v>5222</v>
      </c>
      <c r="E914" s="4297">
        <v>0.8</v>
      </c>
    </row>
    <row r="915" spans="2:5">
      <c r="B915" s="4296" t="s">
        <v>7628</v>
      </c>
      <c r="C915" s="4296" t="s">
        <v>8316</v>
      </c>
      <c r="D915" s="4296" t="s">
        <v>5222</v>
      </c>
      <c r="E915" s="4297">
        <v>0.8</v>
      </c>
    </row>
    <row r="916" spans="2:5">
      <c r="B916" s="4296" t="s">
        <v>7629</v>
      </c>
      <c r="C916" s="4296" t="s">
        <v>8317</v>
      </c>
      <c r="D916" s="4296" t="s">
        <v>5222</v>
      </c>
      <c r="E916" s="4297">
        <v>0.8</v>
      </c>
    </row>
    <row r="917" spans="2:5">
      <c r="B917" s="4296" t="s">
        <v>7631</v>
      </c>
      <c r="C917" s="4296" t="s">
        <v>8318</v>
      </c>
      <c r="D917" s="4296" t="s">
        <v>4897</v>
      </c>
      <c r="E917" s="4297">
        <v>0.79120800000000002</v>
      </c>
    </row>
    <row r="918" spans="2:5">
      <c r="B918" s="4296" t="s">
        <v>7633</v>
      </c>
      <c r="C918" s="4296" t="s">
        <v>8319</v>
      </c>
      <c r="D918" s="4296" t="s">
        <v>5222</v>
      </c>
      <c r="E918" s="4297">
        <v>0.78903999999999985</v>
      </c>
    </row>
    <row r="919" spans="2:5">
      <c r="B919" s="4296" t="s">
        <v>7635</v>
      </c>
      <c r="C919" s="4296" t="s">
        <v>7482</v>
      </c>
      <c r="D919" s="4296" t="s">
        <v>4897</v>
      </c>
      <c r="E919" s="4297">
        <v>0.78064599999999995</v>
      </c>
    </row>
    <row r="920" spans="2:5">
      <c r="B920" s="4296" t="s">
        <v>7637</v>
      </c>
      <c r="C920" s="4296" t="s">
        <v>8320</v>
      </c>
      <c r="D920" s="4296" t="s">
        <v>5231</v>
      </c>
      <c r="E920" s="4297">
        <v>0.77600000000000002</v>
      </c>
    </row>
    <row r="921" spans="2:5">
      <c r="B921" s="4296" t="s">
        <v>7639</v>
      </c>
      <c r="C921" s="4296" t="s">
        <v>8321</v>
      </c>
      <c r="D921" s="4296" t="s">
        <v>4897</v>
      </c>
      <c r="E921" s="4297">
        <v>0.77500000000000002</v>
      </c>
    </row>
    <row r="922" spans="2:5">
      <c r="B922" s="4296" t="s">
        <v>7641</v>
      </c>
      <c r="C922" s="4296" t="s">
        <v>7582</v>
      </c>
      <c r="D922" s="4296" t="s">
        <v>5222</v>
      </c>
      <c r="E922" s="4297">
        <v>0.77419399999999994</v>
      </c>
    </row>
    <row r="923" spans="2:5">
      <c r="B923" s="4296" t="s">
        <v>7643</v>
      </c>
      <c r="C923" s="4296" t="s">
        <v>6670</v>
      </c>
      <c r="D923" s="4296" t="s">
        <v>5231</v>
      </c>
      <c r="E923" s="4297">
        <v>0.75136299999999989</v>
      </c>
    </row>
    <row r="924" spans="2:5">
      <c r="B924" s="4296" t="s">
        <v>7645</v>
      </c>
      <c r="C924" s="4296" t="s">
        <v>8322</v>
      </c>
      <c r="D924" s="4296" t="s">
        <v>4897</v>
      </c>
      <c r="E924" s="4297">
        <v>0.75000000000000011</v>
      </c>
    </row>
    <row r="925" spans="2:5">
      <c r="B925" s="4296" t="s">
        <v>7647</v>
      </c>
      <c r="C925" s="4296" t="s">
        <v>8323</v>
      </c>
      <c r="D925" s="4296" t="s">
        <v>4897</v>
      </c>
      <c r="E925" s="4297">
        <v>0.75</v>
      </c>
    </row>
    <row r="926" spans="2:5">
      <c r="B926" s="4296" t="s">
        <v>7648</v>
      </c>
      <c r="C926" s="4296" t="s">
        <v>8324</v>
      </c>
      <c r="D926" s="4296" t="s">
        <v>4897</v>
      </c>
      <c r="E926" s="4297">
        <v>0.75</v>
      </c>
    </row>
    <row r="927" spans="2:5">
      <c r="B927" s="4296" t="s">
        <v>7650</v>
      </c>
      <c r="C927" s="4296" t="s">
        <v>8325</v>
      </c>
      <c r="D927" s="4296" t="s">
        <v>4897</v>
      </c>
      <c r="E927" s="4297">
        <v>0.75</v>
      </c>
    </row>
    <row r="928" spans="2:5">
      <c r="B928" s="4296" t="s">
        <v>7652</v>
      </c>
      <c r="C928" s="4296" t="s">
        <v>7523</v>
      </c>
      <c r="D928" s="4296" t="s">
        <v>5222</v>
      </c>
      <c r="E928" s="4297">
        <v>0.75</v>
      </c>
    </row>
    <row r="929" spans="2:5">
      <c r="B929" s="4296" t="s">
        <v>7654</v>
      </c>
      <c r="C929" s="4296" t="s">
        <v>8326</v>
      </c>
      <c r="D929" s="4296" t="s">
        <v>4897</v>
      </c>
      <c r="E929" s="4297">
        <v>0.74999999999999989</v>
      </c>
    </row>
    <row r="930" spans="2:5">
      <c r="B930" s="4296" t="s">
        <v>7655</v>
      </c>
      <c r="C930" s="4296" t="s">
        <v>7595</v>
      </c>
      <c r="D930" s="4296" t="s">
        <v>5232</v>
      </c>
      <c r="E930" s="4297">
        <v>0.74523900000000032</v>
      </c>
    </row>
    <row r="931" spans="2:5">
      <c r="B931" s="4296" t="s">
        <v>7657</v>
      </c>
      <c r="C931" s="4296" t="s">
        <v>8327</v>
      </c>
      <c r="D931" s="4296" t="s">
        <v>5232</v>
      </c>
      <c r="E931" s="4297">
        <v>0.74250099999999997</v>
      </c>
    </row>
    <row r="932" spans="2:5">
      <c r="B932" s="4296" t="s">
        <v>7659</v>
      </c>
      <c r="C932" s="4287" t="s">
        <v>8328</v>
      </c>
      <c r="D932" s="4287" t="s">
        <v>4674</v>
      </c>
      <c r="E932" s="4297">
        <v>0.74175000000000002</v>
      </c>
    </row>
    <row r="933" spans="2:5">
      <c r="B933" s="4296" t="s">
        <v>7660</v>
      </c>
      <c r="C933" s="4296" t="s">
        <v>8329</v>
      </c>
      <c r="D933" s="4296" t="s">
        <v>4987</v>
      </c>
      <c r="E933" s="4297">
        <v>0.72356900000000002</v>
      </c>
    </row>
    <row r="934" spans="2:5">
      <c r="B934" s="4296" t="s">
        <v>7661</v>
      </c>
      <c r="C934" s="4296" t="s">
        <v>8330</v>
      </c>
      <c r="D934" s="4296" t="s">
        <v>5222</v>
      </c>
      <c r="E934" s="4297">
        <v>0.72153</v>
      </c>
    </row>
    <row r="935" spans="2:5">
      <c r="B935" s="4296" t="s">
        <v>7663</v>
      </c>
      <c r="C935" s="4296" t="s">
        <v>7541</v>
      </c>
      <c r="D935" s="4296" t="s">
        <v>4987</v>
      </c>
      <c r="E935" s="4297">
        <v>0.72011999999999998</v>
      </c>
    </row>
    <row r="936" spans="2:5">
      <c r="B936" s="4296" t="s">
        <v>7665</v>
      </c>
      <c r="C936" s="4296" t="s">
        <v>8331</v>
      </c>
      <c r="D936" s="4296" t="s">
        <v>5222</v>
      </c>
      <c r="E936" s="4297">
        <v>0.71901400000000004</v>
      </c>
    </row>
    <row r="937" spans="2:5">
      <c r="B937" s="4296" t="s">
        <v>7666</v>
      </c>
      <c r="C937" s="4296" t="s">
        <v>8332</v>
      </c>
      <c r="D937" s="4296" t="s">
        <v>5222</v>
      </c>
      <c r="E937" s="4297">
        <v>0.71582099999999993</v>
      </c>
    </row>
    <row r="938" spans="2:5">
      <c r="B938" s="4296" t="s">
        <v>7668</v>
      </c>
      <c r="C938" s="4296" t="s">
        <v>8333</v>
      </c>
      <c r="D938" s="4296" t="s">
        <v>5222</v>
      </c>
      <c r="E938" s="4297">
        <v>0.7</v>
      </c>
    </row>
    <row r="939" spans="2:5">
      <c r="B939" s="4296" t="s">
        <v>7670</v>
      </c>
      <c r="C939" s="4296" t="s">
        <v>8334</v>
      </c>
      <c r="D939" s="4296" t="s">
        <v>5222</v>
      </c>
      <c r="E939" s="4297">
        <v>0.7</v>
      </c>
    </row>
    <row r="940" spans="2:5">
      <c r="B940" s="4296" t="s">
        <v>7672</v>
      </c>
      <c r="C940" s="4296" t="s">
        <v>8335</v>
      </c>
      <c r="D940" s="4296" t="s">
        <v>5222</v>
      </c>
      <c r="E940" s="4297">
        <v>0.69699999999999995</v>
      </c>
    </row>
    <row r="941" spans="2:5">
      <c r="B941" s="4296" t="s">
        <v>7674</v>
      </c>
      <c r="C941" s="4296" t="s">
        <v>8336</v>
      </c>
      <c r="D941" s="4296" t="s">
        <v>5222</v>
      </c>
      <c r="E941" s="4297">
        <v>0.68965500000000002</v>
      </c>
    </row>
    <row r="942" spans="2:5">
      <c r="B942" s="4296" t="s">
        <v>7676</v>
      </c>
      <c r="C942" s="4296" t="s">
        <v>8337</v>
      </c>
      <c r="D942" s="4296" t="s">
        <v>4987</v>
      </c>
      <c r="E942" s="4297">
        <v>0.67776000000000003</v>
      </c>
    </row>
    <row r="943" spans="2:5">
      <c r="B943" s="4296" t="s">
        <v>7678</v>
      </c>
      <c r="C943" s="4296" t="s">
        <v>8338</v>
      </c>
      <c r="D943" s="4296" t="s">
        <v>4987</v>
      </c>
      <c r="E943" s="4297">
        <v>0.66850100000000001</v>
      </c>
    </row>
    <row r="944" spans="2:5">
      <c r="B944" s="4296" t="s">
        <v>7680</v>
      </c>
      <c r="C944" s="4296" t="s">
        <v>8339</v>
      </c>
      <c r="D944" s="4296" t="s">
        <v>5222</v>
      </c>
      <c r="E944" s="4297">
        <v>0.6657519999999999</v>
      </c>
    </row>
    <row r="945" spans="2:5">
      <c r="B945" s="4296" t="s">
        <v>7682</v>
      </c>
      <c r="C945" s="4296" t="s">
        <v>8340</v>
      </c>
      <c r="D945" s="4296" t="s">
        <v>5222</v>
      </c>
      <c r="E945" s="4297">
        <v>0.65</v>
      </c>
    </row>
    <row r="946" spans="2:5">
      <c r="B946" s="4296" t="s">
        <v>7684</v>
      </c>
      <c r="C946" s="4296" t="s">
        <v>8341</v>
      </c>
      <c r="D946" s="4296" t="s">
        <v>4897</v>
      </c>
      <c r="E946" s="4297">
        <v>0.64680000000000004</v>
      </c>
    </row>
    <row r="947" spans="2:5">
      <c r="B947" s="4296" t="s">
        <v>7686</v>
      </c>
      <c r="C947" s="4296" t="s">
        <v>8342</v>
      </c>
      <c r="D947" s="4296" t="s">
        <v>4987</v>
      </c>
      <c r="E947" s="4297">
        <v>0.64007999999999998</v>
      </c>
    </row>
    <row r="948" spans="2:5">
      <c r="B948" s="4296" t="s">
        <v>7688</v>
      </c>
      <c r="C948" s="4296" t="s">
        <v>8343</v>
      </c>
      <c r="D948" s="4296" t="s">
        <v>4987</v>
      </c>
      <c r="E948" s="4297">
        <v>0.63539999999999996</v>
      </c>
    </row>
    <row r="949" spans="2:5">
      <c r="B949" s="4296" t="s">
        <v>7689</v>
      </c>
      <c r="C949" s="4296" t="s">
        <v>8344</v>
      </c>
      <c r="D949" s="4296" t="s">
        <v>5222</v>
      </c>
      <c r="E949" s="4297">
        <v>0.61799999999999999</v>
      </c>
    </row>
    <row r="950" spans="2:5">
      <c r="B950" s="4296" t="s">
        <v>7691</v>
      </c>
      <c r="C950" s="4296" t="s">
        <v>8345</v>
      </c>
      <c r="D950" s="4296" t="s">
        <v>4897</v>
      </c>
      <c r="E950" s="4297">
        <v>0.60714199999999996</v>
      </c>
    </row>
    <row r="951" spans="2:5">
      <c r="B951" s="4296" t="s">
        <v>7693</v>
      </c>
      <c r="C951" s="4296" t="s">
        <v>8346</v>
      </c>
      <c r="D951" s="4296" t="s">
        <v>4897</v>
      </c>
      <c r="E951" s="4297">
        <v>0.6</v>
      </c>
    </row>
    <row r="952" spans="2:5">
      <c r="B952" s="4296" t="s">
        <v>7695</v>
      </c>
      <c r="C952" s="4296" t="s">
        <v>8347</v>
      </c>
      <c r="D952" s="4296" t="s">
        <v>4897</v>
      </c>
      <c r="E952" s="4297">
        <v>0.6</v>
      </c>
    </row>
    <row r="953" spans="2:5">
      <c r="B953" s="4296" t="s">
        <v>7697</v>
      </c>
      <c r="C953" s="4296" t="s">
        <v>8348</v>
      </c>
      <c r="D953" s="4296" t="s">
        <v>4897</v>
      </c>
      <c r="E953" s="4297">
        <v>0.6</v>
      </c>
    </row>
    <row r="954" spans="2:5">
      <c r="B954" s="4296" t="s">
        <v>7699</v>
      </c>
      <c r="C954" s="4296" t="s">
        <v>8349</v>
      </c>
      <c r="D954" s="4296" t="s">
        <v>4897</v>
      </c>
      <c r="E954" s="4297">
        <v>0.6</v>
      </c>
    </row>
    <row r="955" spans="2:5">
      <c r="B955" s="4296" t="s">
        <v>7701</v>
      </c>
      <c r="C955" s="4296" t="s">
        <v>8350</v>
      </c>
      <c r="D955" s="4296" t="s">
        <v>4897</v>
      </c>
      <c r="E955" s="4297">
        <v>0.6</v>
      </c>
    </row>
    <row r="956" spans="2:5">
      <c r="B956" s="4296" t="s">
        <v>7703</v>
      </c>
      <c r="C956" s="4296" t="s">
        <v>8351</v>
      </c>
      <c r="D956" s="4296" t="s">
        <v>4897</v>
      </c>
      <c r="E956" s="4297">
        <v>0.6</v>
      </c>
    </row>
    <row r="957" spans="2:5">
      <c r="B957" s="4296" t="s">
        <v>7705</v>
      </c>
      <c r="C957" s="4296" t="s">
        <v>8352</v>
      </c>
      <c r="D957" s="4296" t="s">
        <v>4897</v>
      </c>
      <c r="E957" s="4297">
        <v>0.6</v>
      </c>
    </row>
    <row r="958" spans="2:5">
      <c r="B958" s="4296" t="s">
        <v>7707</v>
      </c>
      <c r="C958" s="4296" t="s">
        <v>8353</v>
      </c>
      <c r="D958" s="4296" t="s">
        <v>4897</v>
      </c>
      <c r="E958" s="4297">
        <v>0.6</v>
      </c>
    </row>
    <row r="959" spans="2:5">
      <c r="B959" s="4296" t="s">
        <v>7709</v>
      </c>
      <c r="C959" s="4296" t="s">
        <v>8354</v>
      </c>
      <c r="D959" s="4296" t="s">
        <v>5222</v>
      </c>
      <c r="E959" s="4297">
        <v>0.6</v>
      </c>
    </row>
    <row r="960" spans="2:5">
      <c r="B960" s="4296" t="s">
        <v>7711</v>
      </c>
      <c r="C960" s="4296" t="s">
        <v>8355</v>
      </c>
      <c r="D960" s="4296" t="s">
        <v>5222</v>
      </c>
      <c r="E960" s="4297">
        <v>0.6</v>
      </c>
    </row>
    <row r="961" spans="2:5">
      <c r="B961" s="4296" t="s">
        <v>7713</v>
      </c>
      <c r="C961" s="4296" t="s">
        <v>8356</v>
      </c>
      <c r="D961" s="4296" t="s">
        <v>5222</v>
      </c>
      <c r="E961" s="4297">
        <v>0.6</v>
      </c>
    </row>
    <row r="962" spans="2:5">
      <c r="B962" s="4296" t="s">
        <v>7715</v>
      </c>
      <c r="C962" s="4296" t="s">
        <v>8357</v>
      </c>
      <c r="D962" s="4296" t="s">
        <v>5222</v>
      </c>
      <c r="E962" s="4297">
        <v>0.6</v>
      </c>
    </row>
    <row r="963" spans="2:5">
      <c r="B963" s="4296" t="s">
        <v>7717</v>
      </c>
      <c r="C963" s="4296" t="s">
        <v>8358</v>
      </c>
      <c r="D963" s="4296" t="s">
        <v>4987</v>
      </c>
      <c r="E963" s="4297">
        <v>0.59440599999999999</v>
      </c>
    </row>
    <row r="964" spans="2:5">
      <c r="B964" s="4296" t="s">
        <v>7719</v>
      </c>
      <c r="C964" s="4296" t="s">
        <v>7615</v>
      </c>
      <c r="D964" s="4296" t="s">
        <v>4897</v>
      </c>
      <c r="E964" s="4297">
        <v>0.58524600000000004</v>
      </c>
    </row>
    <row r="965" spans="2:5">
      <c r="B965" s="4296" t="s">
        <v>7721</v>
      </c>
      <c r="C965" s="4296" t="s">
        <v>7696</v>
      </c>
      <c r="D965" s="4296" t="s">
        <v>5232</v>
      </c>
      <c r="E965" s="4297">
        <v>0.58320000000000005</v>
      </c>
    </row>
    <row r="966" spans="2:5">
      <c r="B966" s="4296" t="s">
        <v>7723</v>
      </c>
      <c r="C966" s="4296" t="s">
        <v>8359</v>
      </c>
      <c r="D966" s="4296" t="s">
        <v>5222</v>
      </c>
      <c r="E966" s="4297">
        <v>0.57379999999999998</v>
      </c>
    </row>
    <row r="967" spans="2:5">
      <c r="B967" s="4296" t="s">
        <v>7725</v>
      </c>
      <c r="C967" s="4296" t="s">
        <v>8360</v>
      </c>
      <c r="D967" s="4296" t="s">
        <v>4674</v>
      </c>
      <c r="E967" s="4297">
        <v>0.57345600000000008</v>
      </c>
    </row>
    <row r="968" spans="2:5">
      <c r="B968" s="4296" t="s">
        <v>7727</v>
      </c>
      <c r="C968" s="4296" t="s">
        <v>7153</v>
      </c>
      <c r="D968" s="4296" t="s">
        <v>4674</v>
      </c>
      <c r="E968" s="4297">
        <v>0.56983100000000009</v>
      </c>
    </row>
    <row r="969" spans="2:5">
      <c r="B969" s="4296" t="s">
        <v>7729</v>
      </c>
      <c r="C969" s="4296" t="s">
        <v>8361</v>
      </c>
      <c r="D969" s="4296" t="s">
        <v>6044</v>
      </c>
      <c r="E969" s="4297">
        <v>0.55125000000000002</v>
      </c>
    </row>
    <row r="970" spans="2:5">
      <c r="B970" s="4296" t="s">
        <v>7731</v>
      </c>
      <c r="C970" s="4296" t="s">
        <v>8362</v>
      </c>
      <c r="D970" s="4296" t="s">
        <v>5222</v>
      </c>
      <c r="E970" s="4297">
        <v>0.55000000000000004</v>
      </c>
    </row>
    <row r="971" spans="2:5">
      <c r="B971" s="4296" t="s">
        <v>7733</v>
      </c>
      <c r="C971" s="4296" t="s">
        <v>8363</v>
      </c>
      <c r="D971" s="4296" t="s">
        <v>5222</v>
      </c>
      <c r="E971" s="4297">
        <v>0.55000000000000004</v>
      </c>
    </row>
    <row r="972" spans="2:5">
      <c r="B972" s="4296" t="s">
        <v>7735</v>
      </c>
      <c r="C972" s="4296" t="s">
        <v>7522</v>
      </c>
      <c r="D972" s="4296" t="s">
        <v>4897</v>
      </c>
      <c r="E972" s="4297">
        <v>0.54838799999999999</v>
      </c>
    </row>
    <row r="973" spans="2:5">
      <c r="B973" s="4296" t="s">
        <v>7737</v>
      </c>
      <c r="C973" s="4296" t="s">
        <v>7646</v>
      </c>
      <c r="D973" s="4296" t="s">
        <v>5232</v>
      </c>
      <c r="E973" s="4297">
        <v>0.54450100000000001</v>
      </c>
    </row>
    <row r="974" spans="2:5">
      <c r="B974" s="4296" t="s">
        <v>7739</v>
      </c>
      <c r="C974" s="4296" t="s">
        <v>7620</v>
      </c>
      <c r="D974" s="4296" t="s">
        <v>5232</v>
      </c>
      <c r="E974" s="4297">
        <v>0.54028700000000007</v>
      </c>
    </row>
    <row r="975" spans="2:5">
      <c r="B975" s="4296" t="s">
        <v>7741</v>
      </c>
      <c r="C975" s="4296" t="s">
        <v>8364</v>
      </c>
      <c r="D975" s="4296" t="s">
        <v>4987</v>
      </c>
      <c r="E975" s="4297">
        <v>0.53046000000000004</v>
      </c>
    </row>
    <row r="976" spans="2:5">
      <c r="B976" s="4296" t="s">
        <v>7743</v>
      </c>
      <c r="C976" s="4296" t="s">
        <v>7292</v>
      </c>
      <c r="D976" s="4296" t="s">
        <v>4987</v>
      </c>
      <c r="E976" s="4297">
        <v>0.51533999999999991</v>
      </c>
    </row>
    <row r="977" spans="2:5">
      <c r="B977" s="4296" t="s">
        <v>7745</v>
      </c>
      <c r="C977" s="4296" t="s">
        <v>8365</v>
      </c>
      <c r="D977" s="4296" t="s">
        <v>5222</v>
      </c>
      <c r="E977" s="4297">
        <v>0.51</v>
      </c>
    </row>
    <row r="978" spans="2:5">
      <c r="B978" s="4296" t="s">
        <v>8366</v>
      </c>
      <c r="C978" s="4296" t="s">
        <v>8367</v>
      </c>
      <c r="D978" s="4296" t="s">
        <v>4987</v>
      </c>
      <c r="E978" s="4297">
        <v>0.50975999999999999</v>
      </c>
    </row>
    <row r="979" spans="2:5">
      <c r="B979" s="4296" t="s">
        <v>8368</v>
      </c>
      <c r="C979" s="4296" t="s">
        <v>8369</v>
      </c>
      <c r="D979" s="4296" t="s">
        <v>4897</v>
      </c>
      <c r="E979" s="4297">
        <v>0.50000000000000011</v>
      </c>
    </row>
    <row r="980" spans="2:5">
      <c r="B980" s="4296" t="s">
        <v>8370</v>
      </c>
      <c r="C980" s="4296" t="s">
        <v>8371</v>
      </c>
      <c r="D980" s="4296" t="s">
        <v>5222</v>
      </c>
      <c r="E980" s="4297">
        <v>0.5</v>
      </c>
    </row>
    <row r="981" spans="2:5">
      <c r="B981" s="4296" t="s">
        <v>8372</v>
      </c>
      <c r="C981" s="4296" t="s">
        <v>8373</v>
      </c>
      <c r="D981" s="4296" t="s">
        <v>5222</v>
      </c>
      <c r="E981" s="4297">
        <v>0.5</v>
      </c>
    </row>
    <row r="982" spans="2:5">
      <c r="B982" s="4296" t="s">
        <v>8374</v>
      </c>
      <c r="C982" s="4296" t="s">
        <v>8375</v>
      </c>
      <c r="D982" s="4296" t="s">
        <v>5222</v>
      </c>
      <c r="E982" s="4297">
        <v>0.5</v>
      </c>
    </row>
    <row r="983" spans="2:5">
      <c r="B983" s="4296" t="s">
        <v>8376</v>
      </c>
      <c r="C983" s="4296" t="s">
        <v>8377</v>
      </c>
      <c r="D983" s="4296" t="s">
        <v>5222</v>
      </c>
      <c r="E983" s="4297">
        <v>0.5</v>
      </c>
    </row>
    <row r="984" spans="2:5">
      <c r="B984" s="4296" t="s">
        <v>8378</v>
      </c>
      <c r="C984" s="4296" t="s">
        <v>8379</v>
      </c>
      <c r="D984" s="4296" t="s">
        <v>5222</v>
      </c>
      <c r="E984" s="4297">
        <v>0.5</v>
      </c>
    </row>
    <row r="985" spans="2:5">
      <c r="B985" s="4296" t="s">
        <v>8380</v>
      </c>
      <c r="C985" s="4296" t="s">
        <v>7555</v>
      </c>
      <c r="D985" s="4296" t="s">
        <v>5222</v>
      </c>
      <c r="E985" s="4297">
        <v>0.5</v>
      </c>
    </row>
    <row r="986" spans="2:5">
      <c r="B986" s="4296" t="s">
        <v>8381</v>
      </c>
      <c r="C986" s="4296" t="s">
        <v>8382</v>
      </c>
      <c r="D986" s="4296" t="s">
        <v>4897</v>
      </c>
      <c r="E986" s="4297">
        <v>0.49166599999999999</v>
      </c>
    </row>
    <row r="987" spans="2:5">
      <c r="B987" s="4296" t="s">
        <v>8383</v>
      </c>
      <c r="C987" s="4296" t="s">
        <v>7576</v>
      </c>
      <c r="D987" s="4296" t="s">
        <v>4987</v>
      </c>
      <c r="E987" s="4297">
        <v>0.46489200000000003</v>
      </c>
    </row>
    <row r="988" spans="2:5">
      <c r="B988" s="4296" t="s">
        <v>8384</v>
      </c>
      <c r="C988" s="4296" t="s">
        <v>7325</v>
      </c>
      <c r="D988" s="4296" t="s">
        <v>4897</v>
      </c>
      <c r="E988" s="4297">
        <v>0.461538</v>
      </c>
    </row>
    <row r="989" spans="2:5">
      <c r="B989" s="4296" t="s">
        <v>8385</v>
      </c>
      <c r="C989" s="4296" t="s">
        <v>8386</v>
      </c>
      <c r="D989" s="4296" t="s">
        <v>4897</v>
      </c>
      <c r="E989" s="4297">
        <v>0.45</v>
      </c>
    </row>
    <row r="990" spans="2:5">
      <c r="B990" s="4296" t="s">
        <v>8387</v>
      </c>
      <c r="C990" s="4296" t="s">
        <v>8388</v>
      </c>
      <c r="D990" s="4296" t="s">
        <v>4987</v>
      </c>
      <c r="E990" s="4297">
        <v>0.446853</v>
      </c>
    </row>
    <row r="991" spans="2:5">
      <c r="B991" s="4296" t="s">
        <v>8389</v>
      </c>
      <c r="C991" s="4296" t="s">
        <v>8390</v>
      </c>
      <c r="D991" s="4296" t="s">
        <v>4897</v>
      </c>
      <c r="E991" s="4297">
        <v>0.44383500000000004</v>
      </c>
    </row>
    <row r="992" spans="2:5">
      <c r="B992" s="4296" t="s">
        <v>8391</v>
      </c>
      <c r="C992" s="4296" t="s">
        <v>8392</v>
      </c>
      <c r="D992" s="4296" t="s">
        <v>4897</v>
      </c>
      <c r="E992" s="4297">
        <v>0.44383500000000004</v>
      </c>
    </row>
    <row r="993" spans="2:5">
      <c r="B993" s="4296" t="s">
        <v>8393</v>
      </c>
      <c r="C993" s="4296" t="s">
        <v>7454</v>
      </c>
      <c r="D993" s="4296" t="s">
        <v>5222</v>
      </c>
      <c r="E993" s="4297">
        <v>0.44</v>
      </c>
    </row>
    <row r="994" spans="2:5">
      <c r="B994" s="4296" t="s">
        <v>8394</v>
      </c>
      <c r="C994" s="4296" t="s">
        <v>7630</v>
      </c>
      <c r="D994" s="4296" t="s">
        <v>5232</v>
      </c>
      <c r="E994" s="4297">
        <v>0.43732500000000002</v>
      </c>
    </row>
    <row r="995" spans="2:5">
      <c r="B995" s="4296" t="s">
        <v>8395</v>
      </c>
      <c r="C995" s="4296" t="s">
        <v>8396</v>
      </c>
      <c r="D995" s="4296" t="s">
        <v>4897</v>
      </c>
      <c r="E995" s="4297">
        <v>0.433697</v>
      </c>
    </row>
    <row r="996" spans="2:5">
      <c r="B996" s="4296" t="s">
        <v>8397</v>
      </c>
      <c r="C996" s="4296" t="s">
        <v>8398</v>
      </c>
      <c r="D996" s="4296" t="s">
        <v>4987</v>
      </c>
      <c r="E996" s="4297">
        <v>0.43343999999999994</v>
      </c>
    </row>
    <row r="997" spans="2:5">
      <c r="B997" s="4296" t="s">
        <v>8399</v>
      </c>
      <c r="C997" s="4296" t="s">
        <v>8400</v>
      </c>
      <c r="D997" s="4296" t="s">
        <v>4897</v>
      </c>
      <c r="E997" s="4297">
        <v>0.42673900000000003</v>
      </c>
    </row>
    <row r="998" spans="2:5">
      <c r="B998" s="4296" t="s">
        <v>8401</v>
      </c>
      <c r="C998" s="4296" t="s">
        <v>8402</v>
      </c>
      <c r="D998" s="4296" t="s">
        <v>4897</v>
      </c>
      <c r="E998" s="4297">
        <v>0.4</v>
      </c>
    </row>
    <row r="999" spans="2:5">
      <c r="B999" s="4296" t="s">
        <v>8403</v>
      </c>
      <c r="C999" s="4296" t="s">
        <v>8404</v>
      </c>
      <c r="D999" s="4296" t="s">
        <v>5222</v>
      </c>
      <c r="E999" s="4297">
        <v>0.4</v>
      </c>
    </row>
    <row r="1000" spans="2:5">
      <c r="B1000" s="4296" t="s">
        <v>8405</v>
      </c>
      <c r="C1000" s="4296" t="s">
        <v>8406</v>
      </c>
      <c r="D1000" s="4296" t="s">
        <v>5222</v>
      </c>
      <c r="E1000" s="4297">
        <v>0.4</v>
      </c>
    </row>
    <row r="1001" spans="2:5">
      <c r="B1001" s="4296" t="s">
        <v>8407</v>
      </c>
      <c r="C1001" s="4296" t="s">
        <v>8408</v>
      </c>
      <c r="D1001" s="4296" t="s">
        <v>5222</v>
      </c>
      <c r="E1001" s="4297">
        <v>0.4</v>
      </c>
    </row>
    <row r="1002" spans="2:5">
      <c r="B1002" s="4296" t="s">
        <v>8409</v>
      </c>
      <c r="C1002" s="4296" t="s">
        <v>7461</v>
      </c>
      <c r="D1002" s="4296" t="s">
        <v>5222</v>
      </c>
      <c r="E1002" s="4297">
        <v>0.4</v>
      </c>
    </row>
    <row r="1003" spans="2:5">
      <c r="B1003" s="4296" t="s">
        <v>8410</v>
      </c>
      <c r="C1003" s="4296" t="s">
        <v>8411</v>
      </c>
      <c r="D1003" s="4296" t="s">
        <v>5222</v>
      </c>
      <c r="E1003" s="4297">
        <v>0.4</v>
      </c>
    </row>
    <row r="1004" spans="2:5">
      <c r="B1004" s="4296" t="s">
        <v>8412</v>
      </c>
      <c r="C1004" s="4296" t="s">
        <v>7653</v>
      </c>
      <c r="D1004" s="4296" t="s">
        <v>5232</v>
      </c>
      <c r="E1004" s="4297">
        <v>0.39191600000000038</v>
      </c>
    </row>
    <row r="1005" spans="2:5">
      <c r="B1005" s="4296" t="s">
        <v>8413</v>
      </c>
      <c r="C1005" s="4296" t="s">
        <v>8414</v>
      </c>
      <c r="D1005" s="4296" t="s">
        <v>5222</v>
      </c>
      <c r="E1005" s="4297">
        <v>0.39</v>
      </c>
    </row>
    <row r="1006" spans="2:5">
      <c r="B1006" s="4296" t="s">
        <v>8415</v>
      </c>
      <c r="C1006" s="4296" t="s">
        <v>8416</v>
      </c>
      <c r="D1006" s="4296" t="s">
        <v>4987</v>
      </c>
      <c r="E1006" s="4297">
        <v>0.36386299999999999</v>
      </c>
    </row>
    <row r="1007" spans="2:5">
      <c r="B1007" s="4296" t="s">
        <v>8417</v>
      </c>
      <c r="C1007" s="4296" t="s">
        <v>8418</v>
      </c>
      <c r="D1007" s="4296" t="s">
        <v>4897</v>
      </c>
      <c r="E1007" s="4297">
        <v>0.36</v>
      </c>
    </row>
    <row r="1008" spans="2:5">
      <c r="B1008" s="4296" t="s">
        <v>8419</v>
      </c>
      <c r="C1008" s="4296" t="s">
        <v>8420</v>
      </c>
      <c r="D1008" s="4296" t="s">
        <v>4987</v>
      </c>
      <c r="E1008" s="4297">
        <v>0.35215999999999997</v>
      </c>
    </row>
    <row r="1009" spans="2:5">
      <c r="B1009" s="4296" t="s">
        <v>8421</v>
      </c>
      <c r="C1009" s="4296" t="s">
        <v>8422</v>
      </c>
      <c r="D1009" s="4296" t="s">
        <v>4987</v>
      </c>
      <c r="E1009" s="4297">
        <v>0.35174800000000006</v>
      </c>
    </row>
    <row r="1010" spans="2:5">
      <c r="B1010" s="4296" t="s">
        <v>8423</v>
      </c>
      <c r="C1010" s="4296" t="s">
        <v>8424</v>
      </c>
      <c r="D1010" s="4296" t="s">
        <v>5222</v>
      </c>
      <c r="E1010" s="4297">
        <v>0.35</v>
      </c>
    </row>
    <row r="1011" spans="2:5">
      <c r="B1011" s="4296" t="s">
        <v>8425</v>
      </c>
      <c r="C1011" s="4296" t="s">
        <v>8426</v>
      </c>
      <c r="D1011" s="4296" t="s">
        <v>5222</v>
      </c>
      <c r="E1011" s="4297">
        <v>0.35</v>
      </c>
    </row>
    <row r="1012" spans="2:5">
      <c r="B1012" s="4296" t="s">
        <v>8427</v>
      </c>
      <c r="C1012" s="4296" t="s">
        <v>8428</v>
      </c>
      <c r="D1012" s="4296" t="s">
        <v>5222</v>
      </c>
      <c r="E1012" s="4297">
        <v>0.34849300000000005</v>
      </c>
    </row>
    <row r="1013" spans="2:5">
      <c r="B1013" s="4296" t="s">
        <v>8429</v>
      </c>
      <c r="C1013" s="4296" t="s">
        <v>7708</v>
      </c>
      <c r="D1013" s="4296" t="s">
        <v>5232</v>
      </c>
      <c r="E1013" s="4297">
        <v>0.34155600000000003</v>
      </c>
    </row>
    <row r="1014" spans="2:5">
      <c r="B1014" s="4296" t="s">
        <v>8430</v>
      </c>
      <c r="C1014" s="4296" t="s">
        <v>8431</v>
      </c>
      <c r="D1014" s="4296" t="s">
        <v>4987</v>
      </c>
      <c r="E1014" s="4297">
        <v>0.33888000000000001</v>
      </c>
    </row>
    <row r="1015" spans="2:5">
      <c r="B1015" s="4296" t="s">
        <v>8432</v>
      </c>
      <c r="C1015" s="4296" t="s">
        <v>7276</v>
      </c>
      <c r="D1015" s="4296" t="s">
        <v>5222</v>
      </c>
      <c r="E1015" s="4297">
        <v>0.33214299999999997</v>
      </c>
    </row>
    <row r="1016" spans="2:5">
      <c r="B1016" s="4296" t="s">
        <v>8433</v>
      </c>
      <c r="C1016" s="4296" t="s">
        <v>8434</v>
      </c>
      <c r="D1016" s="4296" t="s">
        <v>4897</v>
      </c>
      <c r="E1016" s="4297">
        <v>0.33</v>
      </c>
    </row>
    <row r="1017" spans="2:5">
      <c r="B1017" s="4296" t="s">
        <v>8435</v>
      </c>
      <c r="C1017" s="4296" t="s">
        <v>8436</v>
      </c>
      <c r="D1017" s="4296" t="s">
        <v>5222</v>
      </c>
      <c r="E1017" s="4297">
        <v>0.33</v>
      </c>
    </row>
    <row r="1018" spans="2:5">
      <c r="B1018" s="4296" t="s">
        <v>8437</v>
      </c>
      <c r="C1018" s="4296" t="s">
        <v>8438</v>
      </c>
      <c r="D1018" s="4296" t="s">
        <v>4987</v>
      </c>
      <c r="E1018" s="4297">
        <v>0.32924700000000001</v>
      </c>
    </row>
    <row r="1019" spans="2:5">
      <c r="B1019" s="4296" t="s">
        <v>8439</v>
      </c>
      <c r="C1019" s="4296" t="s">
        <v>8440</v>
      </c>
      <c r="D1019" s="4296" t="s">
        <v>5232</v>
      </c>
      <c r="E1019" s="4297">
        <v>0.32850700000000005</v>
      </c>
    </row>
    <row r="1020" spans="2:5">
      <c r="B1020" s="4296" t="s">
        <v>8441</v>
      </c>
      <c r="C1020" s="4296" t="s">
        <v>8442</v>
      </c>
      <c r="D1020" s="4296" t="s">
        <v>4897</v>
      </c>
      <c r="E1020" s="4297">
        <v>0.32</v>
      </c>
    </row>
    <row r="1021" spans="2:5">
      <c r="B1021" s="4296" t="s">
        <v>8443</v>
      </c>
      <c r="C1021" s="4296" t="s">
        <v>8444</v>
      </c>
      <c r="D1021" s="4296" t="s">
        <v>4897</v>
      </c>
      <c r="E1021" s="4297">
        <v>0.32</v>
      </c>
    </row>
    <row r="1022" spans="2:5">
      <c r="B1022" s="4296" t="s">
        <v>8445</v>
      </c>
      <c r="C1022" s="4296" t="s">
        <v>8446</v>
      </c>
      <c r="D1022" s="4296" t="s">
        <v>4987</v>
      </c>
      <c r="E1022" s="4297">
        <v>0.31769999999999998</v>
      </c>
    </row>
    <row r="1023" spans="2:5">
      <c r="B1023" s="4296" t="s">
        <v>8447</v>
      </c>
      <c r="C1023" s="4296" t="s">
        <v>8448</v>
      </c>
      <c r="D1023" s="4296" t="s">
        <v>4897</v>
      </c>
      <c r="E1023" s="4297">
        <v>0.30219000000000001</v>
      </c>
    </row>
    <row r="1024" spans="2:5">
      <c r="B1024" s="4296" t="s">
        <v>8449</v>
      </c>
      <c r="C1024" s="4296" t="s">
        <v>8450</v>
      </c>
      <c r="D1024" s="4296" t="s">
        <v>4897</v>
      </c>
      <c r="E1024" s="4297">
        <v>0.3</v>
      </c>
    </row>
    <row r="1025" spans="2:5">
      <c r="B1025" s="4296" t="s">
        <v>8451</v>
      </c>
      <c r="C1025" s="4296" t="s">
        <v>8452</v>
      </c>
      <c r="D1025" s="4296" t="s">
        <v>4897</v>
      </c>
      <c r="E1025" s="4297">
        <v>0.3</v>
      </c>
    </row>
    <row r="1026" spans="2:5">
      <c r="B1026" s="4296" t="s">
        <v>8453</v>
      </c>
      <c r="C1026" s="4296" t="s">
        <v>8454</v>
      </c>
      <c r="D1026" s="4296" t="s">
        <v>4897</v>
      </c>
      <c r="E1026" s="4297">
        <v>0.3</v>
      </c>
    </row>
    <row r="1027" spans="2:5">
      <c r="B1027" s="4296" t="s">
        <v>8455</v>
      </c>
      <c r="C1027" s="4296" t="s">
        <v>8456</v>
      </c>
      <c r="D1027" s="4296" t="s">
        <v>4897</v>
      </c>
      <c r="E1027" s="4297">
        <v>0.3</v>
      </c>
    </row>
    <row r="1028" spans="2:5">
      <c r="B1028" s="4296" t="s">
        <v>8457</v>
      </c>
      <c r="C1028" s="4296" t="s">
        <v>8458</v>
      </c>
      <c r="D1028" s="4296" t="s">
        <v>5222</v>
      </c>
      <c r="E1028" s="4297">
        <v>0.3</v>
      </c>
    </row>
    <row r="1029" spans="2:5">
      <c r="B1029" s="4296" t="s">
        <v>8459</v>
      </c>
      <c r="C1029" s="4296" t="s">
        <v>8460</v>
      </c>
      <c r="D1029" s="4296" t="s">
        <v>5222</v>
      </c>
      <c r="E1029" s="4297">
        <v>0.3</v>
      </c>
    </row>
    <row r="1030" spans="2:5">
      <c r="B1030" s="4296" t="s">
        <v>8461</v>
      </c>
      <c r="C1030" s="4296" t="s">
        <v>8462</v>
      </c>
      <c r="D1030" s="4296" t="s">
        <v>5222</v>
      </c>
      <c r="E1030" s="4297">
        <v>0.3</v>
      </c>
    </row>
    <row r="1031" spans="2:5">
      <c r="B1031" s="4296" t="s">
        <v>8463</v>
      </c>
      <c r="C1031" s="4296" t="s">
        <v>8464</v>
      </c>
      <c r="D1031" s="4296" t="s">
        <v>5222</v>
      </c>
      <c r="E1031" s="4297">
        <v>0.3</v>
      </c>
    </row>
    <row r="1032" spans="2:5">
      <c r="B1032" s="4296" t="s">
        <v>8465</v>
      </c>
      <c r="C1032" s="4296" t="s">
        <v>8466</v>
      </c>
      <c r="D1032" s="4296" t="s">
        <v>5222</v>
      </c>
      <c r="E1032" s="4297">
        <v>0.3</v>
      </c>
    </row>
    <row r="1033" spans="2:5">
      <c r="B1033" s="4296" t="s">
        <v>8467</v>
      </c>
      <c r="C1033" s="4296" t="s">
        <v>8468</v>
      </c>
      <c r="D1033" s="4296" t="s">
        <v>5222</v>
      </c>
      <c r="E1033" s="4297">
        <v>0.3</v>
      </c>
    </row>
    <row r="1034" spans="2:5">
      <c r="B1034" s="4296" t="s">
        <v>8469</v>
      </c>
      <c r="C1034" s="4296" t="s">
        <v>8470</v>
      </c>
      <c r="D1034" s="4296" t="s">
        <v>5222</v>
      </c>
      <c r="E1034" s="4297">
        <v>0.3</v>
      </c>
    </row>
    <row r="1035" spans="2:5">
      <c r="B1035" s="4296" t="s">
        <v>8471</v>
      </c>
      <c r="C1035" s="4296" t="s">
        <v>8472</v>
      </c>
      <c r="D1035" s="4296" t="s">
        <v>5222</v>
      </c>
      <c r="E1035" s="4297">
        <v>0.3</v>
      </c>
    </row>
    <row r="1036" spans="2:5">
      <c r="B1036" s="4296" t="s">
        <v>8473</v>
      </c>
      <c r="C1036" s="4296" t="s">
        <v>8474</v>
      </c>
      <c r="D1036" s="4296" t="s">
        <v>5222</v>
      </c>
      <c r="E1036" s="4297">
        <v>0.3</v>
      </c>
    </row>
    <row r="1037" spans="2:5">
      <c r="B1037" s="4296" t="s">
        <v>8475</v>
      </c>
      <c r="C1037" s="4296" t="s">
        <v>8476</v>
      </c>
      <c r="D1037" s="4296" t="s">
        <v>5222</v>
      </c>
      <c r="E1037" s="4297">
        <v>0.3</v>
      </c>
    </row>
    <row r="1038" spans="2:5">
      <c r="B1038" s="4296" t="s">
        <v>8477</v>
      </c>
      <c r="C1038" s="4296" t="s">
        <v>8478</v>
      </c>
      <c r="D1038" s="4296" t="s">
        <v>5222</v>
      </c>
      <c r="E1038" s="4297">
        <v>0.3</v>
      </c>
    </row>
    <row r="1039" spans="2:5">
      <c r="B1039" s="4296" t="s">
        <v>8479</v>
      </c>
      <c r="C1039" s="4296" t="s">
        <v>8480</v>
      </c>
      <c r="D1039" s="4296" t="s">
        <v>4987</v>
      </c>
      <c r="E1039" s="4297">
        <v>0.3</v>
      </c>
    </row>
    <row r="1040" spans="2:5">
      <c r="B1040" s="4296" t="s">
        <v>8481</v>
      </c>
      <c r="C1040" s="4296" t="s">
        <v>8482</v>
      </c>
      <c r="D1040" s="4296" t="s">
        <v>4897</v>
      </c>
      <c r="E1040" s="4297">
        <v>0.29484399999999999</v>
      </c>
    </row>
    <row r="1041" spans="2:5">
      <c r="B1041" s="4296" t="s">
        <v>8483</v>
      </c>
      <c r="C1041" s="4287" t="s">
        <v>7667</v>
      </c>
      <c r="D1041" s="4287" t="s">
        <v>5232</v>
      </c>
      <c r="E1041" s="4297">
        <v>0.28975300000000004</v>
      </c>
    </row>
    <row r="1042" spans="2:5">
      <c r="B1042" s="4296" t="s">
        <v>8484</v>
      </c>
      <c r="C1042" s="4296" t="s">
        <v>8485</v>
      </c>
      <c r="D1042" s="4296" t="s">
        <v>5222</v>
      </c>
      <c r="E1042" s="4297">
        <v>0.28000000000000003</v>
      </c>
    </row>
    <row r="1043" spans="2:5">
      <c r="B1043" s="4296" t="s">
        <v>8486</v>
      </c>
      <c r="C1043" s="4296" t="s">
        <v>7553</v>
      </c>
      <c r="D1043" s="4296" t="s">
        <v>4897</v>
      </c>
      <c r="E1043" s="4297">
        <v>0.27868799999999999</v>
      </c>
    </row>
    <row r="1044" spans="2:5">
      <c r="B1044" s="4296" t="s">
        <v>8487</v>
      </c>
      <c r="C1044" s="4296" t="s">
        <v>7357</v>
      </c>
      <c r="D1044" s="4296" t="s">
        <v>4987</v>
      </c>
      <c r="E1044" s="4297">
        <v>0.27179999999999999</v>
      </c>
    </row>
    <row r="1045" spans="2:5">
      <c r="B1045" s="4296" t="s">
        <v>8488</v>
      </c>
      <c r="C1045" s="4296" t="s">
        <v>7399</v>
      </c>
      <c r="D1045" s="4296" t="s">
        <v>5149</v>
      </c>
      <c r="E1045" s="4297">
        <v>0.26950000000000002</v>
      </c>
    </row>
    <row r="1046" spans="2:5">
      <c r="B1046" s="4296" t="s">
        <v>8489</v>
      </c>
      <c r="C1046" s="4296" t="s">
        <v>8490</v>
      </c>
      <c r="D1046" s="4296" t="s">
        <v>5222</v>
      </c>
      <c r="E1046" s="4297">
        <v>0.25714300000000001</v>
      </c>
    </row>
    <row r="1047" spans="2:5">
      <c r="B1047" s="4296" t="s">
        <v>8491</v>
      </c>
      <c r="C1047" s="4296" t="s">
        <v>7228</v>
      </c>
      <c r="D1047" s="4296" t="s">
        <v>4987</v>
      </c>
      <c r="E1047" s="4297">
        <v>0.25254899999999997</v>
      </c>
    </row>
    <row r="1048" spans="2:5">
      <c r="B1048" s="4296" t="s">
        <v>8492</v>
      </c>
      <c r="C1048" s="4296" t="s">
        <v>8493</v>
      </c>
      <c r="D1048" s="4296" t="s">
        <v>5222</v>
      </c>
      <c r="E1048" s="4297">
        <v>0.24360000000000001</v>
      </c>
    </row>
    <row r="1049" spans="2:5">
      <c r="B1049" s="4296" t="s">
        <v>8494</v>
      </c>
      <c r="C1049" s="4287" t="s">
        <v>8495</v>
      </c>
      <c r="D1049" s="4287" t="s">
        <v>5234</v>
      </c>
      <c r="E1049" s="4297">
        <v>0.24251299999999942</v>
      </c>
    </row>
    <row r="1050" spans="2:5">
      <c r="B1050" s="4296" t="s">
        <v>8496</v>
      </c>
      <c r="C1050" s="4296" t="s">
        <v>8497</v>
      </c>
      <c r="D1050" s="4296" t="s">
        <v>4987</v>
      </c>
      <c r="E1050" s="4297">
        <v>0.23071999999999998</v>
      </c>
    </row>
    <row r="1051" spans="2:5">
      <c r="B1051" s="4296" t="s">
        <v>8498</v>
      </c>
      <c r="C1051" s="4296" t="s">
        <v>8499</v>
      </c>
      <c r="D1051" s="4296" t="s">
        <v>5232</v>
      </c>
      <c r="E1051" s="4297">
        <v>0.22511999999999999</v>
      </c>
    </row>
    <row r="1052" spans="2:5">
      <c r="B1052" s="4296" t="s">
        <v>8500</v>
      </c>
      <c r="C1052" s="4296" t="s">
        <v>8501</v>
      </c>
      <c r="D1052" s="4296" t="s">
        <v>5234</v>
      </c>
      <c r="E1052" s="4297">
        <v>0.22492300000000001</v>
      </c>
    </row>
    <row r="1053" spans="2:5">
      <c r="B1053" s="4296" t="s">
        <v>8502</v>
      </c>
      <c r="C1053" s="4296" t="s">
        <v>8503</v>
      </c>
      <c r="D1053" s="4296" t="s">
        <v>4897</v>
      </c>
      <c r="E1053" s="4297">
        <v>0.22</v>
      </c>
    </row>
    <row r="1054" spans="2:5">
      <c r="B1054" s="4296" t="s">
        <v>8504</v>
      </c>
      <c r="C1054" s="4296" t="s">
        <v>8505</v>
      </c>
      <c r="D1054" s="4296" t="s">
        <v>5222</v>
      </c>
      <c r="E1054" s="4297">
        <v>0.21840000000000001</v>
      </c>
    </row>
    <row r="1055" spans="2:5">
      <c r="B1055" s="4296" t="s">
        <v>8506</v>
      </c>
      <c r="C1055" s="4296" t="s">
        <v>7506</v>
      </c>
      <c r="D1055" s="4296" t="s">
        <v>5222</v>
      </c>
      <c r="E1055" s="4297">
        <v>0.21245799999999998</v>
      </c>
    </row>
    <row r="1056" spans="2:5">
      <c r="B1056" s="4296" t="s">
        <v>8507</v>
      </c>
      <c r="C1056" s="4287" t="s">
        <v>8508</v>
      </c>
      <c r="D1056" s="4287" t="s">
        <v>5232</v>
      </c>
      <c r="E1056" s="4297">
        <v>0.207902</v>
      </c>
    </row>
    <row r="1057" spans="2:5">
      <c r="B1057" s="4296" t="s">
        <v>8509</v>
      </c>
      <c r="C1057" s="4296" t="s">
        <v>8510</v>
      </c>
      <c r="D1057" s="4296" t="s">
        <v>5232</v>
      </c>
      <c r="E1057" s="4297">
        <v>0.20556999999999997</v>
      </c>
    </row>
    <row r="1058" spans="2:5">
      <c r="B1058" s="4296" t="s">
        <v>8511</v>
      </c>
      <c r="C1058" s="4296" t="s">
        <v>8512</v>
      </c>
      <c r="D1058" s="4296" t="s">
        <v>4897</v>
      </c>
      <c r="E1058" s="4297">
        <v>0.20161300000000001</v>
      </c>
    </row>
    <row r="1059" spans="2:5">
      <c r="B1059" s="4296" t="s">
        <v>8513</v>
      </c>
      <c r="C1059" s="4296" t="s">
        <v>8514</v>
      </c>
      <c r="D1059" s="4296" t="s">
        <v>4897</v>
      </c>
      <c r="E1059" s="4297">
        <v>0.2</v>
      </c>
    </row>
    <row r="1060" spans="2:5">
      <c r="B1060" s="4296" t="s">
        <v>8515</v>
      </c>
      <c r="C1060" s="4296" t="s">
        <v>8516</v>
      </c>
      <c r="D1060" s="4296" t="s">
        <v>5222</v>
      </c>
      <c r="E1060" s="4297">
        <v>0.2</v>
      </c>
    </row>
    <row r="1061" spans="2:5">
      <c r="B1061" s="4296" t="s">
        <v>8517</v>
      </c>
      <c r="C1061" s="4296" t="s">
        <v>8518</v>
      </c>
      <c r="D1061" s="4296" t="s">
        <v>5222</v>
      </c>
      <c r="E1061" s="4297">
        <v>0.2</v>
      </c>
    </row>
    <row r="1062" spans="2:5">
      <c r="B1062" s="4296" t="s">
        <v>8519</v>
      </c>
      <c r="C1062" s="4296" t="s">
        <v>8520</v>
      </c>
      <c r="D1062" s="4296" t="s">
        <v>5222</v>
      </c>
      <c r="E1062" s="4297">
        <v>0.2</v>
      </c>
    </row>
    <row r="1063" spans="2:5">
      <c r="B1063" s="4296" t="s">
        <v>8521</v>
      </c>
      <c r="C1063" s="4296" t="s">
        <v>8522</v>
      </c>
      <c r="D1063" s="4296" t="s">
        <v>5222</v>
      </c>
      <c r="E1063" s="4297">
        <v>0.2</v>
      </c>
    </row>
    <row r="1064" spans="2:5">
      <c r="B1064" s="4296" t="s">
        <v>8523</v>
      </c>
      <c r="C1064" s="4296" t="s">
        <v>8524</v>
      </c>
      <c r="D1064" s="4296" t="s">
        <v>5222</v>
      </c>
      <c r="E1064" s="4297">
        <v>0.2</v>
      </c>
    </row>
    <row r="1065" spans="2:5">
      <c r="B1065" s="4296" t="s">
        <v>8525</v>
      </c>
      <c r="C1065" s="4296" t="s">
        <v>6958</v>
      </c>
      <c r="D1065" s="4296" t="s">
        <v>4897</v>
      </c>
      <c r="E1065" s="4297">
        <v>0.19989200000000004</v>
      </c>
    </row>
    <row r="1066" spans="2:5">
      <c r="B1066" s="4296" t="s">
        <v>8526</v>
      </c>
      <c r="C1066" s="4296" t="s">
        <v>8527</v>
      </c>
      <c r="D1066" s="4296" t="s">
        <v>4897</v>
      </c>
      <c r="E1066" s="4297">
        <v>0.19725999999999999</v>
      </c>
    </row>
    <row r="1067" spans="2:5">
      <c r="B1067" s="4296" t="s">
        <v>8528</v>
      </c>
      <c r="C1067" s="4296" t="s">
        <v>8529</v>
      </c>
      <c r="D1067" s="4296" t="s">
        <v>5232</v>
      </c>
      <c r="E1067" s="4297">
        <v>0.19125300000000001</v>
      </c>
    </row>
    <row r="1068" spans="2:5">
      <c r="B1068" s="4296" t="s">
        <v>8530</v>
      </c>
      <c r="C1068" s="4296" t="s">
        <v>7483</v>
      </c>
      <c r="D1068" s="4296" t="s">
        <v>5232</v>
      </c>
      <c r="E1068" s="4297">
        <v>0.185252</v>
      </c>
    </row>
    <row r="1069" spans="2:5">
      <c r="B1069" s="4296" t="s">
        <v>8531</v>
      </c>
      <c r="C1069" s="4296" t="s">
        <v>8532</v>
      </c>
      <c r="D1069" s="4296" t="s">
        <v>5222</v>
      </c>
      <c r="E1069" s="4297">
        <v>0.18090000000000001</v>
      </c>
    </row>
    <row r="1070" spans="2:5">
      <c r="B1070" s="4296" t="s">
        <v>8533</v>
      </c>
      <c r="C1070" s="4296" t="s">
        <v>8534</v>
      </c>
      <c r="D1070" s="4296" t="s">
        <v>5222</v>
      </c>
      <c r="E1070" s="4297">
        <v>0.18</v>
      </c>
    </row>
    <row r="1071" spans="2:5">
      <c r="B1071" s="4296" t="s">
        <v>8535</v>
      </c>
      <c r="C1071" s="4296" t="s">
        <v>8536</v>
      </c>
      <c r="D1071" s="4296" t="s">
        <v>5222</v>
      </c>
      <c r="E1071" s="4297">
        <v>0.17499999999999999</v>
      </c>
    </row>
    <row r="1072" spans="2:5">
      <c r="B1072" s="4296" t="s">
        <v>8537</v>
      </c>
      <c r="C1072" s="4296" t="s">
        <v>8538</v>
      </c>
      <c r="D1072" s="4296" t="s">
        <v>5222</v>
      </c>
      <c r="E1072" s="4297">
        <v>0.17333399999999999</v>
      </c>
    </row>
    <row r="1073" spans="2:5">
      <c r="B1073" s="4296" t="s">
        <v>8539</v>
      </c>
      <c r="C1073" s="4296" t="s">
        <v>8540</v>
      </c>
      <c r="D1073" s="4296" t="s">
        <v>5222</v>
      </c>
      <c r="E1073" s="4297">
        <v>0.16</v>
      </c>
    </row>
    <row r="1074" spans="2:5">
      <c r="B1074" s="4296" t="s">
        <v>8541</v>
      </c>
      <c r="C1074" s="4296" t="s">
        <v>8542</v>
      </c>
      <c r="D1074" s="4296" t="s">
        <v>4897</v>
      </c>
      <c r="E1074" s="4297">
        <v>0.15666599999999997</v>
      </c>
    </row>
    <row r="1075" spans="2:5">
      <c r="B1075" s="4296" t="s">
        <v>8543</v>
      </c>
      <c r="C1075" s="4296" t="s">
        <v>8544</v>
      </c>
      <c r="D1075" s="4296" t="s">
        <v>5222</v>
      </c>
      <c r="E1075" s="4297">
        <v>0.15163099999999999</v>
      </c>
    </row>
    <row r="1076" spans="2:5">
      <c r="B1076" s="4296" t="s">
        <v>8545</v>
      </c>
      <c r="C1076" s="4296" t="s">
        <v>8546</v>
      </c>
      <c r="D1076" s="4296" t="s">
        <v>4897</v>
      </c>
      <c r="E1076" s="4297">
        <v>0.15</v>
      </c>
    </row>
    <row r="1077" spans="2:5">
      <c r="B1077" s="4296" t="s">
        <v>8547</v>
      </c>
      <c r="C1077" s="4296" t="s">
        <v>8548</v>
      </c>
      <c r="D1077" s="4296" t="s">
        <v>5222</v>
      </c>
      <c r="E1077" s="4297">
        <v>0.15</v>
      </c>
    </row>
    <row r="1078" spans="2:5">
      <c r="B1078" s="4296" t="s">
        <v>8549</v>
      </c>
      <c r="C1078" s="4296" t="s">
        <v>8550</v>
      </c>
      <c r="D1078" s="4296" t="s">
        <v>5222</v>
      </c>
      <c r="E1078" s="4297">
        <v>0.15</v>
      </c>
    </row>
    <row r="1079" spans="2:5">
      <c r="B1079" s="4296" t="s">
        <v>8551</v>
      </c>
      <c r="C1079" s="4296" t="s">
        <v>8552</v>
      </c>
      <c r="D1079" s="4296" t="s">
        <v>5222</v>
      </c>
      <c r="E1079" s="4297">
        <v>0.15</v>
      </c>
    </row>
    <row r="1080" spans="2:5">
      <c r="B1080" s="4296" t="s">
        <v>8553</v>
      </c>
      <c r="C1080" s="4296" t="s">
        <v>7664</v>
      </c>
      <c r="D1080" s="4296" t="s">
        <v>5232</v>
      </c>
      <c r="E1080" s="4297">
        <v>0.14250099999999999</v>
      </c>
    </row>
    <row r="1081" spans="2:5">
      <c r="B1081" s="4296" t="s">
        <v>8554</v>
      </c>
      <c r="C1081" s="4296" t="s">
        <v>8555</v>
      </c>
      <c r="D1081" s="4296" t="s">
        <v>5222</v>
      </c>
      <c r="E1081" s="4297">
        <v>0.13392899999999999</v>
      </c>
    </row>
    <row r="1082" spans="2:5">
      <c r="B1082" s="4296" t="s">
        <v>8556</v>
      </c>
      <c r="C1082" s="4296" t="s">
        <v>8557</v>
      </c>
      <c r="D1082" s="4296" t="s">
        <v>4987</v>
      </c>
      <c r="E1082" s="4297">
        <v>0.12</v>
      </c>
    </row>
    <row r="1083" spans="2:5">
      <c r="B1083" s="4296" t="s">
        <v>8558</v>
      </c>
      <c r="C1083" s="4296" t="s">
        <v>8559</v>
      </c>
      <c r="D1083" s="4296" t="s">
        <v>5222</v>
      </c>
      <c r="E1083" s="4297">
        <v>0.118815</v>
      </c>
    </row>
    <row r="1084" spans="2:5">
      <c r="B1084" s="4296" t="s">
        <v>8560</v>
      </c>
      <c r="C1084" s="4296" t="s">
        <v>8561</v>
      </c>
      <c r="D1084" s="4296" t="s">
        <v>4987</v>
      </c>
      <c r="E1084" s="4297">
        <v>0.10986700000000001</v>
      </c>
    </row>
    <row r="1085" spans="2:5">
      <c r="B1085" s="4296" t="s">
        <v>8562</v>
      </c>
      <c r="C1085" s="4296" t="s">
        <v>8563</v>
      </c>
      <c r="D1085" s="4296" t="s">
        <v>4987</v>
      </c>
      <c r="E1085" s="4297">
        <v>0.10011</v>
      </c>
    </row>
    <row r="1086" spans="2:5">
      <c r="B1086" s="4296" t="s">
        <v>8564</v>
      </c>
      <c r="C1086" s="4296" t="s">
        <v>8565</v>
      </c>
      <c r="D1086" s="4296" t="s">
        <v>4987</v>
      </c>
      <c r="E1086" s="4297">
        <v>0.10011</v>
      </c>
    </row>
    <row r="1087" spans="2:5">
      <c r="B1087" s="4296" t="s">
        <v>8566</v>
      </c>
      <c r="C1087" s="4296" t="s">
        <v>8567</v>
      </c>
      <c r="D1087" s="4296" t="s">
        <v>5222</v>
      </c>
      <c r="E1087" s="4297">
        <v>0.1</v>
      </c>
    </row>
    <row r="1088" spans="2:5">
      <c r="B1088" s="4296" t="s">
        <v>8568</v>
      </c>
      <c r="C1088" s="4296" t="s">
        <v>8569</v>
      </c>
      <c r="D1088" s="4296" t="s">
        <v>5222</v>
      </c>
      <c r="E1088" s="4297">
        <v>0.1</v>
      </c>
    </row>
    <row r="1089" spans="2:5">
      <c r="B1089" s="4296" t="s">
        <v>8570</v>
      </c>
      <c r="C1089" s="4296" t="s">
        <v>8571</v>
      </c>
      <c r="D1089" s="4296" t="s">
        <v>5222</v>
      </c>
      <c r="E1089" s="4297">
        <v>0.1</v>
      </c>
    </row>
    <row r="1090" spans="2:5">
      <c r="B1090" s="4296" t="s">
        <v>8572</v>
      </c>
      <c r="C1090" s="4296" t="s">
        <v>8573</v>
      </c>
      <c r="D1090" s="4296" t="s">
        <v>5222</v>
      </c>
      <c r="E1090" s="4297">
        <v>0.1</v>
      </c>
    </row>
    <row r="1091" spans="2:5">
      <c r="B1091" s="4296" t="s">
        <v>8574</v>
      </c>
      <c r="C1091" s="4296" t="s">
        <v>8575</v>
      </c>
      <c r="D1091" s="4296" t="s">
        <v>5222</v>
      </c>
      <c r="E1091" s="4297">
        <v>0.1</v>
      </c>
    </row>
    <row r="1092" spans="2:5">
      <c r="B1092" s="4296" t="s">
        <v>8576</v>
      </c>
      <c r="C1092" s="4296" t="s">
        <v>8577</v>
      </c>
      <c r="D1092" s="4296" t="s">
        <v>5222</v>
      </c>
      <c r="E1092" s="4297">
        <v>0.1</v>
      </c>
    </row>
    <row r="1093" spans="2:5">
      <c r="B1093" s="4296" t="s">
        <v>8578</v>
      </c>
      <c r="C1093" s="4296" t="s">
        <v>8579</v>
      </c>
      <c r="D1093" s="4296" t="s">
        <v>5222</v>
      </c>
      <c r="E1093" s="4297">
        <v>0.1</v>
      </c>
    </row>
    <row r="1094" spans="2:5">
      <c r="B1094" s="4296" t="s">
        <v>8580</v>
      </c>
      <c r="C1094" s="4296" t="s">
        <v>8581</v>
      </c>
      <c r="D1094" s="4296" t="s">
        <v>5222</v>
      </c>
      <c r="E1094" s="4297">
        <v>0.1</v>
      </c>
    </row>
    <row r="1095" spans="2:5">
      <c r="B1095" s="4296" t="s">
        <v>8582</v>
      </c>
      <c r="C1095" s="4296" t="s">
        <v>8583</v>
      </c>
      <c r="D1095" s="4296" t="s">
        <v>5222</v>
      </c>
      <c r="E1095" s="4297">
        <v>0.1</v>
      </c>
    </row>
    <row r="1096" spans="2:5">
      <c r="B1096" s="4296" t="s">
        <v>8584</v>
      </c>
      <c r="C1096" s="4296" t="s">
        <v>8585</v>
      </c>
      <c r="D1096" s="4296" t="s">
        <v>5222</v>
      </c>
      <c r="E1096" s="4297">
        <v>9.5000000000000001E-2</v>
      </c>
    </row>
    <row r="1097" spans="2:5">
      <c r="B1097" s="4296" t="s">
        <v>8586</v>
      </c>
      <c r="C1097" s="4296" t="s">
        <v>8587</v>
      </c>
      <c r="D1097" s="4296" t="s">
        <v>5232</v>
      </c>
      <c r="E1097" s="4297">
        <v>9.4769999999999993E-2</v>
      </c>
    </row>
    <row r="1098" spans="2:5">
      <c r="B1098" s="4296" t="s">
        <v>8588</v>
      </c>
      <c r="C1098" s="4296" t="s">
        <v>8589</v>
      </c>
      <c r="D1098" s="4296" t="s">
        <v>5232</v>
      </c>
      <c r="E1098" s="4297">
        <v>8.8200000000000001E-2</v>
      </c>
    </row>
    <row r="1099" spans="2:5">
      <c r="B1099" s="4296" t="s">
        <v>8590</v>
      </c>
      <c r="C1099" s="4296" t="s">
        <v>7675</v>
      </c>
      <c r="D1099" s="4296" t="s">
        <v>5232</v>
      </c>
      <c r="E1099" s="4297">
        <v>8.7123000000000006E-2</v>
      </c>
    </row>
    <row r="1100" spans="2:5">
      <c r="B1100" s="4296" t="s">
        <v>8591</v>
      </c>
      <c r="C1100" s="4296" t="s">
        <v>7435</v>
      </c>
      <c r="D1100" s="4296" t="s">
        <v>4987</v>
      </c>
      <c r="E1100" s="4297">
        <v>6.2976999999999991E-2</v>
      </c>
    </row>
    <row r="1101" spans="2:5">
      <c r="B1101" s="4296" t="s">
        <v>8592</v>
      </c>
      <c r="C1101" s="4296" t="s">
        <v>7669</v>
      </c>
      <c r="D1101" s="4296" t="s">
        <v>5232</v>
      </c>
      <c r="E1101" s="4297">
        <v>5.8100000000000013E-2</v>
      </c>
    </row>
    <row r="1102" spans="2:5">
      <c r="B1102" s="4296" t="s">
        <v>8593</v>
      </c>
      <c r="C1102" s="4296" t="s">
        <v>7605</v>
      </c>
      <c r="D1102" s="4296" t="s">
        <v>5232</v>
      </c>
      <c r="E1102" s="4297">
        <v>5.1479999999999998E-2</v>
      </c>
    </row>
    <row r="1103" spans="2:5">
      <c r="B1103" s="4296" t="s">
        <v>8594</v>
      </c>
      <c r="C1103" s="4296" t="s">
        <v>7728</v>
      </c>
      <c r="D1103" s="4296" t="s">
        <v>5232</v>
      </c>
      <c r="E1103" s="4297">
        <v>5.0639999999999998E-2</v>
      </c>
    </row>
    <row r="1104" spans="2:5">
      <c r="B1104" s="4296" t="s">
        <v>8595</v>
      </c>
      <c r="C1104" s="4296" t="s">
        <v>8596</v>
      </c>
      <c r="D1104" s="4296" t="s">
        <v>5222</v>
      </c>
      <c r="E1104" s="4297">
        <v>0.05</v>
      </c>
    </row>
    <row r="1105" spans="2:5">
      <c r="B1105" s="4296" t="s">
        <v>8597</v>
      </c>
      <c r="C1105" s="4296" t="s">
        <v>7261</v>
      </c>
      <c r="D1105" s="4296" t="s">
        <v>5222</v>
      </c>
      <c r="E1105" s="4297">
        <v>4.9180000000000001E-2</v>
      </c>
    </row>
    <row r="1106" spans="2:5">
      <c r="B1106" s="4296" t="s">
        <v>8598</v>
      </c>
      <c r="C1106" s="4296" t="s">
        <v>8599</v>
      </c>
      <c r="D1106" s="4296" t="s">
        <v>4897</v>
      </c>
      <c r="E1106" s="4297">
        <v>4.3334000000000011E-2</v>
      </c>
    </row>
    <row r="1107" spans="2:5">
      <c r="B1107" s="4296" t="s">
        <v>8600</v>
      </c>
      <c r="C1107" s="4296" t="s">
        <v>8601</v>
      </c>
      <c r="D1107" s="4296" t="s">
        <v>4897</v>
      </c>
      <c r="E1107" s="4297">
        <v>4.2000000000000003E-2</v>
      </c>
    </row>
    <row r="1108" spans="2:5">
      <c r="B1108" s="4296" t="s">
        <v>8602</v>
      </c>
      <c r="C1108" s="4296" t="s">
        <v>7683</v>
      </c>
      <c r="D1108" s="4296" t="s">
        <v>5232</v>
      </c>
      <c r="E1108" s="4297">
        <v>4.0500000000000001E-2</v>
      </c>
    </row>
    <row r="1109" spans="2:5">
      <c r="B1109" s="4296" t="s">
        <v>8603</v>
      </c>
      <c r="C1109" s="4296" t="s">
        <v>8604</v>
      </c>
      <c r="D1109" s="4296" t="s">
        <v>5232</v>
      </c>
      <c r="E1109" s="4297">
        <v>3.5628E-2</v>
      </c>
    </row>
    <row r="1110" spans="2:5">
      <c r="B1110" s="4296" t="s">
        <v>8605</v>
      </c>
      <c r="C1110" s="4296" t="s">
        <v>7718</v>
      </c>
      <c r="D1110" s="4296" t="s">
        <v>5232</v>
      </c>
      <c r="E1110" s="4297">
        <v>3.5002999999999992E-2</v>
      </c>
    </row>
    <row r="1111" spans="2:5">
      <c r="B1111" s="4296" t="s">
        <v>8606</v>
      </c>
      <c r="C1111" s="4296" t="s">
        <v>8607</v>
      </c>
      <c r="D1111" s="4296" t="s">
        <v>5232</v>
      </c>
      <c r="E1111" s="4297">
        <v>3.2359999999999986E-2</v>
      </c>
    </row>
    <row r="1112" spans="2:5">
      <c r="B1112" s="4296" t="s">
        <v>8608</v>
      </c>
      <c r="C1112" s="4296" t="s">
        <v>7662</v>
      </c>
      <c r="D1112" s="4296" t="s">
        <v>5232</v>
      </c>
      <c r="E1112" s="4297">
        <v>3.1600000000000003E-2</v>
      </c>
    </row>
    <row r="1113" spans="2:5">
      <c r="B1113" s="4296" t="s">
        <v>8609</v>
      </c>
      <c r="C1113" s="4296" t="s">
        <v>7677</v>
      </c>
      <c r="D1113" s="4296" t="s">
        <v>5232</v>
      </c>
      <c r="E1113" s="4297">
        <v>3.0363999999999999E-2</v>
      </c>
    </row>
    <row r="1114" spans="2:5">
      <c r="B1114" s="4296" t="s">
        <v>8610</v>
      </c>
      <c r="C1114" s="4287" t="s">
        <v>8611</v>
      </c>
      <c r="D1114" s="4287" t="s">
        <v>5232</v>
      </c>
      <c r="E1114" s="4297">
        <v>2.998E-2</v>
      </c>
    </row>
    <row r="1115" spans="2:5">
      <c r="B1115" s="4296" t="s">
        <v>8612</v>
      </c>
      <c r="C1115" s="4296" t="s">
        <v>8613</v>
      </c>
      <c r="D1115" s="4296" t="s">
        <v>5231</v>
      </c>
      <c r="E1115" s="4297">
        <v>2.8680000000000008E-2</v>
      </c>
    </row>
    <row r="1116" spans="2:5">
      <c r="B1116" s="4296" t="s">
        <v>8614</v>
      </c>
      <c r="C1116" s="4287" t="s">
        <v>8615</v>
      </c>
      <c r="D1116" s="4287" t="s">
        <v>5232</v>
      </c>
      <c r="E1116" s="4297">
        <v>2.4301E-2</v>
      </c>
    </row>
    <row r="1117" spans="2:5">
      <c r="B1117" s="4296" t="s">
        <v>8616</v>
      </c>
      <c r="C1117" s="4296" t="s">
        <v>7716</v>
      </c>
      <c r="D1117" s="4296" t="s">
        <v>5232</v>
      </c>
      <c r="E1117" s="4297">
        <v>2.1820000000000006E-2</v>
      </c>
    </row>
    <row r="1118" spans="2:5">
      <c r="B1118" s="4296" t="s">
        <v>8617</v>
      </c>
      <c r="C1118" s="4296" t="s">
        <v>7632</v>
      </c>
      <c r="D1118" s="4296" t="s">
        <v>5232</v>
      </c>
      <c r="E1118" s="4297">
        <v>1.9E-2</v>
      </c>
    </row>
    <row r="1119" spans="2:5">
      <c r="B1119" s="4296" t="s">
        <v>8618</v>
      </c>
      <c r="C1119" s="4296" t="s">
        <v>8619</v>
      </c>
      <c r="D1119" s="4296" t="s">
        <v>5232</v>
      </c>
      <c r="E1119" s="4297">
        <v>1.5060000000000002E-2</v>
      </c>
    </row>
    <row r="1120" spans="2:5">
      <c r="B1120" s="4296" t="s">
        <v>8620</v>
      </c>
      <c r="C1120" s="4296" t="s">
        <v>7679</v>
      </c>
      <c r="D1120" s="4296" t="s">
        <v>5232</v>
      </c>
      <c r="E1120" s="4297">
        <v>1.372E-2</v>
      </c>
    </row>
    <row r="1121" spans="2:5">
      <c r="B1121" s="4296" t="s">
        <v>8621</v>
      </c>
      <c r="C1121" s="4296" t="s">
        <v>8622</v>
      </c>
      <c r="D1121" s="4296" t="s">
        <v>5232</v>
      </c>
      <c r="E1121" s="4297">
        <v>1.0241999999999999E-2</v>
      </c>
    </row>
    <row r="1122" spans="2:5">
      <c r="B1122" s="4296" t="s">
        <v>8623</v>
      </c>
      <c r="C1122" s="4296" t="s">
        <v>7692</v>
      </c>
      <c r="D1122" s="4296" t="s">
        <v>5232</v>
      </c>
      <c r="E1122" s="4297">
        <v>8.3920000000000019E-3</v>
      </c>
    </row>
    <row r="1123" spans="2:5">
      <c r="B1123" s="4296" t="s">
        <v>8624</v>
      </c>
      <c r="C1123" s="4296" t="s">
        <v>8625</v>
      </c>
      <c r="D1123" s="4296" t="s">
        <v>5232</v>
      </c>
      <c r="E1123" s="4297">
        <v>7.1999999999999998E-3</v>
      </c>
    </row>
    <row r="1124" spans="2:5">
      <c r="B1124" s="4296" t="s">
        <v>8626</v>
      </c>
      <c r="C1124" s="4296" t="s">
        <v>8627</v>
      </c>
      <c r="D1124" s="4296" t="s">
        <v>5232</v>
      </c>
      <c r="E1124" s="4297">
        <v>6.7499999999999999E-3</v>
      </c>
    </row>
    <row r="1125" spans="2:5">
      <c r="B1125" s="4296" t="s">
        <v>8628</v>
      </c>
      <c r="C1125" s="4296" t="s">
        <v>7712</v>
      </c>
      <c r="D1125" s="4296" t="s">
        <v>5232</v>
      </c>
      <c r="E1125" s="4297">
        <v>6.3E-3</v>
      </c>
    </row>
    <row r="1126" spans="2:5">
      <c r="B1126" s="4296" t="s">
        <v>8629</v>
      </c>
      <c r="C1126" s="4296" t="s">
        <v>7724</v>
      </c>
      <c r="D1126" s="4296" t="s">
        <v>5232</v>
      </c>
      <c r="E1126" s="4297">
        <v>4.6730000000000001E-3</v>
      </c>
    </row>
    <row r="1127" spans="2:5">
      <c r="B1127" s="4296" t="s">
        <v>8630</v>
      </c>
      <c r="C1127" s="4287" t="s">
        <v>7002</v>
      </c>
      <c r="D1127" s="4287" t="s">
        <v>5234</v>
      </c>
      <c r="E1127" s="4297">
        <v>4.3499999999999997E-3</v>
      </c>
    </row>
    <row r="1128" spans="2:5">
      <c r="B1128" s="4296" t="s">
        <v>8631</v>
      </c>
      <c r="C1128" s="4296" t="s">
        <v>7734</v>
      </c>
      <c r="D1128" s="4296" t="s">
        <v>5232</v>
      </c>
      <c r="E1128" s="4297">
        <v>4.0499999999999998E-3</v>
      </c>
    </row>
    <row r="1129" spans="2:5">
      <c r="B1129" s="4296" t="s">
        <v>8632</v>
      </c>
      <c r="C1129" s="4296" t="s">
        <v>8633</v>
      </c>
      <c r="D1129" s="4296" t="s">
        <v>5232</v>
      </c>
      <c r="E1129" s="4297">
        <v>3.493E-3</v>
      </c>
    </row>
    <row r="1130" spans="2:5">
      <c r="B1130" s="4296" t="s">
        <v>8634</v>
      </c>
      <c r="C1130" s="4296" t="s">
        <v>7694</v>
      </c>
      <c r="D1130" s="4296" t="s">
        <v>5232</v>
      </c>
      <c r="E1130" s="4297">
        <v>3.4680000000000002E-3</v>
      </c>
    </row>
    <row r="1131" spans="2:5">
      <c r="B1131" s="4296" t="s">
        <v>8635</v>
      </c>
      <c r="C1131" s="4296" t="s">
        <v>7704</v>
      </c>
      <c r="D1131" s="4296" t="s">
        <v>5232</v>
      </c>
      <c r="E1131" s="4297">
        <v>3.3999999999999994E-3</v>
      </c>
    </row>
    <row r="1132" spans="2:5">
      <c r="B1132" s="4296" t="s">
        <v>8636</v>
      </c>
      <c r="C1132" s="4296" t="s">
        <v>8637</v>
      </c>
      <c r="D1132" s="4296" t="s">
        <v>5232</v>
      </c>
      <c r="E1132" s="4297">
        <v>3.15E-3</v>
      </c>
    </row>
    <row r="1133" spans="2:5">
      <c r="B1133" s="4296" t="s">
        <v>8638</v>
      </c>
      <c r="C1133" s="4296" t="s">
        <v>7714</v>
      </c>
      <c r="D1133" s="4296" t="s">
        <v>5232</v>
      </c>
      <c r="E1133" s="4297">
        <v>2.5819999999999997E-3</v>
      </c>
    </row>
    <row r="1134" spans="2:5">
      <c r="B1134" s="4296" t="s">
        <v>8639</v>
      </c>
      <c r="C1134" s="4296" t="s">
        <v>8640</v>
      </c>
      <c r="D1134" s="4296" t="s">
        <v>5232</v>
      </c>
      <c r="E1134" s="4297">
        <v>2.3219999999999998E-3</v>
      </c>
    </row>
    <row r="1135" spans="2:5">
      <c r="B1135" s="4296" t="s">
        <v>8641</v>
      </c>
      <c r="C1135" s="4296" t="s">
        <v>7720</v>
      </c>
      <c r="D1135" s="4296" t="s">
        <v>5232</v>
      </c>
      <c r="E1135" s="4297">
        <v>2.2799999999999999E-3</v>
      </c>
    </row>
    <row r="1136" spans="2:5">
      <c r="B1136" s="4296" t="s">
        <v>8642</v>
      </c>
      <c r="C1136" s="4296" t="s">
        <v>7736</v>
      </c>
      <c r="D1136" s="4296" t="s">
        <v>5232</v>
      </c>
      <c r="E1136" s="4297">
        <v>1.126E-3</v>
      </c>
    </row>
    <row r="1137" spans="2:5">
      <c r="B1137" s="4296" t="s">
        <v>8643</v>
      </c>
      <c r="C1137" s="4296" t="s">
        <v>7726</v>
      </c>
      <c r="D1137" s="4296" t="s">
        <v>5232</v>
      </c>
      <c r="E1137" s="4297">
        <v>1.1049999999999999E-3</v>
      </c>
    </row>
    <row r="1138" spans="2:5">
      <c r="B1138" s="4296" t="s">
        <v>8644</v>
      </c>
      <c r="C1138" s="4296" t="s">
        <v>7730</v>
      </c>
      <c r="D1138" s="4296" t="s">
        <v>5232</v>
      </c>
      <c r="E1138" s="4297">
        <v>1E-3</v>
      </c>
    </row>
    <row r="1139" spans="2:5">
      <c r="B1139" s="4296" t="s">
        <v>8645</v>
      </c>
      <c r="C1139" s="4296" t="s">
        <v>7702</v>
      </c>
      <c r="D1139" s="4296" t="s">
        <v>5232</v>
      </c>
      <c r="E1139" s="4297">
        <v>9.5100000000000002E-4</v>
      </c>
    </row>
    <row r="1140" spans="2:5">
      <c r="B1140" s="4296" t="s">
        <v>8646</v>
      </c>
      <c r="C1140" s="4296" t="s">
        <v>8647</v>
      </c>
      <c r="D1140" s="4296" t="s">
        <v>5232</v>
      </c>
      <c r="E1140" s="4297">
        <v>8.9000000000000006E-4</v>
      </c>
    </row>
    <row r="1141" spans="2:5">
      <c r="B1141" s="4296" t="s">
        <v>8648</v>
      </c>
      <c r="C1141" s="4296" t="s">
        <v>8649</v>
      </c>
      <c r="D1141" s="4296" t="s">
        <v>5232</v>
      </c>
      <c r="E1141" s="4297">
        <v>1.4899999999999999E-4</v>
      </c>
    </row>
  </sheetData>
  <autoFilter ref="C2:F28" xr:uid="{00000000-0009-0000-0000-000008000000}">
    <sortState xmlns:xlrd2="http://schemas.microsoft.com/office/spreadsheetml/2017/richdata2" ref="C3:E1164">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9837-8992-4BAD-BFD6-F6D910951F85}">
  <dimension ref="B1:H917"/>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64" t="s">
        <v>7019</v>
      </c>
      <c r="C1" s="4764"/>
      <c r="D1" s="4764"/>
      <c r="E1" s="4765"/>
    </row>
    <row r="2" spans="2:8" ht="15">
      <c r="B2" s="4294" t="s">
        <v>4651</v>
      </c>
      <c r="C2" s="4294" t="s">
        <v>5267</v>
      </c>
      <c r="D2" s="4294" t="s">
        <v>4652</v>
      </c>
      <c r="E2" s="4295" t="s">
        <v>5268</v>
      </c>
    </row>
    <row r="3" spans="2:8">
      <c r="B3" s="4296" t="s">
        <v>5269</v>
      </c>
      <c r="C3" s="4296" t="s">
        <v>5277</v>
      </c>
      <c r="D3" s="4296" t="s">
        <v>4657</v>
      </c>
      <c r="E3" s="4297">
        <v>600.79565899999989</v>
      </c>
      <c r="G3" s="4300" t="s">
        <v>5272</v>
      </c>
      <c r="H3" s="4301">
        <f>SUM(E3:E917)</f>
        <v>19403.830254000015</v>
      </c>
    </row>
    <row r="4" spans="2:8">
      <c r="B4" s="4296" t="s">
        <v>5273</v>
      </c>
      <c r="C4" s="4296" t="s">
        <v>7020</v>
      </c>
      <c r="D4" s="4296" t="s">
        <v>4664</v>
      </c>
      <c r="E4" s="4297">
        <v>367.619283</v>
      </c>
    </row>
    <row r="5" spans="2:8">
      <c r="B5" s="4296" t="s">
        <v>5276</v>
      </c>
      <c r="C5" s="4296" t="s">
        <v>5270</v>
      </c>
      <c r="D5" s="4296" t="s">
        <v>4657</v>
      </c>
      <c r="E5" s="4297">
        <v>364.30034400000005</v>
      </c>
    </row>
    <row r="6" spans="2:8">
      <c r="B6" s="4296" t="s">
        <v>5279</v>
      </c>
      <c r="C6" s="4296" t="s">
        <v>7786</v>
      </c>
      <c r="D6" s="4296" t="s">
        <v>4674</v>
      </c>
      <c r="E6" s="4297">
        <v>212.65929100000002</v>
      </c>
    </row>
    <row r="7" spans="2:8">
      <c r="B7" s="4296" t="s">
        <v>5281</v>
      </c>
      <c r="C7" s="4296" t="s">
        <v>5280</v>
      </c>
      <c r="D7" s="4296" t="s">
        <v>4674</v>
      </c>
      <c r="E7" s="4297">
        <v>211.13105899999999</v>
      </c>
    </row>
    <row r="8" spans="2:8">
      <c r="B8" s="4296" t="s">
        <v>5283</v>
      </c>
      <c r="C8" s="4296" t="s">
        <v>5284</v>
      </c>
      <c r="D8" s="4296" t="s">
        <v>4674</v>
      </c>
      <c r="E8" s="4297">
        <v>184.82377399999996</v>
      </c>
    </row>
    <row r="9" spans="2:8">
      <c r="B9" s="4296" t="s">
        <v>5285</v>
      </c>
      <c r="C9" s="4296" t="s">
        <v>7021</v>
      </c>
      <c r="D9" s="4296" t="s">
        <v>4674</v>
      </c>
      <c r="E9" s="4297">
        <v>163.44002199999994</v>
      </c>
    </row>
    <row r="10" spans="2:8">
      <c r="B10" s="4296" t="s">
        <v>5287</v>
      </c>
      <c r="C10" s="4287" t="s">
        <v>7752</v>
      </c>
      <c r="D10" s="4287" t="s">
        <v>4674</v>
      </c>
      <c r="E10" s="4297">
        <v>151.747591</v>
      </c>
    </row>
    <row r="11" spans="2:8">
      <c r="B11" s="4296" t="s">
        <v>5289</v>
      </c>
      <c r="C11" s="4287" t="s">
        <v>7749</v>
      </c>
      <c r="D11" s="4287" t="s">
        <v>4674</v>
      </c>
      <c r="E11" s="4297">
        <v>149.56466399999996</v>
      </c>
    </row>
    <row r="12" spans="2:8">
      <c r="B12" s="4296" t="s">
        <v>5291</v>
      </c>
      <c r="C12" s="4296" t="s">
        <v>5379</v>
      </c>
      <c r="D12" s="4296" t="s">
        <v>4674</v>
      </c>
      <c r="E12" s="4297">
        <v>146.68517300000002</v>
      </c>
    </row>
    <row r="13" spans="2:8">
      <c r="B13" s="4296" t="s">
        <v>5293</v>
      </c>
      <c r="C13" s="4287" t="s">
        <v>5292</v>
      </c>
      <c r="D13" s="4287" t="s">
        <v>4674</v>
      </c>
      <c r="E13" s="4297">
        <v>145.782543</v>
      </c>
    </row>
    <row r="14" spans="2:8">
      <c r="B14" s="4296" t="s">
        <v>5295</v>
      </c>
      <c r="C14" s="4296" t="s">
        <v>5341</v>
      </c>
      <c r="D14" s="4296" t="s">
        <v>4674</v>
      </c>
      <c r="E14" s="4297">
        <v>141.632383</v>
      </c>
    </row>
    <row r="15" spans="2:8">
      <c r="B15" s="4296" t="s">
        <v>5297</v>
      </c>
      <c r="C15" s="4296" t="s">
        <v>7751</v>
      </c>
      <c r="D15" s="4296" t="s">
        <v>4674</v>
      </c>
      <c r="E15" s="4297">
        <v>139.69776400000001</v>
      </c>
    </row>
    <row r="16" spans="2:8">
      <c r="B16" s="4296" t="s">
        <v>5299</v>
      </c>
      <c r="C16" s="4296" t="s">
        <v>5419</v>
      </c>
      <c r="D16" s="4296" t="s">
        <v>4674</v>
      </c>
      <c r="E16" s="4297">
        <v>139.04857200000001</v>
      </c>
    </row>
    <row r="17" spans="2:5">
      <c r="B17" s="4296" t="s">
        <v>5301</v>
      </c>
      <c r="C17" s="4287" t="s">
        <v>7750</v>
      </c>
      <c r="D17" s="4287" t="s">
        <v>4674</v>
      </c>
      <c r="E17" s="4297">
        <v>133.01856599999996</v>
      </c>
    </row>
    <row r="18" spans="2:5">
      <c r="B18" s="4296" t="s">
        <v>5303</v>
      </c>
      <c r="C18" s="4296" t="s">
        <v>7753</v>
      </c>
      <c r="D18" s="4296" t="s">
        <v>4674</v>
      </c>
      <c r="E18" s="4297">
        <v>132.927301</v>
      </c>
    </row>
    <row r="19" spans="2:5">
      <c r="B19" s="4296" t="s">
        <v>5305</v>
      </c>
      <c r="C19" s="4296" t="s">
        <v>5697</v>
      </c>
      <c r="D19" s="4296" t="s">
        <v>4674</v>
      </c>
      <c r="E19" s="4297">
        <v>131.12720999999999</v>
      </c>
    </row>
    <row r="20" spans="2:5">
      <c r="B20" s="4296" t="s">
        <v>5307</v>
      </c>
      <c r="C20" s="4296" t="s">
        <v>5306</v>
      </c>
      <c r="D20" s="4296" t="s">
        <v>4674</v>
      </c>
      <c r="E20" s="4297">
        <v>126.61380999999996</v>
      </c>
    </row>
    <row r="21" spans="2:5">
      <c r="B21" s="4296" t="s">
        <v>5309</v>
      </c>
      <c r="C21" s="4296" t="s">
        <v>7748</v>
      </c>
      <c r="D21" s="4296" t="s">
        <v>4674</v>
      </c>
      <c r="E21" s="4297">
        <v>126.307776</v>
      </c>
    </row>
    <row r="22" spans="2:5">
      <c r="B22" s="4296" t="s">
        <v>5311</v>
      </c>
      <c r="C22" s="4296" t="s">
        <v>7774</v>
      </c>
      <c r="D22" s="4296" t="s">
        <v>4674</v>
      </c>
      <c r="E22" s="4297">
        <v>124.52560699999998</v>
      </c>
    </row>
    <row r="23" spans="2:5">
      <c r="B23" s="4296" t="s">
        <v>5313</v>
      </c>
      <c r="C23" s="4296" t="s">
        <v>8112</v>
      </c>
      <c r="D23" s="4296" t="s">
        <v>4674</v>
      </c>
      <c r="E23" s="4297">
        <v>123.51667600000005</v>
      </c>
    </row>
    <row r="24" spans="2:5">
      <c r="B24" s="4296" t="s">
        <v>5315</v>
      </c>
      <c r="C24" s="4296" t="s">
        <v>7755</v>
      </c>
      <c r="D24" s="4296" t="s">
        <v>4674</v>
      </c>
      <c r="E24" s="4297">
        <v>123.10481199999994</v>
      </c>
    </row>
    <row r="25" spans="2:5">
      <c r="B25" s="4296" t="s">
        <v>5317</v>
      </c>
      <c r="C25" s="4296" t="s">
        <v>5286</v>
      </c>
      <c r="D25" s="4296" t="s">
        <v>4674</v>
      </c>
      <c r="E25" s="4297">
        <v>113.63148000000002</v>
      </c>
    </row>
    <row r="26" spans="2:5">
      <c r="B26" s="4296" t="s">
        <v>5319</v>
      </c>
      <c r="C26" s="4287" t="s">
        <v>7754</v>
      </c>
      <c r="D26" s="4287" t="s">
        <v>4674</v>
      </c>
      <c r="E26" s="4297">
        <v>112.89221700000004</v>
      </c>
    </row>
    <row r="27" spans="2:5">
      <c r="B27" s="4296" t="s">
        <v>5321</v>
      </c>
      <c r="C27" s="4296" t="s">
        <v>5750</v>
      </c>
      <c r="D27" s="4296" t="s">
        <v>4674</v>
      </c>
      <c r="E27" s="4297">
        <v>112.34758900000001</v>
      </c>
    </row>
    <row r="28" spans="2:5">
      <c r="B28" s="4296" t="s">
        <v>5323</v>
      </c>
      <c r="C28" s="4296" t="s">
        <v>7759</v>
      </c>
      <c r="D28" s="4296" t="s">
        <v>4674</v>
      </c>
      <c r="E28" s="4297">
        <v>108.67482700000002</v>
      </c>
    </row>
    <row r="29" spans="2:5">
      <c r="B29" s="4296" t="s">
        <v>5325</v>
      </c>
      <c r="C29" s="4287" t="s">
        <v>7766</v>
      </c>
      <c r="D29" s="4287" t="s">
        <v>4674</v>
      </c>
      <c r="E29" s="4297">
        <v>107.338523</v>
      </c>
    </row>
    <row r="30" spans="2:5">
      <c r="B30" s="4296" t="s">
        <v>5327</v>
      </c>
      <c r="C30" s="4287" t="s">
        <v>7764</v>
      </c>
      <c r="D30" s="4287" t="s">
        <v>4674</v>
      </c>
      <c r="E30" s="4297">
        <v>106.72371600000004</v>
      </c>
    </row>
    <row r="31" spans="2:5">
      <c r="B31" s="4296" t="s">
        <v>5329</v>
      </c>
      <c r="C31" s="4296" t="s">
        <v>7761</v>
      </c>
      <c r="D31" s="4296" t="s">
        <v>4674</v>
      </c>
      <c r="E31" s="4297">
        <v>105.12803999999998</v>
      </c>
    </row>
    <row r="32" spans="2:5">
      <c r="B32" s="4296" t="s">
        <v>5331</v>
      </c>
      <c r="C32" s="4296" t="s">
        <v>7954</v>
      </c>
      <c r="D32" s="4296" t="s">
        <v>4674</v>
      </c>
      <c r="E32" s="4297">
        <v>103.90770899999998</v>
      </c>
    </row>
    <row r="33" spans="2:5">
      <c r="B33" s="4296" t="s">
        <v>5333</v>
      </c>
      <c r="C33" s="4296" t="s">
        <v>5771</v>
      </c>
      <c r="D33" s="4296" t="s">
        <v>4674</v>
      </c>
      <c r="E33" s="4297">
        <v>102.21293300000002</v>
      </c>
    </row>
    <row r="34" spans="2:5">
      <c r="B34" s="4296" t="s">
        <v>5335</v>
      </c>
      <c r="C34" s="4296" t="s">
        <v>7817</v>
      </c>
      <c r="D34" s="4296" t="s">
        <v>4674</v>
      </c>
      <c r="E34" s="4297">
        <v>102.13620299999998</v>
      </c>
    </row>
    <row r="35" spans="2:5">
      <c r="B35" s="4296" t="s">
        <v>5337</v>
      </c>
      <c r="C35" s="4296" t="s">
        <v>5353</v>
      </c>
      <c r="D35" s="4296" t="s">
        <v>4674</v>
      </c>
      <c r="E35" s="4297">
        <v>101.16479299999997</v>
      </c>
    </row>
    <row r="36" spans="2:5">
      <c r="B36" s="4296" t="s">
        <v>5339</v>
      </c>
      <c r="C36" s="4296" t="s">
        <v>5433</v>
      </c>
      <c r="D36" s="4296" t="s">
        <v>4674</v>
      </c>
      <c r="E36" s="4297">
        <v>99.013244</v>
      </c>
    </row>
    <row r="37" spans="2:5">
      <c r="B37" s="4296" t="s">
        <v>4008</v>
      </c>
      <c r="C37" s="4296" t="s">
        <v>8650</v>
      </c>
      <c r="D37" s="4296" t="s">
        <v>4674</v>
      </c>
      <c r="E37" s="4297">
        <v>98.187686999999983</v>
      </c>
    </row>
    <row r="38" spans="2:5">
      <c r="B38" s="4296" t="s">
        <v>5342</v>
      </c>
      <c r="C38" s="4296" t="s">
        <v>7796</v>
      </c>
      <c r="D38" s="4296" t="s">
        <v>4674</v>
      </c>
      <c r="E38" s="4297">
        <v>98.048208000000002</v>
      </c>
    </row>
    <row r="39" spans="2:5">
      <c r="B39" s="4296" t="s">
        <v>5344</v>
      </c>
      <c r="C39" s="4296" t="s">
        <v>7767</v>
      </c>
      <c r="D39" s="4296" t="s">
        <v>4674</v>
      </c>
      <c r="E39" s="4297">
        <v>97.342018999999993</v>
      </c>
    </row>
    <row r="40" spans="2:5">
      <c r="B40" s="4296" t="s">
        <v>5346</v>
      </c>
      <c r="C40" s="4296" t="s">
        <v>5314</v>
      </c>
      <c r="D40" s="4296" t="s">
        <v>4674</v>
      </c>
      <c r="E40" s="4297">
        <v>97.252536000000006</v>
      </c>
    </row>
    <row r="41" spans="2:5">
      <c r="B41" s="4296" t="s">
        <v>5348</v>
      </c>
      <c r="C41" s="4296" t="s">
        <v>5343</v>
      </c>
      <c r="D41" s="4296" t="s">
        <v>4674</v>
      </c>
      <c r="E41" s="4297">
        <v>96.291291999999984</v>
      </c>
    </row>
    <row r="42" spans="2:5">
      <c r="B42" s="4296" t="s">
        <v>5350</v>
      </c>
      <c r="C42" s="4296" t="s">
        <v>7029</v>
      </c>
      <c r="D42" s="4296" t="s">
        <v>4674</v>
      </c>
      <c r="E42" s="4297">
        <v>96.09431600000002</v>
      </c>
    </row>
    <row r="43" spans="2:5">
      <c r="B43" s="4296" t="s">
        <v>5352</v>
      </c>
      <c r="C43" s="4296" t="s">
        <v>5359</v>
      </c>
      <c r="D43" s="4296" t="s">
        <v>4674</v>
      </c>
      <c r="E43" s="4297">
        <v>93.793704999999974</v>
      </c>
    </row>
    <row r="44" spans="2:5">
      <c r="B44" s="4296" t="s">
        <v>4000</v>
      </c>
      <c r="C44" s="4296" t="s">
        <v>7757</v>
      </c>
      <c r="D44" s="4296" t="s">
        <v>4674</v>
      </c>
      <c r="E44" s="4297">
        <v>92.811133000000012</v>
      </c>
    </row>
    <row r="45" spans="2:5">
      <c r="B45" s="4296" t="s">
        <v>5355</v>
      </c>
      <c r="C45" s="4296" t="s">
        <v>7772</v>
      </c>
      <c r="D45" s="4296" t="s">
        <v>4674</v>
      </c>
      <c r="E45" s="4297">
        <v>92.007660999999985</v>
      </c>
    </row>
    <row r="46" spans="2:5">
      <c r="B46" s="4296" t="s">
        <v>5357</v>
      </c>
      <c r="C46" s="4296" t="s">
        <v>7770</v>
      </c>
      <c r="D46" s="4296" t="s">
        <v>4674</v>
      </c>
      <c r="E46" s="4297">
        <v>91.50467900000001</v>
      </c>
    </row>
    <row r="47" spans="2:5">
      <c r="B47" s="4296" t="s">
        <v>3997</v>
      </c>
      <c r="C47" s="4296" t="s">
        <v>7769</v>
      </c>
      <c r="D47" s="4296" t="s">
        <v>4674</v>
      </c>
      <c r="E47" s="4297">
        <v>90.034875</v>
      </c>
    </row>
    <row r="48" spans="2:5">
      <c r="B48" s="4296" t="s">
        <v>5360</v>
      </c>
      <c r="C48" s="4296" t="s">
        <v>5421</v>
      </c>
      <c r="D48" s="4296" t="s">
        <v>4674</v>
      </c>
      <c r="E48" s="4297">
        <v>89.494813000000022</v>
      </c>
    </row>
    <row r="49" spans="2:5">
      <c r="B49" s="4296" t="s">
        <v>5362</v>
      </c>
      <c r="C49" s="4296" t="s">
        <v>7837</v>
      </c>
      <c r="D49" s="4296" t="s">
        <v>5231</v>
      </c>
      <c r="E49" s="4297">
        <v>89.360935000000012</v>
      </c>
    </row>
    <row r="50" spans="2:5">
      <c r="B50" s="4296" t="s">
        <v>5364</v>
      </c>
      <c r="C50" s="4296" t="s">
        <v>7779</v>
      </c>
      <c r="D50" s="4296" t="s">
        <v>4674</v>
      </c>
      <c r="E50" s="4297">
        <v>85.719917000000038</v>
      </c>
    </row>
    <row r="51" spans="2:5">
      <c r="B51" s="4296" t="s">
        <v>5366</v>
      </c>
      <c r="C51" s="4296" t="s">
        <v>8651</v>
      </c>
      <c r="D51" s="4296" t="s">
        <v>4674</v>
      </c>
      <c r="E51" s="4297">
        <v>85.511532999999986</v>
      </c>
    </row>
    <row r="52" spans="2:5">
      <c r="B52" s="4296" t="s">
        <v>5368</v>
      </c>
      <c r="C52" s="4287" t="s">
        <v>7030</v>
      </c>
      <c r="D52" s="4287" t="s">
        <v>4674</v>
      </c>
      <c r="E52" s="4297">
        <v>84.540461999999991</v>
      </c>
    </row>
    <row r="53" spans="2:5">
      <c r="B53" s="4296" t="s">
        <v>5370</v>
      </c>
      <c r="C53" s="4296" t="s">
        <v>8652</v>
      </c>
      <c r="D53" s="4296" t="s">
        <v>4674</v>
      </c>
      <c r="E53" s="4297">
        <v>84.492916999999991</v>
      </c>
    </row>
    <row r="54" spans="2:5">
      <c r="B54" s="4296" t="s">
        <v>5372</v>
      </c>
      <c r="C54" s="4296" t="s">
        <v>7814</v>
      </c>
      <c r="D54" s="4296" t="s">
        <v>4674</v>
      </c>
      <c r="E54" s="4297">
        <v>83.625066999999987</v>
      </c>
    </row>
    <row r="55" spans="2:5">
      <c r="B55" s="4296" t="s">
        <v>5374</v>
      </c>
      <c r="C55" s="4296" t="s">
        <v>8653</v>
      </c>
      <c r="D55" s="4296" t="s">
        <v>4674</v>
      </c>
      <c r="E55" s="4297">
        <v>83.517518999999979</v>
      </c>
    </row>
    <row r="56" spans="2:5">
      <c r="B56" s="4296" t="s">
        <v>5376</v>
      </c>
      <c r="C56" s="4287" t="s">
        <v>8654</v>
      </c>
      <c r="D56" s="4287" t="s">
        <v>4674</v>
      </c>
      <c r="E56" s="4297">
        <v>83.155575999999996</v>
      </c>
    </row>
    <row r="57" spans="2:5">
      <c r="B57" s="4296" t="s">
        <v>5378</v>
      </c>
      <c r="C57" s="4287" t="s">
        <v>7064</v>
      </c>
      <c r="D57" s="4287" t="s">
        <v>4674</v>
      </c>
      <c r="E57" s="4297">
        <v>82.605388999999988</v>
      </c>
    </row>
    <row r="58" spans="2:5">
      <c r="B58" s="4296" t="s">
        <v>5380</v>
      </c>
      <c r="C58" s="4296" t="s">
        <v>7776</v>
      </c>
      <c r="D58" s="4296" t="s">
        <v>4674</v>
      </c>
      <c r="E58" s="4297">
        <v>82.337617999999978</v>
      </c>
    </row>
    <row r="59" spans="2:5">
      <c r="B59" s="4296" t="s">
        <v>5382</v>
      </c>
      <c r="C59" s="4296" t="s">
        <v>7033</v>
      </c>
      <c r="D59" s="4296" t="s">
        <v>4674</v>
      </c>
      <c r="E59" s="4297">
        <v>81.714478000000014</v>
      </c>
    </row>
    <row r="60" spans="2:5">
      <c r="B60" s="4296" t="s">
        <v>5384</v>
      </c>
      <c r="C60" s="4296" t="s">
        <v>6027</v>
      </c>
      <c r="D60" s="4296" t="s">
        <v>4674</v>
      </c>
      <c r="E60" s="4297">
        <v>81.123408999999995</v>
      </c>
    </row>
    <row r="61" spans="2:5">
      <c r="B61" s="4296" t="s">
        <v>5386</v>
      </c>
      <c r="C61" s="4296" t="s">
        <v>7781</v>
      </c>
      <c r="D61" s="4296" t="s">
        <v>4674</v>
      </c>
      <c r="E61" s="4297">
        <v>80.265697000000003</v>
      </c>
    </row>
    <row r="62" spans="2:5">
      <c r="B62" s="4296" t="s">
        <v>5388</v>
      </c>
      <c r="C62" s="4296" t="s">
        <v>7026</v>
      </c>
      <c r="D62" s="4296" t="s">
        <v>4674</v>
      </c>
      <c r="E62" s="4297">
        <v>80.216313000000014</v>
      </c>
    </row>
    <row r="63" spans="2:5">
      <c r="B63" s="4296" t="s">
        <v>5390</v>
      </c>
      <c r="C63" s="4296" t="s">
        <v>8655</v>
      </c>
      <c r="D63" s="4296" t="s">
        <v>4674</v>
      </c>
      <c r="E63" s="4297">
        <v>79.597428999999977</v>
      </c>
    </row>
    <row r="64" spans="2:5">
      <c r="B64" s="4296" t="s">
        <v>5392</v>
      </c>
      <c r="C64" s="4296" t="s">
        <v>7777</v>
      </c>
      <c r="D64" s="4296" t="s">
        <v>4674</v>
      </c>
      <c r="E64" s="4297">
        <v>78.805284000000015</v>
      </c>
    </row>
    <row r="65" spans="2:5">
      <c r="B65" s="4296" t="s">
        <v>5394</v>
      </c>
      <c r="C65" s="4287" t="s">
        <v>8656</v>
      </c>
      <c r="D65" s="4287" t="s">
        <v>4674</v>
      </c>
      <c r="E65" s="4297">
        <v>78.496670999999992</v>
      </c>
    </row>
    <row r="66" spans="2:5">
      <c r="B66" s="4296" t="s">
        <v>5396</v>
      </c>
      <c r="C66" s="4296" t="s">
        <v>7787</v>
      </c>
      <c r="D66" s="4296" t="s">
        <v>4674</v>
      </c>
      <c r="E66" s="4297">
        <v>77.452678000000006</v>
      </c>
    </row>
    <row r="67" spans="2:5">
      <c r="B67" s="4296" t="s">
        <v>5398</v>
      </c>
      <c r="C67" s="4287" t="s">
        <v>7760</v>
      </c>
      <c r="D67" s="4287" t="s">
        <v>4674</v>
      </c>
      <c r="E67" s="4297">
        <v>75.096514000000013</v>
      </c>
    </row>
    <row r="68" spans="2:5">
      <c r="B68" s="4296" t="s">
        <v>5400</v>
      </c>
      <c r="C68" s="4296" t="s">
        <v>8657</v>
      </c>
      <c r="D68" s="4296" t="s">
        <v>4674</v>
      </c>
      <c r="E68" s="4297">
        <v>73.583472</v>
      </c>
    </row>
    <row r="69" spans="2:5">
      <c r="B69" s="4296" t="s">
        <v>5402</v>
      </c>
      <c r="C69" s="4296" t="s">
        <v>7768</v>
      </c>
      <c r="D69" s="4296" t="s">
        <v>4674</v>
      </c>
      <c r="E69" s="4297">
        <v>73.134104000000008</v>
      </c>
    </row>
    <row r="70" spans="2:5">
      <c r="B70" s="4296" t="s">
        <v>5404</v>
      </c>
      <c r="C70" s="4296" t="s">
        <v>7122</v>
      </c>
      <c r="D70" s="4296" t="s">
        <v>4674</v>
      </c>
      <c r="E70" s="4297">
        <v>73.009003000000021</v>
      </c>
    </row>
    <row r="71" spans="2:5">
      <c r="B71" s="4296" t="s">
        <v>5406</v>
      </c>
      <c r="C71" s="4296" t="s">
        <v>5358</v>
      </c>
      <c r="D71" s="4296" t="s">
        <v>4674</v>
      </c>
      <c r="E71" s="4297">
        <v>72.405092999999979</v>
      </c>
    </row>
    <row r="72" spans="2:5">
      <c r="B72" s="4296" t="s">
        <v>5408</v>
      </c>
      <c r="C72" s="4296" t="s">
        <v>8658</v>
      </c>
      <c r="D72" s="4296" t="s">
        <v>4674</v>
      </c>
      <c r="E72" s="4297">
        <v>71.904585999999995</v>
      </c>
    </row>
    <row r="73" spans="2:5">
      <c r="B73" s="4296" t="s">
        <v>5410</v>
      </c>
      <c r="C73" s="4296" t="s">
        <v>8659</v>
      </c>
      <c r="D73" s="4296" t="s">
        <v>4674</v>
      </c>
      <c r="E73" s="4297">
        <v>70.955348999999984</v>
      </c>
    </row>
    <row r="74" spans="2:5">
      <c r="B74" s="4296" t="s">
        <v>5412</v>
      </c>
      <c r="C74" s="4296" t="s">
        <v>5296</v>
      </c>
      <c r="D74" s="4296" t="s">
        <v>4674</v>
      </c>
      <c r="E74" s="4297">
        <v>70.840818999999996</v>
      </c>
    </row>
    <row r="75" spans="2:5">
      <c r="B75" s="4296" t="s">
        <v>5414</v>
      </c>
      <c r="C75" s="4296" t="s">
        <v>5389</v>
      </c>
      <c r="D75" s="4296" t="s">
        <v>4674</v>
      </c>
      <c r="E75" s="4297">
        <v>70.006074999999996</v>
      </c>
    </row>
    <row r="76" spans="2:5">
      <c r="B76" s="4296" t="s">
        <v>5416</v>
      </c>
      <c r="C76" s="4296" t="s">
        <v>7799</v>
      </c>
      <c r="D76" s="4296" t="s">
        <v>4674</v>
      </c>
      <c r="E76" s="4297">
        <v>68.662463000000002</v>
      </c>
    </row>
    <row r="77" spans="2:5">
      <c r="B77" s="4296" t="s">
        <v>5418</v>
      </c>
      <c r="C77" s="4296" t="s">
        <v>5415</v>
      </c>
      <c r="D77" s="4296" t="s">
        <v>4674</v>
      </c>
      <c r="E77" s="4297">
        <v>68.205512999999982</v>
      </c>
    </row>
    <row r="78" spans="2:5">
      <c r="B78" s="4296" t="s">
        <v>5420</v>
      </c>
      <c r="C78" s="4296" t="s">
        <v>7808</v>
      </c>
      <c r="D78" s="4296" t="s">
        <v>4674</v>
      </c>
      <c r="E78" s="4297">
        <v>68.018707000000006</v>
      </c>
    </row>
    <row r="79" spans="2:5">
      <c r="B79" s="4296" t="s">
        <v>5422</v>
      </c>
      <c r="C79" s="4296" t="s">
        <v>7896</v>
      </c>
      <c r="D79" s="4296" t="s">
        <v>4674</v>
      </c>
      <c r="E79" s="4297">
        <v>67.378756999999979</v>
      </c>
    </row>
    <row r="80" spans="2:5">
      <c r="B80" s="4296" t="s">
        <v>5424</v>
      </c>
      <c r="C80" s="4296" t="s">
        <v>7778</v>
      </c>
      <c r="D80" s="4296" t="s">
        <v>4674</v>
      </c>
      <c r="E80" s="4297">
        <v>66.731518999999992</v>
      </c>
    </row>
    <row r="81" spans="2:5">
      <c r="B81" s="4296" t="s">
        <v>5426</v>
      </c>
      <c r="C81" s="4296" t="s">
        <v>7812</v>
      </c>
      <c r="D81" s="4296" t="s">
        <v>4674</v>
      </c>
      <c r="E81" s="4297">
        <v>66.438382000000033</v>
      </c>
    </row>
    <row r="82" spans="2:5">
      <c r="B82" s="4296" t="s">
        <v>5428</v>
      </c>
      <c r="C82" s="4296" t="s">
        <v>7051</v>
      </c>
      <c r="D82" s="4296" t="s">
        <v>4674</v>
      </c>
      <c r="E82" s="4297">
        <v>66.248477999999977</v>
      </c>
    </row>
    <row r="83" spans="2:5">
      <c r="B83" s="4296" t="s">
        <v>5430</v>
      </c>
      <c r="C83" s="4296" t="s">
        <v>7150</v>
      </c>
      <c r="D83" s="4296" t="s">
        <v>4674</v>
      </c>
      <c r="E83" s="4297">
        <v>66.113061999999999</v>
      </c>
    </row>
    <row r="84" spans="2:5">
      <c r="B84" s="4296" t="s">
        <v>5432</v>
      </c>
      <c r="C84" s="4296" t="s">
        <v>8660</v>
      </c>
      <c r="D84" s="4296" t="s">
        <v>4674</v>
      </c>
      <c r="E84" s="4297">
        <v>65.588616999999999</v>
      </c>
    </row>
    <row r="85" spans="2:5">
      <c r="B85" s="4296" t="s">
        <v>5434</v>
      </c>
      <c r="C85" s="4296" t="s">
        <v>8661</v>
      </c>
      <c r="D85" s="4296" t="s">
        <v>4674</v>
      </c>
      <c r="E85" s="4297">
        <v>65.506596999999985</v>
      </c>
    </row>
    <row r="86" spans="2:5">
      <c r="B86" s="4296" t="s">
        <v>5436</v>
      </c>
      <c r="C86" s="4296" t="s">
        <v>8662</v>
      </c>
      <c r="D86" s="4296" t="s">
        <v>4674</v>
      </c>
      <c r="E86" s="4297">
        <v>64.905989999999989</v>
      </c>
    </row>
    <row r="87" spans="2:5">
      <c r="B87" s="4296" t="s">
        <v>5438</v>
      </c>
      <c r="C87" s="4296" t="s">
        <v>7958</v>
      </c>
      <c r="D87" s="4296" t="s">
        <v>4674</v>
      </c>
      <c r="E87" s="4297">
        <v>63.556214000000011</v>
      </c>
    </row>
    <row r="88" spans="2:5">
      <c r="B88" s="4296" t="s">
        <v>5440</v>
      </c>
      <c r="C88" s="4296" t="s">
        <v>7797</v>
      </c>
      <c r="D88" s="4296" t="s">
        <v>4674</v>
      </c>
      <c r="E88" s="4297">
        <v>63.43160800000004</v>
      </c>
    </row>
    <row r="89" spans="2:5">
      <c r="B89" s="4296" t="s">
        <v>5442</v>
      </c>
      <c r="C89" s="4296" t="s">
        <v>7877</v>
      </c>
      <c r="D89" s="4296" t="s">
        <v>4674</v>
      </c>
      <c r="E89" s="4297">
        <v>63.064268999999996</v>
      </c>
    </row>
    <row r="90" spans="2:5">
      <c r="B90" s="4296" t="s">
        <v>5444</v>
      </c>
      <c r="C90" s="4287" t="s">
        <v>7747</v>
      </c>
      <c r="D90" s="4287" t="s">
        <v>4674</v>
      </c>
      <c r="E90" s="4297">
        <v>63.000171000000009</v>
      </c>
    </row>
    <row r="91" spans="2:5">
      <c r="B91" s="4296" t="s">
        <v>5446</v>
      </c>
      <c r="C91" s="4296" t="s">
        <v>7851</v>
      </c>
      <c r="D91" s="4296" t="s">
        <v>4674</v>
      </c>
      <c r="E91" s="4297">
        <v>62.781105000000004</v>
      </c>
    </row>
    <row r="92" spans="2:5">
      <c r="B92" s="4296" t="s">
        <v>5448</v>
      </c>
      <c r="C92" s="4296" t="s">
        <v>8663</v>
      </c>
      <c r="D92" s="4296" t="s">
        <v>4674</v>
      </c>
      <c r="E92" s="4297">
        <v>62.082287000000001</v>
      </c>
    </row>
    <row r="93" spans="2:5">
      <c r="B93" s="4296" t="s">
        <v>5450</v>
      </c>
      <c r="C93" s="4296" t="s">
        <v>7833</v>
      </c>
      <c r="D93" s="4296" t="s">
        <v>4674</v>
      </c>
      <c r="E93" s="4297">
        <v>61.420755999999997</v>
      </c>
    </row>
    <row r="94" spans="2:5">
      <c r="B94" s="4296" t="s">
        <v>5452</v>
      </c>
      <c r="C94" s="4296" t="s">
        <v>7856</v>
      </c>
      <c r="D94" s="4296" t="s">
        <v>4674</v>
      </c>
      <c r="E94" s="4297">
        <v>61.304712999999964</v>
      </c>
    </row>
    <row r="95" spans="2:5">
      <c r="B95" s="4296" t="s">
        <v>5454</v>
      </c>
      <c r="C95" s="4296" t="s">
        <v>7801</v>
      </c>
      <c r="D95" s="4296" t="s">
        <v>4674</v>
      </c>
      <c r="E95" s="4297">
        <v>61.129347000000017</v>
      </c>
    </row>
    <row r="96" spans="2:5">
      <c r="B96" s="4296" t="s">
        <v>5456</v>
      </c>
      <c r="C96" s="4296" t="s">
        <v>7793</v>
      </c>
      <c r="D96" s="4296" t="s">
        <v>4674</v>
      </c>
      <c r="E96" s="4297">
        <v>60.651049999999991</v>
      </c>
    </row>
    <row r="97" spans="2:5">
      <c r="B97" s="4296" t="s">
        <v>5458</v>
      </c>
      <c r="C97" s="4296" t="s">
        <v>7819</v>
      </c>
      <c r="D97" s="4296" t="s">
        <v>4674</v>
      </c>
      <c r="E97" s="4297">
        <v>60.29500800000001</v>
      </c>
    </row>
    <row r="98" spans="2:5">
      <c r="B98" s="4296" t="s">
        <v>5460</v>
      </c>
      <c r="C98" s="4296" t="s">
        <v>7780</v>
      </c>
      <c r="D98" s="4296" t="s">
        <v>4674</v>
      </c>
      <c r="E98" s="4297">
        <v>60.265710999999996</v>
      </c>
    </row>
    <row r="99" spans="2:5">
      <c r="B99" s="4296" t="s">
        <v>5462</v>
      </c>
      <c r="C99" s="4296" t="s">
        <v>8664</v>
      </c>
      <c r="D99" s="4296" t="s">
        <v>4674</v>
      </c>
      <c r="E99" s="4297">
        <v>59.76915000000001</v>
      </c>
    </row>
    <row r="100" spans="2:5">
      <c r="B100" s="4296" t="s">
        <v>5464</v>
      </c>
      <c r="C100" s="4296" t="s">
        <v>7087</v>
      </c>
      <c r="D100" s="4296" t="s">
        <v>4674</v>
      </c>
      <c r="E100" s="4297">
        <v>59.297488000000001</v>
      </c>
    </row>
    <row r="101" spans="2:5">
      <c r="B101" s="4296" t="s">
        <v>5466</v>
      </c>
      <c r="C101" s="4296" t="s">
        <v>7791</v>
      </c>
      <c r="D101" s="4296" t="s">
        <v>4674</v>
      </c>
      <c r="E101" s="4297">
        <v>59.077884999999988</v>
      </c>
    </row>
    <row r="102" spans="2:5">
      <c r="B102" s="4296" t="s">
        <v>5468</v>
      </c>
      <c r="C102" s="4296" t="s">
        <v>7789</v>
      </c>
      <c r="D102" s="4296" t="s">
        <v>4674</v>
      </c>
      <c r="E102" s="4297">
        <v>58.56008700000001</v>
      </c>
    </row>
    <row r="103" spans="2:5">
      <c r="B103" s="4296" t="s">
        <v>5470</v>
      </c>
      <c r="C103" s="4287" t="s">
        <v>7074</v>
      </c>
      <c r="D103" s="4287" t="s">
        <v>4674</v>
      </c>
      <c r="E103" s="4297">
        <v>58.442652999999993</v>
      </c>
    </row>
    <row r="104" spans="2:5">
      <c r="B104" s="4296" t="s">
        <v>5472</v>
      </c>
      <c r="C104" s="4296" t="s">
        <v>7795</v>
      </c>
      <c r="D104" s="4296" t="s">
        <v>4674</v>
      </c>
      <c r="E104" s="4297">
        <v>58.308844000000008</v>
      </c>
    </row>
    <row r="105" spans="2:5">
      <c r="B105" s="4296" t="s">
        <v>5474</v>
      </c>
      <c r="C105" s="4296" t="s">
        <v>7052</v>
      </c>
      <c r="D105" s="4296" t="s">
        <v>4674</v>
      </c>
      <c r="E105" s="4297">
        <v>57.607802</v>
      </c>
    </row>
    <row r="106" spans="2:5">
      <c r="B106" s="4296" t="s">
        <v>5476</v>
      </c>
      <c r="C106" s="4296" t="s">
        <v>7784</v>
      </c>
      <c r="D106" s="4296" t="s">
        <v>4674</v>
      </c>
      <c r="E106" s="4297">
        <v>57.350524</v>
      </c>
    </row>
    <row r="107" spans="2:5">
      <c r="B107" s="4296" t="s">
        <v>5478</v>
      </c>
      <c r="C107" s="4296" t="s">
        <v>8665</v>
      </c>
      <c r="D107" s="4296" t="s">
        <v>4674</v>
      </c>
      <c r="E107" s="4297">
        <v>56.940280000000001</v>
      </c>
    </row>
    <row r="108" spans="2:5">
      <c r="B108" s="4296" t="s">
        <v>5480</v>
      </c>
      <c r="C108" s="4296" t="s">
        <v>8666</v>
      </c>
      <c r="D108" s="4296" t="s">
        <v>4674</v>
      </c>
      <c r="E108" s="4297">
        <v>56.627531999999995</v>
      </c>
    </row>
    <row r="109" spans="2:5">
      <c r="B109" s="4296" t="s">
        <v>5482</v>
      </c>
      <c r="C109" s="4296" t="s">
        <v>8667</v>
      </c>
      <c r="D109" s="4296" t="s">
        <v>4674</v>
      </c>
      <c r="E109" s="4297">
        <v>56.251720999999996</v>
      </c>
    </row>
    <row r="110" spans="2:5">
      <c r="B110" s="4296" t="s">
        <v>5484</v>
      </c>
      <c r="C110" s="4296" t="s">
        <v>5861</v>
      </c>
      <c r="D110" s="4296" t="s">
        <v>4674</v>
      </c>
      <c r="E110" s="4297">
        <v>56.100643000000005</v>
      </c>
    </row>
    <row r="111" spans="2:5">
      <c r="B111" s="4296" t="s">
        <v>5486</v>
      </c>
      <c r="C111" s="4296" t="s">
        <v>8668</v>
      </c>
      <c r="D111" s="4296" t="s">
        <v>4674</v>
      </c>
      <c r="E111" s="4297">
        <v>54.248117000000008</v>
      </c>
    </row>
    <row r="112" spans="2:5">
      <c r="B112" s="4296" t="s">
        <v>5488</v>
      </c>
      <c r="C112" s="4296" t="s">
        <v>7888</v>
      </c>
      <c r="D112" s="4296" t="s">
        <v>4674</v>
      </c>
      <c r="E112" s="4297">
        <v>54.018230999999979</v>
      </c>
    </row>
    <row r="113" spans="2:5">
      <c r="B113" s="4296" t="s">
        <v>5490</v>
      </c>
      <c r="C113" s="4296" t="s">
        <v>7056</v>
      </c>
      <c r="D113" s="4296" t="s">
        <v>4674</v>
      </c>
      <c r="E113" s="4297">
        <v>53.994900999999999</v>
      </c>
    </row>
    <row r="114" spans="2:5">
      <c r="B114" s="4296" t="s">
        <v>5492</v>
      </c>
      <c r="C114" s="4296" t="s">
        <v>5471</v>
      </c>
      <c r="D114" s="4296" t="s">
        <v>4674</v>
      </c>
      <c r="E114" s="4297">
        <v>53.710813999999992</v>
      </c>
    </row>
    <row r="115" spans="2:5">
      <c r="B115" s="4296" t="s">
        <v>5494</v>
      </c>
      <c r="C115" s="4296" t="s">
        <v>8669</v>
      </c>
      <c r="D115" s="4296" t="s">
        <v>4674</v>
      </c>
      <c r="E115" s="4297">
        <v>52.956400000000002</v>
      </c>
    </row>
    <row r="116" spans="2:5">
      <c r="B116" s="4296" t="s">
        <v>5496</v>
      </c>
      <c r="C116" s="4296" t="s">
        <v>8670</v>
      </c>
      <c r="D116" s="4296" t="s">
        <v>4674</v>
      </c>
      <c r="E116" s="4297">
        <v>52.417559999999995</v>
      </c>
    </row>
    <row r="117" spans="2:5">
      <c r="B117" s="4296" t="s">
        <v>5498</v>
      </c>
      <c r="C117" s="4287" t="s">
        <v>7072</v>
      </c>
      <c r="D117" s="4287" t="s">
        <v>4674</v>
      </c>
      <c r="E117" s="4297">
        <v>50.633972</v>
      </c>
    </row>
    <row r="118" spans="2:5">
      <c r="B118" s="4296" t="s">
        <v>5500</v>
      </c>
      <c r="C118" s="4296" t="s">
        <v>7831</v>
      </c>
      <c r="D118" s="4296" t="s">
        <v>4674</v>
      </c>
      <c r="E118" s="4297">
        <v>50.541665000000002</v>
      </c>
    </row>
    <row r="119" spans="2:5">
      <c r="B119" s="4296" t="s">
        <v>5502</v>
      </c>
      <c r="C119" s="4296" t="s">
        <v>8671</v>
      </c>
      <c r="D119" s="4296" t="s">
        <v>4674</v>
      </c>
      <c r="E119" s="4297">
        <v>50.011637000000007</v>
      </c>
    </row>
    <row r="120" spans="2:5">
      <c r="B120" s="4296" t="s">
        <v>5504</v>
      </c>
      <c r="C120" s="4296" t="s">
        <v>8672</v>
      </c>
      <c r="D120" s="4296" t="s">
        <v>4674</v>
      </c>
      <c r="E120" s="4297">
        <v>49.377703999999994</v>
      </c>
    </row>
    <row r="121" spans="2:5">
      <c r="B121" s="4296" t="s">
        <v>5506</v>
      </c>
      <c r="C121" s="4296" t="s">
        <v>8673</v>
      </c>
      <c r="D121" s="4296" t="s">
        <v>4674</v>
      </c>
      <c r="E121" s="4297">
        <v>48.490527999999983</v>
      </c>
    </row>
    <row r="122" spans="2:5">
      <c r="B122" s="4296" t="s">
        <v>5508</v>
      </c>
      <c r="C122" s="4296" t="s">
        <v>8674</v>
      </c>
      <c r="D122" s="4296" t="s">
        <v>4674</v>
      </c>
      <c r="E122" s="4297">
        <v>48.14087099999999</v>
      </c>
    </row>
    <row r="123" spans="2:5">
      <c r="B123" s="4296" t="s">
        <v>5510</v>
      </c>
      <c r="C123" s="4296" t="s">
        <v>7850</v>
      </c>
      <c r="D123" s="4296" t="s">
        <v>4674</v>
      </c>
      <c r="E123" s="4297">
        <v>48.070079000000007</v>
      </c>
    </row>
    <row r="124" spans="2:5">
      <c r="B124" s="4296" t="s">
        <v>5512</v>
      </c>
      <c r="C124" s="4296" t="s">
        <v>8675</v>
      </c>
      <c r="D124" s="4296" t="s">
        <v>4897</v>
      </c>
      <c r="E124" s="4297">
        <v>48</v>
      </c>
    </row>
    <row r="125" spans="2:5">
      <c r="B125" s="4296" t="s">
        <v>5514</v>
      </c>
      <c r="C125" s="4296" t="s">
        <v>7573</v>
      </c>
      <c r="D125" s="4296" t="s">
        <v>4674</v>
      </c>
      <c r="E125" s="4297">
        <v>47.68754100000001</v>
      </c>
    </row>
    <row r="126" spans="2:5">
      <c r="B126" s="4296" t="s">
        <v>5516</v>
      </c>
      <c r="C126" s="4296" t="s">
        <v>8676</v>
      </c>
      <c r="D126" s="4296" t="s">
        <v>4674</v>
      </c>
      <c r="E126" s="4297">
        <v>47.64106799999999</v>
      </c>
    </row>
    <row r="127" spans="2:5">
      <c r="B127" s="4296" t="s">
        <v>5518</v>
      </c>
      <c r="C127" s="4296" t="s">
        <v>8677</v>
      </c>
      <c r="D127" s="4296" t="s">
        <v>4674</v>
      </c>
      <c r="E127" s="4297">
        <v>47.635435000000008</v>
      </c>
    </row>
    <row r="128" spans="2:5">
      <c r="B128" s="4296" t="s">
        <v>5520</v>
      </c>
      <c r="C128" s="4287" t="s">
        <v>8678</v>
      </c>
      <c r="D128" s="4287" t="s">
        <v>4674</v>
      </c>
      <c r="E128" s="4297">
        <v>47.583241000000001</v>
      </c>
    </row>
    <row r="129" spans="2:5">
      <c r="B129" s="4296" t="s">
        <v>5522</v>
      </c>
      <c r="C129" s="4296" t="s">
        <v>5809</v>
      </c>
      <c r="D129" s="4296" t="s">
        <v>4674</v>
      </c>
      <c r="E129" s="4297">
        <v>46.742280000000001</v>
      </c>
    </row>
    <row r="130" spans="2:5">
      <c r="B130" s="4296" t="s">
        <v>5524</v>
      </c>
      <c r="C130" s="4287" t="s">
        <v>8679</v>
      </c>
      <c r="D130" s="4287" t="s">
        <v>4674</v>
      </c>
      <c r="E130" s="4297">
        <v>46.450804000000005</v>
      </c>
    </row>
    <row r="131" spans="2:5">
      <c r="B131" s="4296" t="s">
        <v>5526</v>
      </c>
      <c r="C131" s="4296" t="s">
        <v>7871</v>
      </c>
      <c r="D131" s="4296" t="s">
        <v>4674</v>
      </c>
      <c r="E131" s="4297">
        <v>46.424228000000006</v>
      </c>
    </row>
    <row r="132" spans="2:5">
      <c r="B132" s="4296" t="s">
        <v>5528</v>
      </c>
      <c r="C132" s="4296" t="s">
        <v>7894</v>
      </c>
      <c r="D132" s="4296" t="s">
        <v>4674</v>
      </c>
      <c r="E132" s="4297">
        <v>46.189870999999982</v>
      </c>
    </row>
    <row r="133" spans="2:5">
      <c r="B133" s="4296" t="s">
        <v>5530</v>
      </c>
      <c r="C133" s="4296" t="s">
        <v>7847</v>
      </c>
      <c r="D133" s="4296" t="s">
        <v>4674</v>
      </c>
      <c r="E133" s="4297">
        <v>46.134999999999998</v>
      </c>
    </row>
    <row r="134" spans="2:5">
      <c r="B134" s="4296" t="s">
        <v>5532</v>
      </c>
      <c r="C134" s="4296" t="s">
        <v>5451</v>
      </c>
      <c r="D134" s="4296" t="s">
        <v>4674</v>
      </c>
      <c r="E134" s="4297">
        <v>45.94455499999998</v>
      </c>
    </row>
    <row r="135" spans="2:5">
      <c r="B135" s="4296" t="s">
        <v>5534</v>
      </c>
      <c r="C135" s="4296" t="s">
        <v>8680</v>
      </c>
      <c r="D135" s="4296" t="s">
        <v>4674</v>
      </c>
      <c r="E135" s="4297">
        <v>45.255375000000008</v>
      </c>
    </row>
    <row r="136" spans="2:5">
      <c r="B136" s="4296" t="s">
        <v>5536</v>
      </c>
      <c r="C136" s="4296" t="s">
        <v>8681</v>
      </c>
      <c r="D136" s="4296" t="s">
        <v>4674</v>
      </c>
      <c r="E136" s="4297">
        <v>44.893079999999991</v>
      </c>
    </row>
    <row r="137" spans="2:5">
      <c r="B137" s="4296" t="s">
        <v>5538</v>
      </c>
      <c r="C137" s="4296" t="s">
        <v>8682</v>
      </c>
      <c r="D137" s="4296" t="s">
        <v>4674</v>
      </c>
      <c r="E137" s="4297">
        <v>44.417587000000005</v>
      </c>
    </row>
    <row r="138" spans="2:5">
      <c r="B138" s="4296" t="s">
        <v>5540</v>
      </c>
      <c r="C138" s="4296" t="s">
        <v>7823</v>
      </c>
      <c r="D138" s="4296" t="s">
        <v>4674</v>
      </c>
      <c r="E138" s="4297">
        <v>44.365071</v>
      </c>
    </row>
    <row r="139" spans="2:5">
      <c r="B139" s="4296" t="s">
        <v>5542</v>
      </c>
      <c r="C139" s="4287" t="s">
        <v>7803</v>
      </c>
      <c r="D139" s="4287" t="s">
        <v>4674</v>
      </c>
      <c r="E139" s="4297">
        <v>44.189832000000003</v>
      </c>
    </row>
    <row r="140" spans="2:5">
      <c r="B140" s="4296" t="s">
        <v>5544</v>
      </c>
      <c r="C140" s="4287" t="s">
        <v>8683</v>
      </c>
      <c r="D140" s="4287" t="s">
        <v>4674</v>
      </c>
      <c r="E140" s="4297">
        <v>44.086079999999995</v>
      </c>
    </row>
    <row r="141" spans="2:5">
      <c r="B141" s="4296" t="s">
        <v>5546</v>
      </c>
      <c r="C141" s="4296" t="s">
        <v>8684</v>
      </c>
      <c r="D141" s="4296" t="s">
        <v>4674</v>
      </c>
      <c r="E141" s="4297">
        <v>43.524333999999996</v>
      </c>
    </row>
    <row r="142" spans="2:5">
      <c r="B142" s="4296" t="s">
        <v>5548</v>
      </c>
      <c r="C142" s="4296" t="s">
        <v>7148</v>
      </c>
      <c r="D142" s="4296" t="s">
        <v>4674</v>
      </c>
      <c r="E142" s="4297">
        <v>43.391428000000012</v>
      </c>
    </row>
    <row r="143" spans="2:5">
      <c r="B143" s="4296" t="s">
        <v>5550</v>
      </c>
      <c r="C143" s="4296" t="s">
        <v>8685</v>
      </c>
      <c r="D143" s="4296" t="s">
        <v>4674</v>
      </c>
      <c r="E143" s="4297">
        <v>43.343845000000002</v>
      </c>
    </row>
    <row r="144" spans="2:5">
      <c r="B144" s="4296" t="s">
        <v>5552</v>
      </c>
      <c r="C144" s="4296" t="s">
        <v>8686</v>
      </c>
      <c r="D144" s="4296" t="s">
        <v>4674</v>
      </c>
      <c r="E144" s="4297">
        <v>43.254036999999997</v>
      </c>
    </row>
    <row r="145" spans="2:5">
      <c r="B145" s="4296" t="s">
        <v>5554</v>
      </c>
      <c r="C145" s="4296" t="s">
        <v>5752</v>
      </c>
      <c r="D145" s="4296" t="s">
        <v>5753</v>
      </c>
      <c r="E145" s="4297">
        <v>42.864919</v>
      </c>
    </row>
    <row r="146" spans="2:5">
      <c r="B146" s="4296" t="s">
        <v>5556</v>
      </c>
      <c r="C146" s="4296" t="s">
        <v>8687</v>
      </c>
      <c r="D146" s="4296" t="s">
        <v>4674</v>
      </c>
      <c r="E146" s="4297">
        <v>42.848910000000004</v>
      </c>
    </row>
    <row r="147" spans="2:5">
      <c r="B147" s="4296" t="s">
        <v>5558</v>
      </c>
      <c r="C147" s="4296" t="s">
        <v>8688</v>
      </c>
      <c r="D147" s="4296" t="s">
        <v>4674</v>
      </c>
      <c r="E147" s="4297">
        <v>42.39895099999999</v>
      </c>
    </row>
    <row r="148" spans="2:5">
      <c r="B148" s="4296" t="s">
        <v>5560</v>
      </c>
      <c r="C148" s="4296" t="s">
        <v>8689</v>
      </c>
      <c r="D148" s="4296" t="s">
        <v>4674</v>
      </c>
      <c r="E148" s="4297">
        <v>42.18844</v>
      </c>
    </row>
    <row r="149" spans="2:5">
      <c r="B149" s="4296" t="s">
        <v>5562</v>
      </c>
      <c r="C149" s="4296" t="s">
        <v>7758</v>
      </c>
      <c r="D149" s="4296" t="s">
        <v>4674</v>
      </c>
      <c r="E149" s="4297">
        <v>42.112904</v>
      </c>
    </row>
    <row r="150" spans="2:5">
      <c r="B150" s="4296" t="s">
        <v>5564</v>
      </c>
      <c r="C150" s="4296" t="s">
        <v>8690</v>
      </c>
      <c r="D150" s="4296" t="s">
        <v>4674</v>
      </c>
      <c r="E150" s="4297">
        <v>41.986639999999994</v>
      </c>
    </row>
    <row r="151" spans="2:5">
      <c r="B151" s="4296" t="s">
        <v>5566</v>
      </c>
      <c r="C151" s="4296" t="s">
        <v>8691</v>
      </c>
      <c r="D151" s="4296" t="s">
        <v>4674</v>
      </c>
      <c r="E151" s="4297">
        <v>41.439943000000014</v>
      </c>
    </row>
    <row r="152" spans="2:5">
      <c r="B152" s="4296" t="s">
        <v>5568</v>
      </c>
      <c r="C152" s="4296" t="s">
        <v>8692</v>
      </c>
      <c r="D152" s="4296" t="s">
        <v>4674</v>
      </c>
      <c r="E152" s="4297">
        <v>41.347635000000004</v>
      </c>
    </row>
    <row r="153" spans="2:5">
      <c r="B153" s="4296" t="s">
        <v>5570</v>
      </c>
      <c r="C153" s="4296" t="s">
        <v>8693</v>
      </c>
      <c r="D153" s="4296" t="s">
        <v>4674</v>
      </c>
      <c r="E153" s="4297">
        <v>41.218784999999997</v>
      </c>
    </row>
    <row r="154" spans="2:5">
      <c r="B154" s="4296" t="s">
        <v>5572</v>
      </c>
      <c r="C154" s="4296" t="s">
        <v>5356</v>
      </c>
      <c r="D154" s="4296" t="s">
        <v>4674</v>
      </c>
      <c r="E154" s="4297">
        <v>41.179903000000003</v>
      </c>
    </row>
    <row r="155" spans="2:5">
      <c r="B155" s="4296" t="s">
        <v>5574</v>
      </c>
      <c r="C155" s="4296" t="s">
        <v>7836</v>
      </c>
      <c r="D155" s="4296" t="s">
        <v>4674</v>
      </c>
      <c r="E155" s="4297">
        <v>41.006678999999991</v>
      </c>
    </row>
    <row r="156" spans="2:5">
      <c r="B156" s="4296" t="s">
        <v>5576</v>
      </c>
      <c r="C156" s="4296" t="s">
        <v>8694</v>
      </c>
      <c r="D156" s="4296" t="s">
        <v>4674</v>
      </c>
      <c r="E156" s="4297">
        <v>40.784999999999997</v>
      </c>
    </row>
    <row r="157" spans="2:5">
      <c r="B157" s="4296" t="s">
        <v>5578</v>
      </c>
      <c r="C157" s="4296" t="s">
        <v>8695</v>
      </c>
      <c r="D157" s="4296" t="s">
        <v>4674</v>
      </c>
      <c r="E157" s="4297">
        <v>40.122038000000003</v>
      </c>
    </row>
    <row r="158" spans="2:5">
      <c r="B158" s="4296" t="s">
        <v>5580</v>
      </c>
      <c r="C158" s="4287" t="s">
        <v>8696</v>
      </c>
      <c r="D158" s="4287" t="s">
        <v>4674</v>
      </c>
      <c r="E158" s="4297">
        <v>39.356216000000003</v>
      </c>
    </row>
    <row r="159" spans="2:5">
      <c r="B159" s="4296" t="s">
        <v>5582</v>
      </c>
      <c r="C159" s="4287" t="s">
        <v>8697</v>
      </c>
      <c r="D159" s="4287" t="s">
        <v>4674</v>
      </c>
      <c r="E159" s="4297">
        <v>38.780609999999996</v>
      </c>
    </row>
    <row r="160" spans="2:5">
      <c r="B160" s="4296" t="s">
        <v>5584</v>
      </c>
      <c r="C160" s="4296" t="s">
        <v>8698</v>
      </c>
      <c r="D160" s="4296" t="s">
        <v>4674</v>
      </c>
      <c r="E160" s="4297">
        <v>38.666449999999998</v>
      </c>
    </row>
    <row r="161" spans="2:5">
      <c r="B161" s="4296" t="s">
        <v>5586</v>
      </c>
      <c r="C161" s="4296" t="s">
        <v>8699</v>
      </c>
      <c r="D161" s="4296" t="s">
        <v>4674</v>
      </c>
      <c r="E161" s="4297">
        <v>38.554876000000007</v>
      </c>
    </row>
    <row r="162" spans="2:5">
      <c r="B162" s="4296" t="s">
        <v>5588</v>
      </c>
      <c r="C162" s="4296" t="s">
        <v>7867</v>
      </c>
      <c r="D162" s="4296" t="s">
        <v>4674</v>
      </c>
      <c r="E162" s="4297">
        <v>38.431603000000003</v>
      </c>
    </row>
    <row r="163" spans="2:5">
      <c r="B163" s="4296" t="s">
        <v>5590</v>
      </c>
      <c r="C163" s="4287" t="s">
        <v>7815</v>
      </c>
      <c r="D163" s="4287" t="s">
        <v>4674</v>
      </c>
      <c r="E163" s="4297">
        <v>38.388462000000011</v>
      </c>
    </row>
    <row r="164" spans="2:5">
      <c r="B164" s="4296" t="s">
        <v>5592</v>
      </c>
      <c r="C164" s="4296" t="s">
        <v>8700</v>
      </c>
      <c r="D164" s="4296" t="s">
        <v>4897</v>
      </c>
      <c r="E164" s="4297">
        <v>38.35</v>
      </c>
    </row>
    <row r="165" spans="2:5">
      <c r="B165" s="4296" t="s">
        <v>5594</v>
      </c>
      <c r="C165" s="4296" t="s">
        <v>7783</v>
      </c>
      <c r="D165" s="4296" t="s">
        <v>4674</v>
      </c>
      <c r="E165" s="4297">
        <v>37.701338</v>
      </c>
    </row>
    <row r="166" spans="2:5">
      <c r="B166" s="4296" t="s">
        <v>5596</v>
      </c>
      <c r="C166" s="4287" t="s">
        <v>8701</v>
      </c>
      <c r="D166" s="4287" t="s">
        <v>4674</v>
      </c>
      <c r="E166" s="4297">
        <v>37.503279999999997</v>
      </c>
    </row>
    <row r="167" spans="2:5">
      <c r="B167" s="4296" t="s">
        <v>5598</v>
      </c>
      <c r="C167" s="4287" t="s">
        <v>8702</v>
      </c>
      <c r="D167" s="4287" t="s">
        <v>4674</v>
      </c>
      <c r="E167" s="4297">
        <v>37.229999999999997</v>
      </c>
    </row>
    <row r="168" spans="2:5">
      <c r="B168" s="4296" t="s">
        <v>5600</v>
      </c>
      <c r="C168" s="4296" t="s">
        <v>7771</v>
      </c>
      <c r="D168" s="4296" t="s">
        <v>4674</v>
      </c>
      <c r="E168" s="4297">
        <v>37.116</v>
      </c>
    </row>
    <row r="169" spans="2:5">
      <c r="B169" s="4296" t="s">
        <v>5602</v>
      </c>
      <c r="C169" s="4296" t="s">
        <v>8703</v>
      </c>
      <c r="D169" s="4296" t="s">
        <v>4674</v>
      </c>
      <c r="E169" s="4297">
        <v>36.477781000000007</v>
      </c>
    </row>
    <row r="170" spans="2:5">
      <c r="B170" s="4296" t="s">
        <v>5604</v>
      </c>
      <c r="C170" s="4287" t="s">
        <v>8704</v>
      </c>
      <c r="D170" s="4287" t="s">
        <v>4674</v>
      </c>
      <c r="E170" s="4297">
        <v>36.299368000000008</v>
      </c>
    </row>
    <row r="171" spans="2:5">
      <c r="B171" s="4296" t="s">
        <v>5606</v>
      </c>
      <c r="C171" s="4287" t="s">
        <v>7763</v>
      </c>
      <c r="D171" s="4287" t="s">
        <v>4674</v>
      </c>
      <c r="E171" s="4297">
        <v>36.044943000000004</v>
      </c>
    </row>
    <row r="172" spans="2:5">
      <c r="B172" s="4296" t="s">
        <v>5608</v>
      </c>
      <c r="C172" s="4296" t="s">
        <v>7857</v>
      </c>
      <c r="D172" s="4296" t="s">
        <v>4674</v>
      </c>
      <c r="E172" s="4297">
        <v>35.856129000000003</v>
      </c>
    </row>
    <row r="173" spans="2:5">
      <c r="B173" s="4296" t="s">
        <v>5610</v>
      </c>
      <c r="C173" s="4296" t="s">
        <v>7756</v>
      </c>
      <c r="D173" s="4296" t="s">
        <v>4674</v>
      </c>
      <c r="E173" s="4297">
        <v>35.802555999999996</v>
      </c>
    </row>
    <row r="174" spans="2:5">
      <c r="B174" s="4296" t="s">
        <v>5612</v>
      </c>
      <c r="C174" s="4296" t="s">
        <v>7055</v>
      </c>
      <c r="D174" s="4296" t="s">
        <v>4674</v>
      </c>
      <c r="E174" s="4297">
        <v>35.673351000000004</v>
      </c>
    </row>
    <row r="175" spans="2:5">
      <c r="B175" s="4296" t="s">
        <v>5614</v>
      </c>
      <c r="C175" s="4296" t="s">
        <v>7167</v>
      </c>
      <c r="D175" s="4296" t="s">
        <v>4674</v>
      </c>
      <c r="E175" s="4297">
        <v>35.634844000000001</v>
      </c>
    </row>
    <row r="176" spans="2:5">
      <c r="B176" s="4296" t="s">
        <v>5616</v>
      </c>
      <c r="C176" s="4296" t="s">
        <v>8705</v>
      </c>
      <c r="D176" s="4296" t="s">
        <v>4674</v>
      </c>
      <c r="E176" s="4297">
        <v>35.634075000000003</v>
      </c>
    </row>
    <row r="177" spans="2:5">
      <c r="B177" s="4296" t="s">
        <v>5618</v>
      </c>
      <c r="C177" s="4287" t="s">
        <v>7820</v>
      </c>
      <c r="D177" s="4287" t="s">
        <v>4674</v>
      </c>
      <c r="E177" s="4297">
        <v>35.586628000000005</v>
      </c>
    </row>
    <row r="178" spans="2:5">
      <c r="B178" s="4296" t="s">
        <v>5620</v>
      </c>
      <c r="C178" s="4296" t="s">
        <v>8706</v>
      </c>
      <c r="D178" s="4296" t="s">
        <v>4674</v>
      </c>
      <c r="E178" s="4297">
        <v>35.45655</v>
      </c>
    </row>
    <row r="179" spans="2:5">
      <c r="B179" s="4296" t="s">
        <v>5622</v>
      </c>
      <c r="C179" s="4287" t="s">
        <v>7854</v>
      </c>
      <c r="D179" s="4287" t="s">
        <v>4674</v>
      </c>
      <c r="E179" s="4297">
        <v>35.22579600000001</v>
      </c>
    </row>
    <row r="180" spans="2:5">
      <c r="B180" s="4296" t="s">
        <v>5624</v>
      </c>
      <c r="C180" s="4287" t="s">
        <v>7887</v>
      </c>
      <c r="D180" s="4287" t="s">
        <v>4674</v>
      </c>
      <c r="E180" s="4297">
        <v>35.225541999999997</v>
      </c>
    </row>
    <row r="181" spans="2:5">
      <c r="B181" s="4296" t="s">
        <v>5626</v>
      </c>
      <c r="C181" s="4287" t="s">
        <v>7879</v>
      </c>
      <c r="D181" s="4287" t="s">
        <v>4674</v>
      </c>
      <c r="E181" s="4297">
        <v>35.183095999999999</v>
      </c>
    </row>
    <row r="182" spans="2:5">
      <c r="B182" s="4296" t="s">
        <v>5628</v>
      </c>
      <c r="C182" s="4296" t="s">
        <v>7038</v>
      </c>
      <c r="D182" s="4296" t="s">
        <v>4674</v>
      </c>
      <c r="E182" s="4297">
        <v>34.931110999999994</v>
      </c>
    </row>
    <row r="183" spans="2:5">
      <c r="B183" s="4296" t="s">
        <v>5630</v>
      </c>
      <c r="C183" s="4296" t="s">
        <v>8707</v>
      </c>
      <c r="D183" s="4296" t="s">
        <v>4674</v>
      </c>
      <c r="E183" s="4297">
        <v>34.887926999999998</v>
      </c>
    </row>
    <row r="184" spans="2:5">
      <c r="B184" s="4296" t="s">
        <v>5632</v>
      </c>
      <c r="C184" s="4296" t="s">
        <v>5375</v>
      </c>
      <c r="D184" s="4296" t="s">
        <v>4674</v>
      </c>
      <c r="E184" s="4297">
        <v>34.770308</v>
      </c>
    </row>
    <row r="185" spans="2:5">
      <c r="B185" s="4296" t="s">
        <v>5634</v>
      </c>
      <c r="C185" s="4296" t="s">
        <v>6009</v>
      </c>
      <c r="D185" s="4296" t="s">
        <v>4674</v>
      </c>
      <c r="E185" s="4297">
        <v>34.696943000000005</v>
      </c>
    </row>
    <row r="186" spans="2:5">
      <c r="B186" s="4296" t="s">
        <v>5636</v>
      </c>
      <c r="C186" s="4296" t="s">
        <v>8708</v>
      </c>
      <c r="D186" s="4296" t="s">
        <v>4674</v>
      </c>
      <c r="E186" s="4297">
        <v>34.611580000000004</v>
      </c>
    </row>
    <row r="187" spans="2:5">
      <c r="B187" s="4296" t="s">
        <v>5638</v>
      </c>
      <c r="C187" s="4296" t="s">
        <v>7037</v>
      </c>
      <c r="D187" s="4296" t="s">
        <v>4674</v>
      </c>
      <c r="E187" s="4297">
        <v>34.013584000000002</v>
      </c>
    </row>
    <row r="188" spans="2:5">
      <c r="B188" s="4296" t="s">
        <v>5640</v>
      </c>
      <c r="C188" s="4296" t="s">
        <v>8709</v>
      </c>
      <c r="D188" s="4296" t="s">
        <v>4674</v>
      </c>
      <c r="E188" s="4297">
        <v>33.942974999999997</v>
      </c>
    </row>
    <row r="189" spans="2:5">
      <c r="B189" s="4296" t="s">
        <v>5642</v>
      </c>
      <c r="C189" s="4287" t="s">
        <v>7070</v>
      </c>
      <c r="D189" s="4287" t="s">
        <v>4674</v>
      </c>
      <c r="E189" s="4297">
        <v>33.833600999999994</v>
      </c>
    </row>
    <row r="190" spans="2:5">
      <c r="B190" s="4296" t="s">
        <v>5644</v>
      </c>
      <c r="C190" s="4296" t="s">
        <v>8710</v>
      </c>
      <c r="D190" s="4296" t="s">
        <v>4674</v>
      </c>
      <c r="E190" s="4297">
        <v>33.700752000000001</v>
      </c>
    </row>
    <row r="191" spans="2:5">
      <c r="B191" s="4296" t="s">
        <v>5646</v>
      </c>
      <c r="C191" s="4296" t="s">
        <v>7034</v>
      </c>
      <c r="D191" s="4296" t="s">
        <v>4674</v>
      </c>
      <c r="E191" s="4297">
        <v>33.692679000000005</v>
      </c>
    </row>
    <row r="192" spans="2:5">
      <c r="B192" s="4296" t="s">
        <v>5648</v>
      </c>
      <c r="C192" s="4296" t="s">
        <v>7917</v>
      </c>
      <c r="D192" s="4296" t="s">
        <v>4674</v>
      </c>
      <c r="E192" s="4297">
        <v>33.487918999999984</v>
      </c>
    </row>
    <row r="193" spans="2:5">
      <c r="B193" s="4296" t="s">
        <v>5650</v>
      </c>
      <c r="C193" s="4296" t="s">
        <v>5439</v>
      </c>
      <c r="D193" s="4296" t="s">
        <v>4674</v>
      </c>
      <c r="E193" s="4297">
        <v>33.449632999999999</v>
      </c>
    </row>
    <row r="194" spans="2:5">
      <c r="B194" s="4296" t="s">
        <v>5652</v>
      </c>
      <c r="C194" s="4296" t="s">
        <v>8711</v>
      </c>
      <c r="D194" s="4296" t="s">
        <v>4674</v>
      </c>
      <c r="E194" s="4297">
        <v>32.872549999999997</v>
      </c>
    </row>
    <row r="195" spans="2:5">
      <c r="B195" s="4296" t="s">
        <v>5654</v>
      </c>
      <c r="C195" s="4296" t="s">
        <v>7835</v>
      </c>
      <c r="D195" s="4296" t="s">
        <v>4674</v>
      </c>
      <c r="E195" s="4297">
        <v>32.507390999999998</v>
      </c>
    </row>
    <row r="196" spans="2:5">
      <c r="B196" s="4296" t="s">
        <v>5656</v>
      </c>
      <c r="C196" s="4296" t="s">
        <v>8712</v>
      </c>
      <c r="D196" s="4296" t="s">
        <v>4674</v>
      </c>
      <c r="E196" s="4297">
        <v>32.465474999999998</v>
      </c>
    </row>
    <row r="197" spans="2:5">
      <c r="B197" s="4296" t="s">
        <v>5658</v>
      </c>
      <c r="C197" s="4296" t="s">
        <v>7123</v>
      </c>
      <c r="D197" s="4296" t="s">
        <v>4674</v>
      </c>
      <c r="E197" s="4297">
        <v>32.41940499999999</v>
      </c>
    </row>
    <row r="198" spans="2:5">
      <c r="B198" s="4296" t="s">
        <v>5660</v>
      </c>
      <c r="C198" s="4296" t="s">
        <v>7175</v>
      </c>
      <c r="D198" s="4296" t="s">
        <v>4674</v>
      </c>
      <c r="E198" s="4297">
        <v>31.928518</v>
      </c>
    </row>
    <row r="199" spans="2:5">
      <c r="B199" s="4296" t="s">
        <v>5662</v>
      </c>
      <c r="C199" s="4296" t="s">
        <v>7827</v>
      </c>
      <c r="D199" s="4296" t="s">
        <v>4674</v>
      </c>
      <c r="E199" s="4297">
        <v>31.372788</v>
      </c>
    </row>
    <row r="200" spans="2:5">
      <c r="B200" s="4296" t="s">
        <v>5664</v>
      </c>
      <c r="C200" s="4296" t="s">
        <v>8713</v>
      </c>
      <c r="D200" s="4296" t="s">
        <v>4674</v>
      </c>
      <c r="E200" s="4297">
        <v>31.233762000000006</v>
      </c>
    </row>
    <row r="201" spans="2:5">
      <c r="B201" s="4296" t="s">
        <v>5666</v>
      </c>
      <c r="C201" s="4296" t="s">
        <v>7883</v>
      </c>
      <c r="D201" s="4296" t="s">
        <v>4674</v>
      </c>
      <c r="E201" s="4297">
        <v>31.127781999999996</v>
      </c>
    </row>
    <row r="202" spans="2:5">
      <c r="B202" s="4296" t="s">
        <v>5668</v>
      </c>
      <c r="C202" s="4296" t="s">
        <v>8714</v>
      </c>
      <c r="D202" s="4296" t="s">
        <v>4674</v>
      </c>
      <c r="E202" s="4297">
        <v>31.114336999999999</v>
      </c>
    </row>
    <row r="203" spans="2:5">
      <c r="B203" s="4296" t="s">
        <v>5670</v>
      </c>
      <c r="C203" s="4296" t="s">
        <v>5763</v>
      </c>
      <c r="D203" s="4296" t="s">
        <v>4674</v>
      </c>
      <c r="E203" s="4297">
        <v>31.015773999999993</v>
      </c>
    </row>
    <row r="204" spans="2:5">
      <c r="B204" s="4296" t="s">
        <v>5672</v>
      </c>
      <c r="C204" s="4296" t="s">
        <v>8715</v>
      </c>
      <c r="D204" s="4296" t="s">
        <v>4674</v>
      </c>
      <c r="E204" s="4297">
        <v>30.999087000000006</v>
      </c>
    </row>
    <row r="205" spans="2:5">
      <c r="B205" s="4296" t="s">
        <v>5674</v>
      </c>
      <c r="C205" s="4296" t="s">
        <v>7061</v>
      </c>
      <c r="D205" s="4296" t="s">
        <v>4674</v>
      </c>
      <c r="E205" s="4297">
        <v>30.542634999999997</v>
      </c>
    </row>
    <row r="206" spans="2:5">
      <c r="B206" s="4296" t="s">
        <v>5676</v>
      </c>
      <c r="C206" s="4296" t="s">
        <v>7828</v>
      </c>
      <c r="D206" s="4296" t="s">
        <v>4674</v>
      </c>
      <c r="E206" s="4297">
        <v>30.386723999999997</v>
      </c>
    </row>
    <row r="207" spans="2:5">
      <c r="B207" s="4296" t="s">
        <v>5678</v>
      </c>
      <c r="C207" s="4296" t="s">
        <v>5549</v>
      </c>
      <c r="D207" s="4296" t="s">
        <v>4674</v>
      </c>
      <c r="E207" s="4297">
        <v>30.137419000000001</v>
      </c>
    </row>
    <row r="208" spans="2:5">
      <c r="B208" s="4296" t="s">
        <v>5680</v>
      </c>
      <c r="C208" s="4296" t="s">
        <v>7822</v>
      </c>
      <c r="D208" s="4296" t="s">
        <v>4674</v>
      </c>
      <c r="E208" s="4297">
        <v>29.836811999999998</v>
      </c>
    </row>
    <row r="209" spans="2:5">
      <c r="B209" s="4296" t="s">
        <v>5682</v>
      </c>
      <c r="C209" s="4296" t="s">
        <v>7840</v>
      </c>
      <c r="D209" s="4296" t="s">
        <v>4674</v>
      </c>
      <c r="E209" s="4297">
        <v>29.254747999999999</v>
      </c>
    </row>
    <row r="210" spans="2:5">
      <c r="B210" s="4296" t="s">
        <v>5684</v>
      </c>
      <c r="C210" s="4296" t="s">
        <v>5601</v>
      </c>
      <c r="D210" s="4296" t="s">
        <v>4674</v>
      </c>
      <c r="E210" s="4297">
        <v>28.807778999999996</v>
      </c>
    </row>
    <row r="211" spans="2:5">
      <c r="B211" s="4296" t="s">
        <v>5686</v>
      </c>
      <c r="C211" s="4296" t="s">
        <v>7132</v>
      </c>
      <c r="D211" s="4296" t="s">
        <v>4674</v>
      </c>
      <c r="E211" s="4297">
        <v>28.759112000000005</v>
      </c>
    </row>
    <row r="212" spans="2:5">
      <c r="B212" s="4296" t="s">
        <v>5688</v>
      </c>
      <c r="C212" s="4296" t="s">
        <v>8716</v>
      </c>
      <c r="D212" s="4296" t="s">
        <v>4674</v>
      </c>
      <c r="E212" s="4297">
        <v>28.638567000000005</v>
      </c>
    </row>
    <row r="213" spans="2:5">
      <c r="B213" s="4296" t="s">
        <v>5690</v>
      </c>
      <c r="C213" s="4296" t="s">
        <v>7829</v>
      </c>
      <c r="D213" s="4296" t="s">
        <v>4674</v>
      </c>
      <c r="E213" s="4297">
        <v>28.340945999999992</v>
      </c>
    </row>
    <row r="214" spans="2:5">
      <c r="B214" s="4296" t="s">
        <v>5692</v>
      </c>
      <c r="C214" s="4296" t="s">
        <v>7876</v>
      </c>
      <c r="D214" s="4296" t="s">
        <v>4674</v>
      </c>
      <c r="E214" s="4297">
        <v>28.221158999999997</v>
      </c>
    </row>
    <row r="215" spans="2:5">
      <c r="B215" s="4296" t="s">
        <v>5694</v>
      </c>
      <c r="C215" s="4296" t="s">
        <v>7081</v>
      </c>
      <c r="D215" s="4296" t="s">
        <v>4674</v>
      </c>
      <c r="E215" s="4297">
        <v>28.164273999999999</v>
      </c>
    </row>
    <row r="216" spans="2:5">
      <c r="B216" s="4296" t="s">
        <v>5696</v>
      </c>
      <c r="C216" s="4296" t="s">
        <v>8717</v>
      </c>
      <c r="D216" s="4296" t="s">
        <v>4674</v>
      </c>
      <c r="E216" s="4297">
        <v>27.938627999999998</v>
      </c>
    </row>
    <row r="217" spans="2:5">
      <c r="B217" s="4296" t="s">
        <v>5698</v>
      </c>
      <c r="C217" s="4296" t="s">
        <v>8718</v>
      </c>
      <c r="D217" s="4296" t="s">
        <v>4674</v>
      </c>
      <c r="E217" s="4297">
        <v>27.459956999999996</v>
      </c>
    </row>
    <row r="218" spans="2:5">
      <c r="B218" s="4296" t="s">
        <v>5700</v>
      </c>
      <c r="C218" s="4296" t="s">
        <v>7882</v>
      </c>
      <c r="D218" s="4296" t="s">
        <v>4897</v>
      </c>
      <c r="E218" s="4297">
        <v>27.45</v>
      </c>
    </row>
    <row r="219" spans="2:5">
      <c r="B219" s="4296" t="s">
        <v>5702</v>
      </c>
      <c r="C219" s="4296" t="s">
        <v>7873</v>
      </c>
      <c r="D219" s="4296" t="s">
        <v>4674</v>
      </c>
      <c r="E219" s="4297">
        <v>27.422132999999995</v>
      </c>
    </row>
    <row r="220" spans="2:5">
      <c r="B220" s="4296" t="s">
        <v>5704</v>
      </c>
      <c r="C220" s="4296" t="s">
        <v>7881</v>
      </c>
      <c r="D220" s="4296" t="s">
        <v>4674</v>
      </c>
      <c r="E220" s="4297">
        <v>27.401884000000003</v>
      </c>
    </row>
    <row r="221" spans="2:5">
      <c r="B221" s="4296" t="s">
        <v>5706</v>
      </c>
      <c r="C221" s="4296" t="s">
        <v>8719</v>
      </c>
      <c r="D221" s="4296" t="s">
        <v>4674</v>
      </c>
      <c r="E221" s="4297">
        <v>27.21125</v>
      </c>
    </row>
    <row r="222" spans="2:5">
      <c r="B222" s="4296" t="s">
        <v>5708</v>
      </c>
      <c r="C222" s="4296" t="s">
        <v>7952</v>
      </c>
      <c r="D222" s="4296" t="s">
        <v>4674</v>
      </c>
      <c r="E222" s="4297">
        <v>27.169775000000001</v>
      </c>
    </row>
    <row r="223" spans="2:5">
      <c r="B223" s="4296" t="s">
        <v>5710</v>
      </c>
      <c r="C223" s="4296" t="s">
        <v>8720</v>
      </c>
      <c r="D223" s="4296" t="s">
        <v>4674</v>
      </c>
      <c r="E223" s="4297">
        <v>27.097964000000001</v>
      </c>
    </row>
    <row r="224" spans="2:5">
      <c r="B224" s="4296" t="s">
        <v>5712</v>
      </c>
      <c r="C224" s="4296" t="s">
        <v>7765</v>
      </c>
      <c r="D224" s="4296" t="s">
        <v>4674</v>
      </c>
      <c r="E224" s="4297">
        <v>26.901808000000003</v>
      </c>
    </row>
    <row r="225" spans="2:5">
      <c r="B225" s="4296" t="s">
        <v>5714</v>
      </c>
      <c r="C225" s="4287" t="s">
        <v>8721</v>
      </c>
      <c r="D225" s="4287" t="s">
        <v>4674</v>
      </c>
      <c r="E225" s="4297">
        <v>26.741510999999999</v>
      </c>
    </row>
    <row r="226" spans="2:5">
      <c r="B226" s="4296" t="s">
        <v>5716</v>
      </c>
      <c r="C226" s="4296" t="s">
        <v>7919</v>
      </c>
      <c r="D226" s="4296" t="s">
        <v>4674</v>
      </c>
      <c r="E226" s="4297">
        <v>26.620629999999998</v>
      </c>
    </row>
    <row r="227" spans="2:5">
      <c r="B227" s="4296" t="s">
        <v>5718</v>
      </c>
      <c r="C227" s="4296" t="s">
        <v>8722</v>
      </c>
      <c r="D227" s="4296" t="s">
        <v>4674</v>
      </c>
      <c r="E227" s="4297">
        <v>26.342400000000001</v>
      </c>
    </row>
    <row r="228" spans="2:5">
      <c r="B228" s="4296" t="s">
        <v>5720</v>
      </c>
      <c r="C228" s="4296" t="s">
        <v>8723</v>
      </c>
      <c r="D228" s="4296" t="s">
        <v>4674</v>
      </c>
      <c r="E228" s="4297">
        <v>26.270725000000006</v>
      </c>
    </row>
    <row r="229" spans="2:5">
      <c r="B229" s="4296" t="s">
        <v>5722</v>
      </c>
      <c r="C229" s="4296" t="s">
        <v>8724</v>
      </c>
      <c r="D229" s="4296" t="s">
        <v>4674</v>
      </c>
      <c r="E229" s="4297">
        <v>26.236320000000003</v>
      </c>
    </row>
    <row r="230" spans="2:5">
      <c r="B230" s="4296" t="s">
        <v>5724</v>
      </c>
      <c r="C230" s="4287" t="s">
        <v>7843</v>
      </c>
      <c r="D230" s="4287" t="s">
        <v>4674</v>
      </c>
      <c r="E230" s="4297">
        <v>26.156613</v>
      </c>
    </row>
    <row r="231" spans="2:5">
      <c r="B231" s="4296" t="s">
        <v>5725</v>
      </c>
      <c r="C231" s="4296" t="s">
        <v>8725</v>
      </c>
      <c r="D231" s="4296" t="s">
        <v>4674</v>
      </c>
      <c r="E231" s="4297">
        <v>25.920493</v>
      </c>
    </row>
    <row r="232" spans="2:5">
      <c r="B232" s="4296" t="s">
        <v>5727</v>
      </c>
      <c r="C232" s="4296" t="s">
        <v>5851</v>
      </c>
      <c r="D232" s="4296" t="s">
        <v>4674</v>
      </c>
      <c r="E232" s="4297">
        <v>25.708402000000003</v>
      </c>
    </row>
    <row r="233" spans="2:5">
      <c r="B233" s="4296" t="s">
        <v>5729</v>
      </c>
      <c r="C233" s="4296" t="s">
        <v>8726</v>
      </c>
      <c r="D233" s="4296" t="s">
        <v>4674</v>
      </c>
      <c r="E233" s="4297">
        <v>25.696223999999997</v>
      </c>
    </row>
    <row r="234" spans="2:5">
      <c r="B234" s="4296" t="s">
        <v>5731</v>
      </c>
      <c r="C234" s="4296" t="s">
        <v>8727</v>
      </c>
      <c r="D234" s="4296" t="s">
        <v>4674</v>
      </c>
      <c r="E234" s="4297">
        <v>25.641482</v>
      </c>
    </row>
    <row r="235" spans="2:5">
      <c r="B235" s="4296" t="s">
        <v>5733</v>
      </c>
      <c r="C235" s="4296" t="s">
        <v>7841</v>
      </c>
      <c r="D235" s="4296" t="s">
        <v>4674</v>
      </c>
      <c r="E235" s="4297">
        <v>25.634327000000006</v>
      </c>
    </row>
    <row r="236" spans="2:5">
      <c r="B236" s="4296" t="s">
        <v>5735</v>
      </c>
      <c r="C236" s="4296" t="s">
        <v>8728</v>
      </c>
      <c r="D236" s="4296" t="s">
        <v>4674</v>
      </c>
      <c r="E236" s="4297">
        <v>25.630381000000007</v>
      </c>
    </row>
    <row r="237" spans="2:5">
      <c r="B237" s="4296" t="s">
        <v>5737</v>
      </c>
      <c r="C237" s="4296" t="s">
        <v>7962</v>
      </c>
      <c r="D237" s="4296" t="s">
        <v>4674</v>
      </c>
      <c r="E237" s="4297">
        <v>25.343657</v>
      </c>
    </row>
    <row r="238" spans="2:5">
      <c r="B238" s="4296" t="s">
        <v>5739</v>
      </c>
      <c r="C238" s="4296" t="s">
        <v>7792</v>
      </c>
      <c r="D238" s="4296" t="s">
        <v>4674</v>
      </c>
      <c r="E238" s="4297">
        <v>24.926755</v>
      </c>
    </row>
    <row r="239" spans="2:5">
      <c r="B239" s="4296" t="s">
        <v>5741</v>
      </c>
      <c r="C239" s="4296" t="s">
        <v>7925</v>
      </c>
      <c r="D239" s="4296" t="s">
        <v>4897</v>
      </c>
      <c r="E239" s="4297">
        <v>24.863014</v>
      </c>
    </row>
    <row r="240" spans="2:5">
      <c r="B240" s="4296" t="s">
        <v>5743</v>
      </c>
      <c r="C240" s="4296" t="s">
        <v>7960</v>
      </c>
      <c r="D240" s="4296" t="s">
        <v>4674</v>
      </c>
      <c r="E240" s="4297">
        <v>24.468176999999994</v>
      </c>
    </row>
    <row r="241" spans="2:5">
      <c r="B241" s="4296" t="s">
        <v>5745</v>
      </c>
      <c r="C241" s="4296" t="s">
        <v>7773</v>
      </c>
      <c r="D241" s="4296" t="s">
        <v>4674</v>
      </c>
      <c r="E241" s="4297">
        <v>24.390657000000001</v>
      </c>
    </row>
    <row r="242" spans="2:5">
      <c r="B242" s="4296" t="s">
        <v>5747</v>
      </c>
      <c r="C242" s="4296" t="s">
        <v>8729</v>
      </c>
      <c r="D242" s="4296" t="s">
        <v>4674</v>
      </c>
      <c r="E242" s="4297">
        <v>24.145100000000003</v>
      </c>
    </row>
    <row r="243" spans="2:5">
      <c r="B243" s="4296" t="s">
        <v>5749</v>
      </c>
      <c r="C243" s="4296" t="s">
        <v>7103</v>
      </c>
      <c r="D243" s="4296" t="s">
        <v>4674</v>
      </c>
      <c r="E243" s="4297">
        <v>24.019458</v>
      </c>
    </row>
    <row r="244" spans="2:5">
      <c r="B244" s="4296" t="s">
        <v>5751</v>
      </c>
      <c r="C244" s="4296" t="s">
        <v>8730</v>
      </c>
      <c r="D244" s="4296" t="s">
        <v>5222</v>
      </c>
      <c r="E244" s="4297">
        <v>24</v>
      </c>
    </row>
    <row r="245" spans="2:5">
      <c r="B245" s="4296" t="s">
        <v>5754</v>
      </c>
      <c r="C245" s="4296" t="s">
        <v>7798</v>
      </c>
      <c r="D245" s="4296" t="s">
        <v>4674</v>
      </c>
      <c r="E245" s="4297">
        <v>23.992128999999998</v>
      </c>
    </row>
    <row r="246" spans="2:5">
      <c r="B246" s="4296" t="s">
        <v>5756</v>
      </c>
      <c r="C246" s="4296" t="s">
        <v>8731</v>
      </c>
      <c r="D246" s="4296" t="s">
        <v>4674</v>
      </c>
      <c r="E246" s="4297">
        <v>23.926415999999996</v>
      </c>
    </row>
    <row r="247" spans="2:5">
      <c r="B247" s="4296" t="s">
        <v>5758</v>
      </c>
      <c r="C247" s="4296" t="s">
        <v>8732</v>
      </c>
      <c r="D247" s="4296" t="s">
        <v>4674</v>
      </c>
      <c r="E247" s="4297">
        <v>23.874282000000004</v>
      </c>
    </row>
    <row r="248" spans="2:5">
      <c r="B248" s="4296" t="s">
        <v>5760</v>
      </c>
      <c r="C248" s="4296" t="s">
        <v>5373</v>
      </c>
      <c r="D248" s="4296" t="s">
        <v>4674</v>
      </c>
      <c r="E248" s="4297">
        <v>23.820644000000001</v>
      </c>
    </row>
    <row r="249" spans="2:5">
      <c r="B249" s="4296" t="s">
        <v>5762</v>
      </c>
      <c r="C249" s="4296" t="s">
        <v>7788</v>
      </c>
      <c r="D249" s="4296" t="s">
        <v>4674</v>
      </c>
      <c r="E249" s="4297">
        <v>23.774412000000002</v>
      </c>
    </row>
    <row r="250" spans="2:5">
      <c r="B250" s="4296" t="s">
        <v>5764</v>
      </c>
      <c r="C250" s="4296" t="s">
        <v>8733</v>
      </c>
      <c r="D250" s="4296" t="s">
        <v>4674</v>
      </c>
      <c r="E250" s="4297">
        <v>23.748308000000002</v>
      </c>
    </row>
    <row r="251" spans="2:5">
      <c r="B251" s="4296" t="s">
        <v>5766</v>
      </c>
      <c r="C251" s="4296" t="s">
        <v>8734</v>
      </c>
      <c r="D251" s="4296" t="s">
        <v>4674</v>
      </c>
      <c r="E251" s="4297">
        <v>23.641534999999998</v>
      </c>
    </row>
    <row r="252" spans="2:5">
      <c r="B252" s="4296" t="s">
        <v>5768</v>
      </c>
      <c r="C252" s="4287" t="s">
        <v>8735</v>
      </c>
      <c r="D252" s="4287" t="s">
        <v>4674</v>
      </c>
      <c r="E252" s="4297">
        <v>23.38185</v>
      </c>
    </row>
    <row r="253" spans="2:5">
      <c r="B253" s="4296" t="s">
        <v>5770</v>
      </c>
      <c r="C253" s="4296" t="s">
        <v>8736</v>
      </c>
      <c r="D253" s="4296" t="s">
        <v>4674</v>
      </c>
      <c r="E253" s="4297">
        <v>23.188479000000001</v>
      </c>
    </row>
    <row r="254" spans="2:5">
      <c r="B254" s="4296" t="s">
        <v>5772</v>
      </c>
      <c r="C254" s="4296" t="s">
        <v>8737</v>
      </c>
      <c r="D254" s="4296" t="s">
        <v>4674</v>
      </c>
      <c r="E254" s="4297">
        <v>23.155760000000004</v>
      </c>
    </row>
    <row r="255" spans="2:5">
      <c r="B255" s="4296" t="s">
        <v>5774</v>
      </c>
      <c r="C255" s="4296" t="s">
        <v>8738</v>
      </c>
      <c r="D255" s="4296" t="s">
        <v>4674</v>
      </c>
      <c r="E255" s="4297">
        <v>23.153480000000002</v>
      </c>
    </row>
    <row r="256" spans="2:5">
      <c r="B256" s="4296" t="s">
        <v>5776</v>
      </c>
      <c r="C256" s="4296" t="s">
        <v>7184</v>
      </c>
      <c r="D256" s="4296" t="s">
        <v>4674</v>
      </c>
      <c r="E256" s="4297">
        <v>23.130254000000001</v>
      </c>
    </row>
    <row r="257" spans="2:5">
      <c r="B257" s="4296" t="s">
        <v>5778</v>
      </c>
      <c r="C257" s="4287" t="s">
        <v>8739</v>
      </c>
      <c r="D257" s="4287" t="s">
        <v>4674</v>
      </c>
      <c r="E257" s="4297">
        <v>23.122885000000004</v>
      </c>
    </row>
    <row r="258" spans="2:5">
      <c r="B258" s="4296" t="s">
        <v>5780</v>
      </c>
      <c r="C258" s="4296" t="s">
        <v>8740</v>
      </c>
      <c r="D258" s="4296" t="s">
        <v>4674</v>
      </c>
      <c r="E258" s="4297">
        <v>22.996877000000001</v>
      </c>
    </row>
    <row r="259" spans="2:5">
      <c r="B259" s="4296" t="s">
        <v>5782</v>
      </c>
      <c r="C259" s="4296" t="s">
        <v>8741</v>
      </c>
      <c r="D259" s="4296" t="s">
        <v>4674</v>
      </c>
      <c r="E259" s="4297">
        <v>22.762218000000004</v>
      </c>
    </row>
    <row r="260" spans="2:5">
      <c r="B260" s="4296" t="s">
        <v>5784</v>
      </c>
      <c r="C260" s="4296" t="s">
        <v>7775</v>
      </c>
      <c r="D260" s="4296" t="s">
        <v>4674</v>
      </c>
      <c r="E260" s="4297">
        <v>22.687985999999995</v>
      </c>
    </row>
    <row r="261" spans="2:5">
      <c r="B261" s="4296" t="s">
        <v>5786</v>
      </c>
      <c r="C261" s="4296" t="s">
        <v>5411</v>
      </c>
      <c r="D261" s="4296" t="s">
        <v>4674</v>
      </c>
      <c r="E261" s="4297">
        <v>22.556474000000001</v>
      </c>
    </row>
    <row r="262" spans="2:5">
      <c r="B262" s="4296" t="s">
        <v>5788</v>
      </c>
      <c r="C262" s="4296" t="s">
        <v>8742</v>
      </c>
      <c r="D262" s="4296" t="s">
        <v>4674</v>
      </c>
      <c r="E262" s="4297">
        <v>22.46219</v>
      </c>
    </row>
    <row r="263" spans="2:5">
      <c r="B263" s="4296" t="s">
        <v>5790</v>
      </c>
      <c r="C263" s="4296" t="s">
        <v>7996</v>
      </c>
      <c r="D263" s="4296" t="s">
        <v>4674</v>
      </c>
      <c r="E263" s="4297">
        <v>22.378330999999996</v>
      </c>
    </row>
    <row r="264" spans="2:5">
      <c r="B264" s="4296" t="s">
        <v>5792</v>
      </c>
      <c r="C264" s="4296" t="s">
        <v>8743</v>
      </c>
      <c r="D264" s="4296" t="s">
        <v>4674</v>
      </c>
      <c r="E264" s="4297">
        <v>22.271999999999998</v>
      </c>
    </row>
    <row r="265" spans="2:5">
      <c r="B265" s="4296" t="s">
        <v>5794</v>
      </c>
      <c r="C265" s="4296" t="s">
        <v>7802</v>
      </c>
      <c r="D265" s="4296" t="s">
        <v>4674</v>
      </c>
      <c r="E265" s="4297">
        <v>22.015385000000002</v>
      </c>
    </row>
    <row r="266" spans="2:5">
      <c r="B266" s="4296" t="s">
        <v>5796</v>
      </c>
      <c r="C266" s="4296" t="s">
        <v>7914</v>
      </c>
      <c r="D266" s="4296" t="s">
        <v>4674</v>
      </c>
      <c r="E266" s="4297">
        <v>21.702183999999999</v>
      </c>
    </row>
    <row r="267" spans="2:5">
      <c r="B267" s="4296" t="s">
        <v>5798</v>
      </c>
      <c r="C267" s="4296" t="s">
        <v>8744</v>
      </c>
      <c r="D267" s="4296" t="s">
        <v>4674</v>
      </c>
      <c r="E267" s="4297">
        <v>21.691593000000001</v>
      </c>
    </row>
    <row r="268" spans="2:5">
      <c r="B268" s="4296" t="s">
        <v>5800</v>
      </c>
      <c r="C268" s="4296" t="s">
        <v>7806</v>
      </c>
      <c r="D268" s="4296" t="s">
        <v>4674</v>
      </c>
      <c r="E268" s="4297">
        <v>21.606456000000001</v>
      </c>
    </row>
    <row r="269" spans="2:5">
      <c r="B269" s="4296" t="s">
        <v>5802</v>
      </c>
      <c r="C269" s="4296" t="s">
        <v>8745</v>
      </c>
      <c r="D269" s="4296" t="s">
        <v>4674</v>
      </c>
      <c r="E269" s="4297">
        <v>21.551239999999996</v>
      </c>
    </row>
    <row r="270" spans="2:5">
      <c r="B270" s="4296" t="s">
        <v>5804</v>
      </c>
      <c r="C270" s="4296" t="s">
        <v>7785</v>
      </c>
      <c r="D270" s="4296" t="s">
        <v>4674</v>
      </c>
      <c r="E270" s="4297">
        <v>21.486000000000001</v>
      </c>
    </row>
    <row r="271" spans="2:5">
      <c r="B271" s="4296" t="s">
        <v>5806</v>
      </c>
      <c r="C271" s="4296" t="s">
        <v>7800</v>
      </c>
      <c r="D271" s="4296" t="s">
        <v>4674</v>
      </c>
      <c r="E271" s="4297">
        <v>20.990240000000004</v>
      </c>
    </row>
    <row r="272" spans="2:5">
      <c r="B272" s="4296" t="s">
        <v>5808</v>
      </c>
      <c r="C272" s="4296" t="s">
        <v>7518</v>
      </c>
      <c r="D272" s="4296" t="s">
        <v>7519</v>
      </c>
      <c r="E272" s="4297">
        <v>20.916666999999997</v>
      </c>
    </row>
    <row r="273" spans="2:5">
      <c r="B273" s="4296" t="s">
        <v>5810</v>
      </c>
      <c r="C273" s="4296" t="s">
        <v>7794</v>
      </c>
      <c r="D273" s="4296" t="s">
        <v>4674</v>
      </c>
      <c r="E273" s="4297">
        <v>20.496665999999998</v>
      </c>
    </row>
    <row r="274" spans="2:5">
      <c r="B274" s="4296" t="s">
        <v>5812</v>
      </c>
      <c r="C274" s="4296" t="s">
        <v>7790</v>
      </c>
      <c r="D274" s="4296" t="s">
        <v>4674</v>
      </c>
      <c r="E274" s="4297">
        <v>20.397665</v>
      </c>
    </row>
    <row r="275" spans="2:5">
      <c r="B275" s="4296" t="s">
        <v>5814</v>
      </c>
      <c r="C275" s="4296" t="s">
        <v>8746</v>
      </c>
      <c r="D275" s="4296" t="s">
        <v>4674</v>
      </c>
      <c r="E275" s="4297">
        <v>20.395956000000005</v>
      </c>
    </row>
    <row r="276" spans="2:5">
      <c r="B276" s="4296" t="s">
        <v>5816</v>
      </c>
      <c r="C276" s="4287" t="s">
        <v>8747</v>
      </c>
      <c r="D276" s="4287" t="s">
        <v>4674</v>
      </c>
      <c r="E276" s="4297">
        <v>20.235960000000002</v>
      </c>
    </row>
    <row r="277" spans="2:5">
      <c r="B277" s="4296" t="s">
        <v>5818</v>
      </c>
      <c r="C277" s="4296" t="s">
        <v>7804</v>
      </c>
      <c r="D277" s="4296" t="s">
        <v>4674</v>
      </c>
      <c r="E277" s="4297">
        <v>20.124150000000004</v>
      </c>
    </row>
    <row r="278" spans="2:5">
      <c r="B278" s="4296" t="s">
        <v>5820</v>
      </c>
      <c r="C278" s="4296" t="s">
        <v>8748</v>
      </c>
      <c r="D278" s="4296" t="s">
        <v>4897</v>
      </c>
      <c r="E278" s="4297">
        <v>20</v>
      </c>
    </row>
    <row r="279" spans="2:5">
      <c r="B279" s="4296" t="s">
        <v>5822</v>
      </c>
      <c r="C279" s="4296" t="s">
        <v>8749</v>
      </c>
      <c r="D279" s="4296" t="s">
        <v>4897</v>
      </c>
      <c r="E279" s="4297">
        <v>20</v>
      </c>
    </row>
    <row r="280" spans="2:5">
      <c r="B280" s="4296" t="s">
        <v>5824</v>
      </c>
      <c r="C280" s="4296" t="s">
        <v>8750</v>
      </c>
      <c r="D280" s="4296" t="s">
        <v>4674</v>
      </c>
      <c r="E280" s="4297">
        <v>19.905135000000001</v>
      </c>
    </row>
    <row r="281" spans="2:5">
      <c r="B281" s="4296" t="s">
        <v>5826</v>
      </c>
      <c r="C281" s="4296" t="s">
        <v>8751</v>
      </c>
      <c r="D281" s="4296" t="s">
        <v>4674</v>
      </c>
      <c r="E281" s="4297">
        <v>19.633283999999996</v>
      </c>
    </row>
    <row r="282" spans="2:5">
      <c r="B282" s="4296" t="s">
        <v>5828</v>
      </c>
      <c r="C282" s="4296" t="s">
        <v>8752</v>
      </c>
      <c r="D282" s="4296" t="s">
        <v>4674</v>
      </c>
      <c r="E282" s="4297">
        <v>19.577680000000001</v>
      </c>
    </row>
    <row r="283" spans="2:5">
      <c r="B283" s="4296" t="s">
        <v>5830</v>
      </c>
      <c r="C283" s="4296" t="s">
        <v>8753</v>
      </c>
      <c r="D283" s="4296" t="s">
        <v>4897</v>
      </c>
      <c r="E283" s="4297">
        <v>19.47</v>
      </c>
    </row>
    <row r="284" spans="2:5">
      <c r="B284" s="4296" t="s">
        <v>5832</v>
      </c>
      <c r="C284" s="4287" t="s">
        <v>8754</v>
      </c>
      <c r="D284" s="4287" t="s">
        <v>4674</v>
      </c>
      <c r="E284" s="4297">
        <v>19.289594999999998</v>
      </c>
    </row>
    <row r="285" spans="2:5">
      <c r="B285" s="4296" t="s">
        <v>5834</v>
      </c>
      <c r="C285" s="4296" t="s">
        <v>7810</v>
      </c>
      <c r="D285" s="4296" t="s">
        <v>4674</v>
      </c>
      <c r="E285" s="4297">
        <v>19.209664</v>
      </c>
    </row>
    <row r="286" spans="2:5">
      <c r="B286" s="4296" t="s">
        <v>5836</v>
      </c>
      <c r="C286" s="4287" t="s">
        <v>8755</v>
      </c>
      <c r="D286" s="4287" t="s">
        <v>4674</v>
      </c>
      <c r="E286" s="4297">
        <v>19.141157999999997</v>
      </c>
    </row>
    <row r="287" spans="2:5">
      <c r="B287" s="4296" t="s">
        <v>5838</v>
      </c>
      <c r="C287" s="4296" t="s">
        <v>8756</v>
      </c>
      <c r="D287" s="4296" t="s">
        <v>4674</v>
      </c>
      <c r="E287" s="4297">
        <v>19.037891000000002</v>
      </c>
    </row>
    <row r="288" spans="2:5">
      <c r="B288" s="4296" t="s">
        <v>5840</v>
      </c>
      <c r="C288" s="4296" t="s">
        <v>7918</v>
      </c>
      <c r="D288" s="4296" t="s">
        <v>4674</v>
      </c>
      <c r="E288" s="4297">
        <v>18.915846999999999</v>
      </c>
    </row>
    <row r="289" spans="2:5">
      <c r="B289" s="4296" t="s">
        <v>5842</v>
      </c>
      <c r="C289" s="4296" t="s">
        <v>7807</v>
      </c>
      <c r="D289" s="4296" t="s">
        <v>4674</v>
      </c>
      <c r="E289" s="4297">
        <v>18.844666999999998</v>
      </c>
    </row>
    <row r="290" spans="2:5">
      <c r="B290" s="4296" t="s">
        <v>5844</v>
      </c>
      <c r="C290" s="4296" t="s">
        <v>8757</v>
      </c>
      <c r="D290" s="4296" t="s">
        <v>4674</v>
      </c>
      <c r="E290" s="4297">
        <v>18.791609999999995</v>
      </c>
    </row>
    <row r="291" spans="2:5">
      <c r="B291" s="4296" t="s">
        <v>5846</v>
      </c>
      <c r="C291" s="4296" t="s">
        <v>7992</v>
      </c>
      <c r="D291" s="4296" t="s">
        <v>4674</v>
      </c>
      <c r="E291" s="4297">
        <v>18.530892999999999</v>
      </c>
    </row>
    <row r="292" spans="2:5">
      <c r="B292" s="4296" t="s">
        <v>5848</v>
      </c>
      <c r="C292" s="4296" t="s">
        <v>8758</v>
      </c>
      <c r="D292" s="4296" t="s">
        <v>4674</v>
      </c>
      <c r="E292" s="4297">
        <v>18.423472</v>
      </c>
    </row>
    <row r="293" spans="2:5">
      <c r="B293" s="4296" t="s">
        <v>5850</v>
      </c>
      <c r="C293" s="4296" t="s">
        <v>8759</v>
      </c>
      <c r="D293" s="4296" t="s">
        <v>4674</v>
      </c>
      <c r="E293" s="4297">
        <v>18.234000000000002</v>
      </c>
    </row>
    <row r="294" spans="2:5">
      <c r="B294" s="4296" t="s">
        <v>5852</v>
      </c>
      <c r="C294" s="4296" t="s">
        <v>8760</v>
      </c>
      <c r="D294" s="4296" t="s">
        <v>4674</v>
      </c>
      <c r="E294" s="4297">
        <v>18.140888000000004</v>
      </c>
    </row>
    <row r="295" spans="2:5">
      <c r="B295" s="4296" t="s">
        <v>5854</v>
      </c>
      <c r="C295" s="4296" t="s">
        <v>8761</v>
      </c>
      <c r="D295" s="4296" t="s">
        <v>4674</v>
      </c>
      <c r="E295" s="4297">
        <v>18.089587999999999</v>
      </c>
    </row>
    <row r="296" spans="2:5">
      <c r="B296" s="4296" t="s">
        <v>5856</v>
      </c>
      <c r="C296" s="4296" t="s">
        <v>8762</v>
      </c>
      <c r="D296" s="4296" t="s">
        <v>4674</v>
      </c>
      <c r="E296" s="4297">
        <v>18.049371000000001</v>
      </c>
    </row>
    <row r="297" spans="2:5">
      <c r="B297" s="4296" t="s">
        <v>5858</v>
      </c>
      <c r="C297" s="4296" t="s">
        <v>8034</v>
      </c>
      <c r="D297" s="4296" t="s">
        <v>4674</v>
      </c>
      <c r="E297" s="4297">
        <v>18.021000000000001</v>
      </c>
    </row>
    <row r="298" spans="2:5">
      <c r="B298" s="4296" t="s">
        <v>5860</v>
      </c>
      <c r="C298" s="4296" t="s">
        <v>8763</v>
      </c>
      <c r="D298" s="4296" t="s">
        <v>4897</v>
      </c>
      <c r="E298" s="4297">
        <v>18</v>
      </c>
    </row>
    <row r="299" spans="2:5">
      <c r="B299" s="4296" t="s">
        <v>5862</v>
      </c>
      <c r="C299" s="4296" t="s">
        <v>7922</v>
      </c>
      <c r="D299" s="4296" t="s">
        <v>4674</v>
      </c>
      <c r="E299" s="4297">
        <v>17.777529999999999</v>
      </c>
    </row>
    <row r="300" spans="2:5">
      <c r="B300" s="4296" t="s">
        <v>5864</v>
      </c>
      <c r="C300" s="4296" t="s">
        <v>7110</v>
      </c>
      <c r="D300" s="4296" t="s">
        <v>4674</v>
      </c>
      <c r="E300" s="4297">
        <v>17.764323999999995</v>
      </c>
    </row>
    <row r="301" spans="2:5">
      <c r="B301" s="4296" t="s">
        <v>5866</v>
      </c>
      <c r="C301" s="4296" t="s">
        <v>8764</v>
      </c>
      <c r="D301" s="4296" t="s">
        <v>4674</v>
      </c>
      <c r="E301" s="4297">
        <v>17.639628999999999</v>
      </c>
    </row>
    <row r="302" spans="2:5">
      <c r="B302" s="4296" t="s">
        <v>5868</v>
      </c>
      <c r="C302" s="4296" t="s">
        <v>7805</v>
      </c>
      <c r="D302" s="4296" t="s">
        <v>4674</v>
      </c>
      <c r="E302" s="4297">
        <v>17.581450000000004</v>
      </c>
    </row>
    <row r="303" spans="2:5">
      <c r="B303" s="4296" t="s">
        <v>5870</v>
      </c>
      <c r="C303" s="4296" t="s">
        <v>7972</v>
      </c>
      <c r="D303" s="4296" t="s">
        <v>4674</v>
      </c>
      <c r="E303" s="4297">
        <v>17.580995999999999</v>
      </c>
    </row>
    <row r="304" spans="2:5">
      <c r="B304" s="4296" t="s">
        <v>5872</v>
      </c>
      <c r="C304" s="4296" t="s">
        <v>8765</v>
      </c>
      <c r="D304" s="4296" t="s">
        <v>4674</v>
      </c>
      <c r="E304" s="4297">
        <v>17.566506</v>
      </c>
    </row>
    <row r="305" spans="2:5">
      <c r="B305" s="4296" t="s">
        <v>5874</v>
      </c>
      <c r="C305" s="4296" t="s">
        <v>5801</v>
      </c>
      <c r="D305" s="4296" t="s">
        <v>4674</v>
      </c>
      <c r="E305" s="4297">
        <v>17.441329</v>
      </c>
    </row>
    <row r="306" spans="2:5">
      <c r="B306" s="4296" t="s">
        <v>5876</v>
      </c>
      <c r="C306" s="4296" t="s">
        <v>5591</v>
      </c>
      <c r="D306" s="4296" t="s">
        <v>4674</v>
      </c>
      <c r="E306" s="4297">
        <v>17.283850000000001</v>
      </c>
    </row>
    <row r="307" spans="2:5">
      <c r="B307" s="4296" t="s">
        <v>5878</v>
      </c>
      <c r="C307" s="4296" t="s">
        <v>8766</v>
      </c>
      <c r="D307" s="4296" t="s">
        <v>4674</v>
      </c>
      <c r="E307" s="4297">
        <v>17.273036999999999</v>
      </c>
    </row>
    <row r="308" spans="2:5">
      <c r="B308" s="4296" t="s">
        <v>5880</v>
      </c>
      <c r="C308" s="4296" t="s">
        <v>8767</v>
      </c>
      <c r="D308" s="4296" t="s">
        <v>4674</v>
      </c>
      <c r="E308" s="4297">
        <v>16.988908000000002</v>
      </c>
    </row>
    <row r="309" spans="2:5">
      <c r="B309" s="4296" t="s">
        <v>5882</v>
      </c>
      <c r="C309" s="4296" t="s">
        <v>8768</v>
      </c>
      <c r="D309" s="4296" t="s">
        <v>4674</v>
      </c>
      <c r="E309" s="4297">
        <v>16.841895999999998</v>
      </c>
    </row>
    <row r="310" spans="2:5">
      <c r="B310" s="4296" t="s">
        <v>5884</v>
      </c>
      <c r="C310" s="4296" t="s">
        <v>7821</v>
      </c>
      <c r="D310" s="4296" t="s">
        <v>4674</v>
      </c>
      <c r="E310" s="4297">
        <v>16.751983999999997</v>
      </c>
    </row>
    <row r="311" spans="2:5">
      <c r="B311" s="4296" t="s">
        <v>5886</v>
      </c>
      <c r="C311" s="4296" t="s">
        <v>8769</v>
      </c>
      <c r="D311" s="4296" t="s">
        <v>4674</v>
      </c>
      <c r="E311" s="4297">
        <v>16.372612</v>
      </c>
    </row>
    <row r="312" spans="2:5">
      <c r="B312" s="4296" t="s">
        <v>5888</v>
      </c>
      <c r="C312" s="4296" t="s">
        <v>7845</v>
      </c>
      <c r="D312" s="4296" t="s">
        <v>4674</v>
      </c>
      <c r="E312" s="4297">
        <v>16.343776000000002</v>
      </c>
    </row>
    <row r="313" spans="2:5">
      <c r="B313" s="4296" t="s">
        <v>5890</v>
      </c>
      <c r="C313" s="4296" t="s">
        <v>8770</v>
      </c>
      <c r="D313" s="4296" t="s">
        <v>4674</v>
      </c>
      <c r="E313" s="4297">
        <v>16.263120000000001</v>
      </c>
    </row>
    <row r="314" spans="2:5">
      <c r="B314" s="4296" t="s">
        <v>5892</v>
      </c>
      <c r="C314" s="4296" t="s">
        <v>7762</v>
      </c>
      <c r="D314" s="4296" t="s">
        <v>4674</v>
      </c>
      <c r="E314" s="4297">
        <v>16.258370000000003</v>
      </c>
    </row>
    <row r="315" spans="2:5">
      <c r="B315" s="4296" t="s">
        <v>5894</v>
      </c>
      <c r="C315" s="4287" t="s">
        <v>6043</v>
      </c>
      <c r="D315" s="4287" t="s">
        <v>6044</v>
      </c>
      <c r="E315" s="4297">
        <v>15.91226</v>
      </c>
    </row>
    <row r="316" spans="2:5">
      <c r="B316" s="4296" t="s">
        <v>5896</v>
      </c>
      <c r="C316" s="4296" t="s">
        <v>8771</v>
      </c>
      <c r="D316" s="4296" t="s">
        <v>4897</v>
      </c>
      <c r="E316" s="4297">
        <v>15.817857</v>
      </c>
    </row>
    <row r="317" spans="2:5">
      <c r="B317" s="4296" t="s">
        <v>5898</v>
      </c>
      <c r="C317" s="4296" t="s">
        <v>8772</v>
      </c>
      <c r="D317" s="4296" t="s">
        <v>4674</v>
      </c>
      <c r="E317" s="4297">
        <v>15.556596000000003</v>
      </c>
    </row>
    <row r="318" spans="2:5">
      <c r="B318" s="4296" t="s">
        <v>5900</v>
      </c>
      <c r="C318" s="4296" t="s">
        <v>7927</v>
      </c>
      <c r="D318" s="4296" t="s">
        <v>4674</v>
      </c>
      <c r="E318" s="4297">
        <v>15.305076000000001</v>
      </c>
    </row>
    <row r="319" spans="2:5">
      <c r="B319" s="4296" t="s">
        <v>5902</v>
      </c>
      <c r="C319" s="4296" t="s">
        <v>7811</v>
      </c>
      <c r="D319" s="4296" t="s">
        <v>4674</v>
      </c>
      <c r="E319" s="4297">
        <v>15.114963999999999</v>
      </c>
    </row>
    <row r="320" spans="2:5">
      <c r="B320" s="4296" t="s">
        <v>5904</v>
      </c>
      <c r="C320" s="4296" t="s">
        <v>8773</v>
      </c>
      <c r="D320" s="4296" t="s">
        <v>4674</v>
      </c>
      <c r="E320" s="4297">
        <v>14.805263</v>
      </c>
    </row>
    <row r="321" spans="2:5">
      <c r="B321" s="4296" t="s">
        <v>5906</v>
      </c>
      <c r="C321" s="4296" t="s">
        <v>5681</v>
      </c>
      <c r="D321" s="4296" t="s">
        <v>4674</v>
      </c>
      <c r="E321" s="4297">
        <v>14.746188999999999</v>
      </c>
    </row>
    <row r="322" spans="2:5">
      <c r="B322" s="4296" t="s">
        <v>5908</v>
      </c>
      <c r="C322" s="4296" t="s">
        <v>7825</v>
      </c>
      <c r="D322" s="4296" t="s">
        <v>4674</v>
      </c>
      <c r="E322" s="4297">
        <v>14.675277000000001</v>
      </c>
    </row>
    <row r="323" spans="2:5">
      <c r="B323" s="4296" t="s">
        <v>5910</v>
      </c>
      <c r="C323" s="4296" t="s">
        <v>5519</v>
      </c>
      <c r="D323" s="4296" t="s">
        <v>4674</v>
      </c>
      <c r="E323" s="4297">
        <v>14.671393999999998</v>
      </c>
    </row>
    <row r="324" spans="2:5">
      <c r="B324" s="4296" t="s">
        <v>5912</v>
      </c>
      <c r="C324" s="4296" t="s">
        <v>8774</v>
      </c>
      <c r="D324" s="4296" t="s">
        <v>7519</v>
      </c>
      <c r="E324" s="4297">
        <v>14.666666000000001</v>
      </c>
    </row>
    <row r="325" spans="2:5">
      <c r="B325" s="4296" t="s">
        <v>5914</v>
      </c>
      <c r="C325" s="4296" t="s">
        <v>8775</v>
      </c>
      <c r="D325" s="4296" t="s">
        <v>4674</v>
      </c>
      <c r="E325" s="4297">
        <v>14.139322</v>
      </c>
    </row>
    <row r="326" spans="2:5">
      <c r="B326" s="4296" t="s">
        <v>5916</v>
      </c>
      <c r="C326" s="4296" t="s">
        <v>7951</v>
      </c>
      <c r="D326" s="4296" t="s">
        <v>4674</v>
      </c>
      <c r="E326" s="4297">
        <v>14.065049999999999</v>
      </c>
    </row>
    <row r="327" spans="2:5">
      <c r="B327" s="4296" t="s">
        <v>5918</v>
      </c>
      <c r="C327" s="4296" t="s">
        <v>8776</v>
      </c>
      <c r="D327" s="4296" t="s">
        <v>4674</v>
      </c>
      <c r="E327" s="4297">
        <v>14.023431</v>
      </c>
    </row>
    <row r="328" spans="2:5">
      <c r="B328" s="4296" t="s">
        <v>5920</v>
      </c>
      <c r="C328" s="4296" t="s">
        <v>8777</v>
      </c>
      <c r="D328" s="4296" t="s">
        <v>4897</v>
      </c>
      <c r="E328" s="4297">
        <v>14</v>
      </c>
    </row>
    <row r="329" spans="2:5">
      <c r="B329" s="4296" t="s">
        <v>5922</v>
      </c>
      <c r="C329" s="4296" t="s">
        <v>8778</v>
      </c>
      <c r="D329" s="4296" t="s">
        <v>4897</v>
      </c>
      <c r="E329" s="4297">
        <v>14</v>
      </c>
    </row>
    <row r="330" spans="2:5">
      <c r="B330" s="4296" t="s">
        <v>5924</v>
      </c>
      <c r="C330" s="4296" t="s">
        <v>7830</v>
      </c>
      <c r="D330" s="4296" t="s">
        <v>4674</v>
      </c>
      <c r="E330" s="4297">
        <v>13.896129999999999</v>
      </c>
    </row>
    <row r="331" spans="2:5">
      <c r="B331" s="4296" t="s">
        <v>5926</v>
      </c>
      <c r="C331" s="4296" t="s">
        <v>7999</v>
      </c>
      <c r="D331" s="4296" t="s">
        <v>4674</v>
      </c>
      <c r="E331" s="4297">
        <v>13.786331000000001</v>
      </c>
    </row>
    <row r="332" spans="2:5">
      <c r="B332" s="4296" t="s">
        <v>5928</v>
      </c>
      <c r="C332" s="4287" t="s">
        <v>8779</v>
      </c>
      <c r="D332" s="4287" t="s">
        <v>4674</v>
      </c>
      <c r="E332" s="4297">
        <v>13.715199999999999</v>
      </c>
    </row>
    <row r="333" spans="2:5">
      <c r="B333" s="4296" t="s">
        <v>5930</v>
      </c>
      <c r="C333" s="4296" t="s">
        <v>7953</v>
      </c>
      <c r="D333" s="4296" t="s">
        <v>4674</v>
      </c>
      <c r="E333" s="4297">
        <v>13.691798</v>
      </c>
    </row>
    <row r="334" spans="2:5">
      <c r="B334" s="4296" t="s">
        <v>5932</v>
      </c>
      <c r="C334" s="4296" t="s">
        <v>7941</v>
      </c>
      <c r="D334" s="4296" t="s">
        <v>4674</v>
      </c>
      <c r="E334" s="4297">
        <v>13.657059</v>
      </c>
    </row>
    <row r="335" spans="2:5">
      <c r="B335" s="4296" t="s">
        <v>5934</v>
      </c>
      <c r="C335" s="4296" t="s">
        <v>8006</v>
      </c>
      <c r="D335" s="4296" t="s">
        <v>5222</v>
      </c>
      <c r="E335" s="4297">
        <v>13.561643</v>
      </c>
    </row>
    <row r="336" spans="2:5">
      <c r="B336" s="4296" t="s">
        <v>5936</v>
      </c>
      <c r="C336" s="4296" t="s">
        <v>7839</v>
      </c>
      <c r="D336" s="4296" t="s">
        <v>4674</v>
      </c>
      <c r="E336" s="4297">
        <v>13.561549000000001</v>
      </c>
    </row>
    <row r="337" spans="2:5">
      <c r="B337" s="4296" t="s">
        <v>5938</v>
      </c>
      <c r="C337" s="4296" t="s">
        <v>8780</v>
      </c>
      <c r="D337" s="4296" t="s">
        <v>4674</v>
      </c>
      <c r="E337" s="4297">
        <v>13.342499999999999</v>
      </c>
    </row>
    <row r="338" spans="2:5">
      <c r="B338" s="4296" t="s">
        <v>5940</v>
      </c>
      <c r="C338" s="4296" t="s">
        <v>8781</v>
      </c>
      <c r="D338" s="4296" t="s">
        <v>4674</v>
      </c>
      <c r="E338" s="4297">
        <v>13.342499999999999</v>
      </c>
    </row>
    <row r="339" spans="2:5">
      <c r="B339" s="4296" t="s">
        <v>5942</v>
      </c>
      <c r="C339" s="4296" t="s">
        <v>7818</v>
      </c>
      <c r="D339" s="4296" t="s">
        <v>4674</v>
      </c>
      <c r="E339" s="4297">
        <v>13.037852999999998</v>
      </c>
    </row>
    <row r="340" spans="2:5">
      <c r="B340" s="4296" t="s">
        <v>5944</v>
      </c>
      <c r="C340" s="4296" t="s">
        <v>8782</v>
      </c>
      <c r="D340" s="4296" t="s">
        <v>5222</v>
      </c>
      <c r="E340" s="4297">
        <v>13</v>
      </c>
    </row>
    <row r="341" spans="2:5">
      <c r="B341" s="4296" t="s">
        <v>5946</v>
      </c>
      <c r="C341" s="4296" t="s">
        <v>8783</v>
      </c>
      <c r="D341" s="4296" t="s">
        <v>4674</v>
      </c>
      <c r="E341" s="4297">
        <v>12.929319999999999</v>
      </c>
    </row>
    <row r="342" spans="2:5">
      <c r="B342" s="4296" t="s">
        <v>5948</v>
      </c>
      <c r="C342" s="4296" t="s">
        <v>5605</v>
      </c>
      <c r="D342" s="4296" t="s">
        <v>4674</v>
      </c>
      <c r="E342" s="4297">
        <v>12.880991000000003</v>
      </c>
    </row>
    <row r="343" spans="2:5">
      <c r="B343" s="4296" t="s">
        <v>5950</v>
      </c>
      <c r="C343" s="4296" t="s">
        <v>7920</v>
      </c>
      <c r="D343" s="4296" t="s">
        <v>4674</v>
      </c>
      <c r="E343" s="4297">
        <v>12.7896</v>
      </c>
    </row>
    <row r="344" spans="2:5">
      <c r="B344" s="4296" t="s">
        <v>5952</v>
      </c>
      <c r="C344" s="4296" t="s">
        <v>7842</v>
      </c>
      <c r="D344" s="4296" t="s">
        <v>4674</v>
      </c>
      <c r="E344" s="4297">
        <v>12.631679999999999</v>
      </c>
    </row>
    <row r="345" spans="2:5">
      <c r="B345" s="4296" t="s">
        <v>5954</v>
      </c>
      <c r="C345" s="4296" t="s">
        <v>7085</v>
      </c>
      <c r="D345" s="4296" t="s">
        <v>4674</v>
      </c>
      <c r="E345" s="4297">
        <v>12.308508999999999</v>
      </c>
    </row>
    <row r="346" spans="2:5">
      <c r="B346" s="4296" t="s">
        <v>5956</v>
      </c>
      <c r="C346" s="4296" t="s">
        <v>8784</v>
      </c>
      <c r="D346" s="4296" t="s">
        <v>5753</v>
      </c>
      <c r="E346" s="4297">
        <v>12</v>
      </c>
    </row>
    <row r="347" spans="2:5">
      <c r="B347" s="4296" t="s">
        <v>5958</v>
      </c>
      <c r="C347" s="4296" t="s">
        <v>7971</v>
      </c>
      <c r="D347" s="4296" t="s">
        <v>4674</v>
      </c>
      <c r="E347" s="4297">
        <v>11.542280999999999</v>
      </c>
    </row>
    <row r="348" spans="2:5">
      <c r="B348" s="4296" t="s">
        <v>5960</v>
      </c>
      <c r="C348" s="4296" t="s">
        <v>8785</v>
      </c>
      <c r="D348" s="4296" t="s">
        <v>4674</v>
      </c>
      <c r="E348" s="4297">
        <v>11.492364999999999</v>
      </c>
    </row>
    <row r="349" spans="2:5">
      <c r="B349" s="4296" t="s">
        <v>5962</v>
      </c>
      <c r="C349" s="4296" t="s">
        <v>7091</v>
      </c>
      <c r="D349" s="4296" t="s">
        <v>4674</v>
      </c>
      <c r="E349" s="4297">
        <v>11.482187000000001</v>
      </c>
    </row>
    <row r="350" spans="2:5">
      <c r="B350" s="4296" t="s">
        <v>5964</v>
      </c>
      <c r="C350" s="4296" t="s">
        <v>7096</v>
      </c>
      <c r="D350" s="4296" t="s">
        <v>4674</v>
      </c>
      <c r="E350" s="4297">
        <v>11.393664999999999</v>
      </c>
    </row>
    <row r="351" spans="2:5">
      <c r="B351" s="4296" t="s">
        <v>5966</v>
      </c>
      <c r="C351" s="4296" t="s">
        <v>7849</v>
      </c>
      <c r="D351" s="4296" t="s">
        <v>4674</v>
      </c>
      <c r="E351" s="4297">
        <v>11.28248</v>
      </c>
    </row>
    <row r="352" spans="2:5">
      <c r="B352" s="4296" t="s">
        <v>5968</v>
      </c>
      <c r="C352" s="4296" t="s">
        <v>7973</v>
      </c>
      <c r="D352" s="4296" t="s">
        <v>4674</v>
      </c>
      <c r="E352" s="4297">
        <v>11.281477999999998</v>
      </c>
    </row>
    <row r="353" spans="2:5">
      <c r="B353" s="4296" t="s">
        <v>5970</v>
      </c>
      <c r="C353" s="4296" t="s">
        <v>7826</v>
      </c>
      <c r="D353" s="4296" t="s">
        <v>4674</v>
      </c>
      <c r="E353" s="4297">
        <v>11.215786000000001</v>
      </c>
    </row>
    <row r="354" spans="2:5">
      <c r="B354" s="4296" t="s">
        <v>5972</v>
      </c>
      <c r="C354" s="4296" t="s">
        <v>7932</v>
      </c>
      <c r="D354" s="4296" t="s">
        <v>4674</v>
      </c>
      <c r="E354" s="4297">
        <v>11.119277</v>
      </c>
    </row>
    <row r="355" spans="2:5">
      <c r="B355" s="4296" t="s">
        <v>5974</v>
      </c>
      <c r="C355" s="4296" t="s">
        <v>7995</v>
      </c>
      <c r="D355" s="4296" t="s">
        <v>4674</v>
      </c>
      <c r="E355" s="4297">
        <v>10.9856</v>
      </c>
    </row>
    <row r="356" spans="2:5">
      <c r="B356" s="4296" t="s">
        <v>5976</v>
      </c>
      <c r="C356" s="4296" t="s">
        <v>7846</v>
      </c>
      <c r="D356" s="4296" t="s">
        <v>4674</v>
      </c>
      <c r="E356" s="4297">
        <v>10.979884</v>
      </c>
    </row>
    <row r="357" spans="2:5">
      <c r="B357" s="4296" t="s">
        <v>5978</v>
      </c>
      <c r="C357" s="4296" t="s">
        <v>7125</v>
      </c>
      <c r="D357" s="4296" t="s">
        <v>4674</v>
      </c>
      <c r="E357" s="4297">
        <v>10.830271</v>
      </c>
    </row>
    <row r="358" spans="2:5">
      <c r="B358" s="4296" t="s">
        <v>5980</v>
      </c>
      <c r="C358" s="4296" t="s">
        <v>7844</v>
      </c>
      <c r="D358" s="4296" t="s">
        <v>4674</v>
      </c>
      <c r="E358" s="4297">
        <v>10.812346000000002</v>
      </c>
    </row>
    <row r="359" spans="2:5">
      <c r="B359" s="4296" t="s">
        <v>5982</v>
      </c>
      <c r="C359" s="4296" t="s">
        <v>8786</v>
      </c>
      <c r="D359" s="4296" t="s">
        <v>5222</v>
      </c>
      <c r="E359" s="4297">
        <v>10.8</v>
      </c>
    </row>
    <row r="360" spans="2:5">
      <c r="B360" s="4296" t="s">
        <v>5984</v>
      </c>
      <c r="C360" s="4296" t="s">
        <v>8787</v>
      </c>
      <c r="D360" s="4296" t="s">
        <v>4674</v>
      </c>
      <c r="E360" s="4297">
        <v>10.634385</v>
      </c>
    </row>
    <row r="361" spans="2:5">
      <c r="B361" s="4296" t="s">
        <v>5986</v>
      </c>
      <c r="C361" s="4296" t="s">
        <v>7978</v>
      </c>
      <c r="D361" s="4296" t="s">
        <v>4674</v>
      </c>
      <c r="E361" s="4297">
        <v>10.522734000000002</v>
      </c>
    </row>
    <row r="362" spans="2:5">
      <c r="B362" s="4296" t="s">
        <v>5988</v>
      </c>
      <c r="C362" s="4296" t="s">
        <v>5677</v>
      </c>
      <c r="D362" s="4296" t="s">
        <v>4674</v>
      </c>
      <c r="E362" s="4297">
        <v>10.414548</v>
      </c>
    </row>
    <row r="363" spans="2:5">
      <c r="B363" s="4296" t="s">
        <v>5990</v>
      </c>
      <c r="C363" s="4296" t="s">
        <v>8788</v>
      </c>
      <c r="D363" s="4296" t="s">
        <v>4674</v>
      </c>
      <c r="E363" s="4297">
        <v>10.404861</v>
      </c>
    </row>
    <row r="364" spans="2:5">
      <c r="B364" s="4296" t="s">
        <v>5992</v>
      </c>
      <c r="C364" s="4296" t="s">
        <v>8789</v>
      </c>
      <c r="D364" s="4296" t="s">
        <v>4674</v>
      </c>
      <c r="E364" s="4297">
        <v>10.302037</v>
      </c>
    </row>
    <row r="365" spans="2:5">
      <c r="B365" s="4296" t="s">
        <v>5994</v>
      </c>
      <c r="C365" s="4296" t="s">
        <v>8790</v>
      </c>
      <c r="D365" s="4296" t="s">
        <v>4674</v>
      </c>
      <c r="E365" s="4297">
        <v>10.101089999999999</v>
      </c>
    </row>
    <row r="366" spans="2:5">
      <c r="B366" s="4296" t="s">
        <v>5996</v>
      </c>
      <c r="C366" s="4296" t="s">
        <v>5713</v>
      </c>
      <c r="D366" s="4296" t="s">
        <v>4674</v>
      </c>
      <c r="E366" s="4297">
        <v>10.080401999999999</v>
      </c>
    </row>
    <row r="367" spans="2:5">
      <c r="B367" s="4296" t="s">
        <v>5998</v>
      </c>
      <c r="C367" s="4296" t="s">
        <v>8791</v>
      </c>
      <c r="D367" s="4296" t="s">
        <v>4897</v>
      </c>
      <c r="E367" s="4297">
        <v>10</v>
      </c>
    </row>
    <row r="368" spans="2:5">
      <c r="B368" s="4296" t="s">
        <v>6000</v>
      </c>
      <c r="C368" s="4296" t="s">
        <v>8792</v>
      </c>
      <c r="D368" s="4296" t="s">
        <v>4897</v>
      </c>
      <c r="E368" s="4297">
        <v>10</v>
      </c>
    </row>
    <row r="369" spans="2:5">
      <c r="B369" s="4296" t="s">
        <v>6002</v>
      </c>
      <c r="C369" s="4296" t="s">
        <v>8793</v>
      </c>
      <c r="D369" s="4296" t="s">
        <v>4897</v>
      </c>
      <c r="E369" s="4297">
        <v>10</v>
      </c>
    </row>
    <row r="370" spans="2:5">
      <c r="B370" s="4296" t="s">
        <v>6004</v>
      </c>
      <c r="C370" s="4296" t="s">
        <v>8794</v>
      </c>
      <c r="D370" s="4296" t="s">
        <v>4897</v>
      </c>
      <c r="E370" s="4297">
        <v>10</v>
      </c>
    </row>
    <row r="371" spans="2:5">
      <c r="B371" s="4296" t="s">
        <v>6006</v>
      </c>
      <c r="C371" s="4296" t="s">
        <v>8795</v>
      </c>
      <c r="D371" s="4296" t="s">
        <v>5222</v>
      </c>
      <c r="E371" s="4297">
        <v>10</v>
      </c>
    </row>
    <row r="372" spans="2:5">
      <c r="B372" s="4296" t="s">
        <v>6008</v>
      </c>
      <c r="C372" s="4296" t="s">
        <v>7861</v>
      </c>
      <c r="D372" s="4296" t="s">
        <v>4674</v>
      </c>
      <c r="E372" s="4297">
        <v>9.9120100000000004</v>
      </c>
    </row>
    <row r="373" spans="2:5">
      <c r="B373" s="4296" t="s">
        <v>6010</v>
      </c>
      <c r="C373" s="4296" t="s">
        <v>7858</v>
      </c>
      <c r="D373" s="4296" t="s">
        <v>4674</v>
      </c>
      <c r="E373" s="4297">
        <v>9.8997579999999985</v>
      </c>
    </row>
    <row r="374" spans="2:5">
      <c r="B374" s="4296" t="s">
        <v>6012</v>
      </c>
      <c r="C374" s="4296" t="s">
        <v>7118</v>
      </c>
      <c r="D374" s="4296" t="s">
        <v>4674</v>
      </c>
      <c r="E374" s="4297">
        <v>9.858039999999999</v>
      </c>
    </row>
    <row r="375" spans="2:5">
      <c r="B375" s="4296" t="s">
        <v>6014</v>
      </c>
      <c r="C375" s="4296" t="s">
        <v>7866</v>
      </c>
      <c r="D375" s="4296" t="s">
        <v>4674</v>
      </c>
      <c r="E375" s="4297">
        <v>9.8369999999999997</v>
      </c>
    </row>
    <row r="376" spans="2:5">
      <c r="B376" s="4296" t="s">
        <v>6016</v>
      </c>
      <c r="C376" s="4296" t="s">
        <v>7816</v>
      </c>
      <c r="D376" s="4296" t="s">
        <v>4674</v>
      </c>
      <c r="E376" s="4297">
        <v>9.7391000000000005</v>
      </c>
    </row>
    <row r="377" spans="2:5">
      <c r="B377" s="4296" t="s">
        <v>6018</v>
      </c>
      <c r="C377" s="4296" t="s">
        <v>7848</v>
      </c>
      <c r="D377" s="4296" t="s">
        <v>4674</v>
      </c>
      <c r="E377" s="4297">
        <v>9.7202769999999994</v>
      </c>
    </row>
    <row r="378" spans="2:5">
      <c r="B378" s="4296" t="s">
        <v>6020</v>
      </c>
      <c r="C378" s="4296" t="s">
        <v>7868</v>
      </c>
      <c r="D378" s="4296" t="s">
        <v>4674</v>
      </c>
      <c r="E378" s="4297">
        <v>9.7144639999999995</v>
      </c>
    </row>
    <row r="379" spans="2:5">
      <c r="B379" s="4296" t="s">
        <v>6022</v>
      </c>
      <c r="C379" s="4287" t="s">
        <v>7905</v>
      </c>
      <c r="D379" s="4287" t="s">
        <v>4674</v>
      </c>
      <c r="E379" s="4297">
        <v>9.6795510000000018</v>
      </c>
    </row>
    <row r="380" spans="2:5">
      <c r="B380" s="4296" t="s">
        <v>6024</v>
      </c>
      <c r="C380" s="4296" t="s">
        <v>8796</v>
      </c>
      <c r="D380" s="4296" t="s">
        <v>4674</v>
      </c>
      <c r="E380" s="4297">
        <v>9.6240000000000006</v>
      </c>
    </row>
    <row r="381" spans="2:5">
      <c r="B381" s="4296" t="s">
        <v>6026</v>
      </c>
      <c r="C381" s="4287" t="s">
        <v>7997</v>
      </c>
      <c r="D381" s="4287" t="s">
        <v>4674</v>
      </c>
      <c r="E381" s="4297">
        <v>9.4647260000000006</v>
      </c>
    </row>
    <row r="382" spans="2:5">
      <c r="B382" s="4296" t="s">
        <v>6028</v>
      </c>
      <c r="C382" s="4296" t="s">
        <v>8797</v>
      </c>
      <c r="D382" s="4296" t="s">
        <v>4674</v>
      </c>
      <c r="E382" s="4297">
        <v>9.4577799999999996</v>
      </c>
    </row>
    <row r="383" spans="2:5">
      <c r="B383" s="4296" t="s">
        <v>6030</v>
      </c>
      <c r="C383" s="4296" t="s">
        <v>5925</v>
      </c>
      <c r="D383" s="4296" t="s">
        <v>4674</v>
      </c>
      <c r="E383" s="4297">
        <v>9.4475429999999996</v>
      </c>
    </row>
    <row r="384" spans="2:5">
      <c r="B384" s="4296" t="s">
        <v>6032</v>
      </c>
      <c r="C384" s="4287" t="s">
        <v>8798</v>
      </c>
      <c r="D384" s="4287" t="s">
        <v>4674</v>
      </c>
      <c r="E384" s="4297">
        <v>9.4042439999999985</v>
      </c>
    </row>
    <row r="385" spans="2:5">
      <c r="B385" s="4296" t="s">
        <v>6034</v>
      </c>
      <c r="C385" s="4296" t="s">
        <v>7853</v>
      </c>
      <c r="D385" s="4296" t="s">
        <v>4674</v>
      </c>
      <c r="E385" s="4297">
        <v>9.3698080000000008</v>
      </c>
    </row>
    <row r="386" spans="2:5">
      <c r="B386" s="4296" t="s">
        <v>6036</v>
      </c>
      <c r="C386" s="4296" t="s">
        <v>8799</v>
      </c>
      <c r="D386" s="4296" t="s">
        <v>4897</v>
      </c>
      <c r="E386" s="4297">
        <v>9.15</v>
      </c>
    </row>
    <row r="387" spans="2:5">
      <c r="B387" s="4296" t="s">
        <v>6038</v>
      </c>
      <c r="C387" s="4296" t="s">
        <v>7127</v>
      </c>
      <c r="D387" s="4296" t="s">
        <v>4674</v>
      </c>
      <c r="E387" s="4297">
        <v>9.0584980000000002</v>
      </c>
    </row>
    <row r="388" spans="2:5">
      <c r="B388" s="4296" t="s">
        <v>6040</v>
      </c>
      <c r="C388" s="4296" t="s">
        <v>8800</v>
      </c>
      <c r="D388" s="4296" t="s">
        <v>4674</v>
      </c>
      <c r="E388" s="4297">
        <v>9.0261400000000016</v>
      </c>
    </row>
    <row r="389" spans="2:5">
      <c r="B389" s="4296" t="s">
        <v>6042</v>
      </c>
      <c r="C389" s="4296" t="s">
        <v>8007</v>
      </c>
      <c r="D389" s="4296" t="s">
        <v>4897</v>
      </c>
      <c r="E389" s="4297">
        <v>8.8602739999999987</v>
      </c>
    </row>
    <row r="390" spans="2:5">
      <c r="B390" s="4296" t="s">
        <v>6045</v>
      </c>
      <c r="C390" s="4296" t="s">
        <v>8360</v>
      </c>
      <c r="D390" s="4296" t="s">
        <v>4674</v>
      </c>
      <c r="E390" s="4297">
        <v>8.8356650000000005</v>
      </c>
    </row>
    <row r="391" spans="2:5">
      <c r="B391" s="4296" t="s">
        <v>6047</v>
      </c>
      <c r="C391" s="4296" t="s">
        <v>7100</v>
      </c>
      <c r="D391" s="4296" t="s">
        <v>4674</v>
      </c>
      <c r="E391" s="4297">
        <v>8.8295089999999998</v>
      </c>
    </row>
    <row r="392" spans="2:5">
      <c r="B392" s="4296" t="s">
        <v>6049</v>
      </c>
      <c r="C392" s="4296" t="s">
        <v>8027</v>
      </c>
      <c r="D392" s="4296" t="s">
        <v>4674</v>
      </c>
      <c r="E392" s="4297">
        <v>8.8079999999999998</v>
      </c>
    </row>
    <row r="393" spans="2:5">
      <c r="B393" s="4296" t="s">
        <v>6051</v>
      </c>
      <c r="C393" s="4296" t="s">
        <v>7948</v>
      </c>
      <c r="D393" s="4296" t="s">
        <v>4674</v>
      </c>
      <c r="E393" s="4297">
        <v>8.690313999999999</v>
      </c>
    </row>
    <row r="394" spans="2:5">
      <c r="B394" s="4296" t="s">
        <v>6053</v>
      </c>
      <c r="C394" s="4296" t="s">
        <v>8801</v>
      </c>
      <c r="D394" s="4296" t="s">
        <v>4674</v>
      </c>
      <c r="E394" s="4297">
        <v>8.6219999999999999</v>
      </c>
    </row>
    <row r="395" spans="2:5">
      <c r="B395" s="4296" t="s">
        <v>6055</v>
      </c>
      <c r="C395" s="4296" t="s">
        <v>8802</v>
      </c>
      <c r="D395" s="4296" t="s">
        <v>4674</v>
      </c>
      <c r="E395" s="4297">
        <v>8.6058509999999995</v>
      </c>
    </row>
    <row r="396" spans="2:5">
      <c r="B396" s="4296" t="s">
        <v>6057</v>
      </c>
      <c r="C396" s="4296" t="s">
        <v>8803</v>
      </c>
      <c r="D396" s="4296" t="s">
        <v>4674</v>
      </c>
      <c r="E396" s="4297">
        <v>8.5866689999999988</v>
      </c>
    </row>
    <row r="397" spans="2:5">
      <c r="B397" s="4296" t="s">
        <v>6059</v>
      </c>
      <c r="C397" s="4296" t="s">
        <v>8804</v>
      </c>
      <c r="D397" s="4296" t="s">
        <v>4897</v>
      </c>
      <c r="E397" s="4297">
        <v>8.5160999999999998</v>
      </c>
    </row>
    <row r="398" spans="2:5">
      <c r="B398" s="4296" t="s">
        <v>6061</v>
      </c>
      <c r="C398" s="4296" t="s">
        <v>7080</v>
      </c>
      <c r="D398" s="4296" t="s">
        <v>4674</v>
      </c>
      <c r="E398" s="4297">
        <v>8.4444400000000002</v>
      </c>
    </row>
    <row r="399" spans="2:5">
      <c r="B399" s="4296" t="s">
        <v>6063</v>
      </c>
      <c r="C399" s="4296" t="s">
        <v>8805</v>
      </c>
      <c r="D399" s="4296" t="s">
        <v>4897</v>
      </c>
      <c r="E399" s="4297">
        <v>8.4000000000000021</v>
      </c>
    </row>
    <row r="400" spans="2:5">
      <c r="B400" s="4296" t="s">
        <v>6065</v>
      </c>
      <c r="C400" s="4296" t="s">
        <v>7114</v>
      </c>
      <c r="D400" s="4296" t="s">
        <v>4674</v>
      </c>
      <c r="E400" s="4297">
        <v>8.3989550000000008</v>
      </c>
    </row>
    <row r="401" spans="2:5">
      <c r="B401" s="4296" t="s">
        <v>6067</v>
      </c>
      <c r="C401" s="4296" t="s">
        <v>8806</v>
      </c>
      <c r="D401" s="4296" t="s">
        <v>4674</v>
      </c>
      <c r="E401" s="4297">
        <v>8.3206310000000006</v>
      </c>
    </row>
    <row r="402" spans="2:5">
      <c r="B402" s="4296" t="s">
        <v>6069</v>
      </c>
      <c r="C402" s="4296" t="s">
        <v>7859</v>
      </c>
      <c r="D402" s="4296" t="s">
        <v>4674</v>
      </c>
      <c r="E402" s="4297">
        <v>8.3175409999999985</v>
      </c>
    </row>
    <row r="403" spans="2:5">
      <c r="B403" s="4296" t="s">
        <v>6071</v>
      </c>
      <c r="C403" s="4296" t="s">
        <v>7901</v>
      </c>
      <c r="D403" s="4296" t="s">
        <v>4674</v>
      </c>
      <c r="E403" s="4297">
        <v>8.3015810000000005</v>
      </c>
    </row>
    <row r="404" spans="2:5">
      <c r="B404" s="4296" t="s">
        <v>6073</v>
      </c>
      <c r="C404" s="4296" t="s">
        <v>8807</v>
      </c>
      <c r="D404" s="4296" t="s">
        <v>4674</v>
      </c>
      <c r="E404" s="4297">
        <v>8.2127790000000012</v>
      </c>
    </row>
    <row r="405" spans="2:5">
      <c r="B405" s="4296" t="s">
        <v>6075</v>
      </c>
      <c r="C405" s="4296" t="s">
        <v>8808</v>
      </c>
      <c r="D405" s="4296" t="s">
        <v>4897</v>
      </c>
      <c r="E405" s="4297">
        <v>8.19</v>
      </c>
    </row>
    <row r="406" spans="2:5">
      <c r="B406" s="4296" t="s">
        <v>6077</v>
      </c>
      <c r="C406" s="4296" t="s">
        <v>8809</v>
      </c>
      <c r="D406" s="4296" t="s">
        <v>4897</v>
      </c>
      <c r="E406" s="4297">
        <v>8.1</v>
      </c>
    </row>
    <row r="407" spans="2:5">
      <c r="B407" s="4296" t="s">
        <v>6079</v>
      </c>
      <c r="C407" s="4296" t="s">
        <v>8810</v>
      </c>
      <c r="D407" s="4296" t="s">
        <v>5753</v>
      </c>
      <c r="E407" s="4297">
        <v>8</v>
      </c>
    </row>
    <row r="408" spans="2:5">
      <c r="B408" s="4296" t="s">
        <v>6081</v>
      </c>
      <c r="C408" s="4296" t="s">
        <v>8811</v>
      </c>
      <c r="D408" s="4296" t="s">
        <v>5222</v>
      </c>
      <c r="E408" s="4297">
        <v>8</v>
      </c>
    </row>
    <row r="409" spans="2:5">
      <c r="B409" s="4296" t="s">
        <v>6083</v>
      </c>
      <c r="C409" s="4296" t="s">
        <v>8812</v>
      </c>
      <c r="D409" s="4296" t="s">
        <v>4897</v>
      </c>
      <c r="E409" s="4297">
        <v>7.8</v>
      </c>
    </row>
    <row r="410" spans="2:5">
      <c r="B410" s="4296" t="s">
        <v>6085</v>
      </c>
      <c r="C410" s="4296" t="s">
        <v>8813</v>
      </c>
      <c r="D410" s="4296" t="s">
        <v>4897</v>
      </c>
      <c r="E410" s="4297">
        <v>7.59</v>
      </c>
    </row>
    <row r="411" spans="2:5">
      <c r="B411" s="4296" t="s">
        <v>6087</v>
      </c>
      <c r="C411" s="4296" t="s">
        <v>8814</v>
      </c>
      <c r="D411" s="4296" t="s">
        <v>4897</v>
      </c>
      <c r="E411" s="4297">
        <v>7.5000000000000018</v>
      </c>
    </row>
    <row r="412" spans="2:5">
      <c r="B412" s="4296" t="s">
        <v>6089</v>
      </c>
      <c r="C412" s="4296" t="s">
        <v>8815</v>
      </c>
      <c r="D412" s="4296" t="s">
        <v>4897</v>
      </c>
      <c r="E412" s="4297">
        <v>7.5</v>
      </c>
    </row>
    <row r="413" spans="2:5">
      <c r="B413" s="4296" t="s">
        <v>6091</v>
      </c>
      <c r="C413" s="4296" t="s">
        <v>8816</v>
      </c>
      <c r="D413" s="4296" t="s">
        <v>4897</v>
      </c>
      <c r="E413" s="4297">
        <v>7.5</v>
      </c>
    </row>
    <row r="414" spans="2:5">
      <c r="B414" s="4296" t="s">
        <v>6093</v>
      </c>
      <c r="C414" s="4296" t="s">
        <v>8817</v>
      </c>
      <c r="D414" s="4296" t="s">
        <v>4897</v>
      </c>
      <c r="E414" s="4297">
        <v>7.5</v>
      </c>
    </row>
    <row r="415" spans="2:5">
      <c r="B415" s="4296" t="s">
        <v>6095</v>
      </c>
      <c r="C415" s="4296" t="s">
        <v>8818</v>
      </c>
      <c r="D415" s="4296" t="s">
        <v>4897</v>
      </c>
      <c r="E415" s="4297">
        <v>7.5</v>
      </c>
    </row>
    <row r="416" spans="2:5">
      <c r="B416" s="4296" t="s">
        <v>6097</v>
      </c>
      <c r="C416" s="4296" t="s">
        <v>8819</v>
      </c>
      <c r="D416" s="4296" t="s">
        <v>5222</v>
      </c>
      <c r="E416" s="4297">
        <v>7.5</v>
      </c>
    </row>
    <row r="417" spans="2:5">
      <c r="B417" s="4296" t="s">
        <v>6099</v>
      </c>
      <c r="C417" s="4296" t="s">
        <v>8029</v>
      </c>
      <c r="D417" s="4296" t="s">
        <v>4674</v>
      </c>
      <c r="E417" s="4297">
        <v>7.4406799999999986</v>
      </c>
    </row>
    <row r="418" spans="2:5">
      <c r="B418" s="4296" t="s">
        <v>6101</v>
      </c>
      <c r="C418" s="4296" t="s">
        <v>7078</v>
      </c>
      <c r="D418" s="4296" t="s">
        <v>4674</v>
      </c>
      <c r="E418" s="4297">
        <v>7.4263639999999995</v>
      </c>
    </row>
    <row r="419" spans="2:5">
      <c r="B419" s="4296" t="s">
        <v>6103</v>
      </c>
      <c r="C419" s="4296" t="s">
        <v>8820</v>
      </c>
      <c r="D419" s="4296" t="s">
        <v>4674</v>
      </c>
      <c r="E419" s="4297">
        <v>7.4061600000000007</v>
      </c>
    </row>
    <row r="420" spans="2:5">
      <c r="B420" s="4296" t="s">
        <v>6105</v>
      </c>
      <c r="C420" s="4296" t="s">
        <v>8821</v>
      </c>
      <c r="D420" s="4296" t="s">
        <v>4674</v>
      </c>
      <c r="E420" s="4297">
        <v>7.3763229999999993</v>
      </c>
    </row>
    <row r="421" spans="2:5">
      <c r="B421" s="4296" t="s">
        <v>6107</v>
      </c>
      <c r="C421" s="4296" t="s">
        <v>7880</v>
      </c>
      <c r="D421" s="4296" t="s">
        <v>4674</v>
      </c>
      <c r="E421" s="4297">
        <v>7.3259360000000004</v>
      </c>
    </row>
    <row r="422" spans="2:5">
      <c r="B422" s="4296" t="s">
        <v>6109</v>
      </c>
      <c r="C422" s="4296" t="s">
        <v>8822</v>
      </c>
      <c r="D422" s="4296" t="s">
        <v>4897</v>
      </c>
      <c r="E422" s="4297">
        <v>7.26</v>
      </c>
    </row>
    <row r="423" spans="2:5">
      <c r="B423" s="4296" t="s">
        <v>6111</v>
      </c>
      <c r="C423" s="4296" t="s">
        <v>7931</v>
      </c>
      <c r="D423" s="4296" t="s">
        <v>4674</v>
      </c>
      <c r="E423" s="4297">
        <v>7.139609000000001</v>
      </c>
    </row>
    <row r="424" spans="2:5">
      <c r="B424" s="4296" t="s">
        <v>6113</v>
      </c>
      <c r="C424" s="4296" t="s">
        <v>8823</v>
      </c>
      <c r="D424" s="4296" t="s">
        <v>4897</v>
      </c>
      <c r="E424" s="4297">
        <v>7</v>
      </c>
    </row>
    <row r="425" spans="2:5">
      <c r="B425" s="4296" t="s">
        <v>6115</v>
      </c>
      <c r="C425" s="4296" t="s">
        <v>8824</v>
      </c>
      <c r="D425" s="4296" t="s">
        <v>4897</v>
      </c>
      <c r="E425" s="4297">
        <v>7</v>
      </c>
    </row>
    <row r="426" spans="2:5">
      <c r="B426" s="4296" t="s">
        <v>6117</v>
      </c>
      <c r="C426" s="4296" t="s">
        <v>7939</v>
      </c>
      <c r="D426" s="4296" t="s">
        <v>4674</v>
      </c>
      <c r="E426" s="4297">
        <v>6.969342000000001</v>
      </c>
    </row>
    <row r="427" spans="2:5">
      <c r="B427" s="4296" t="s">
        <v>6119</v>
      </c>
      <c r="C427" s="4296" t="s">
        <v>8825</v>
      </c>
      <c r="D427" s="4296" t="s">
        <v>4674</v>
      </c>
      <c r="E427" s="4297">
        <v>6.9554999999999998</v>
      </c>
    </row>
    <row r="428" spans="2:5">
      <c r="B428" s="4296" t="s">
        <v>6121</v>
      </c>
      <c r="C428" s="4296" t="s">
        <v>8826</v>
      </c>
      <c r="D428" s="4296" t="s">
        <v>5222</v>
      </c>
      <c r="E428" s="4297">
        <v>6.9172609999999999</v>
      </c>
    </row>
    <row r="429" spans="2:5">
      <c r="B429" s="4296" t="s">
        <v>6123</v>
      </c>
      <c r="C429" s="4296" t="s">
        <v>8827</v>
      </c>
      <c r="D429" s="4296" t="s">
        <v>4674</v>
      </c>
      <c r="E429" s="4297">
        <v>6.84</v>
      </c>
    </row>
    <row r="430" spans="2:5">
      <c r="B430" s="4296" t="s">
        <v>6125</v>
      </c>
      <c r="C430" s="4296" t="s">
        <v>8828</v>
      </c>
      <c r="D430" s="4296" t="s">
        <v>4897</v>
      </c>
      <c r="E430" s="4297">
        <v>6.8333330000000005</v>
      </c>
    </row>
    <row r="431" spans="2:5">
      <c r="B431" s="4296" t="s">
        <v>6127</v>
      </c>
      <c r="C431" s="4296" t="s">
        <v>8829</v>
      </c>
      <c r="D431" s="4296" t="s">
        <v>4897</v>
      </c>
      <c r="E431" s="4297">
        <v>6.7240279999999997</v>
      </c>
    </row>
    <row r="432" spans="2:5">
      <c r="B432" s="4296" t="s">
        <v>6129</v>
      </c>
      <c r="C432" s="4296" t="s">
        <v>8830</v>
      </c>
      <c r="D432" s="4296" t="s">
        <v>4897</v>
      </c>
      <c r="E432" s="4297">
        <v>6.6</v>
      </c>
    </row>
    <row r="433" spans="2:5">
      <c r="B433" s="4296" t="s">
        <v>6131</v>
      </c>
      <c r="C433" s="4296" t="s">
        <v>8054</v>
      </c>
      <c r="D433" s="4296" t="s">
        <v>4674</v>
      </c>
      <c r="E433" s="4297">
        <v>6.5310479999999993</v>
      </c>
    </row>
    <row r="434" spans="2:5">
      <c r="B434" s="4296" t="s">
        <v>6133</v>
      </c>
      <c r="C434" s="4296" t="s">
        <v>7989</v>
      </c>
      <c r="D434" s="4296" t="s">
        <v>4674</v>
      </c>
      <c r="E434" s="4297">
        <v>6.4603709999999994</v>
      </c>
    </row>
    <row r="435" spans="2:5">
      <c r="B435" s="4296" t="s">
        <v>6135</v>
      </c>
      <c r="C435" s="4296" t="s">
        <v>8831</v>
      </c>
      <c r="D435" s="4296" t="s">
        <v>4674</v>
      </c>
      <c r="E435" s="4297">
        <v>6.4510570000000005</v>
      </c>
    </row>
    <row r="436" spans="2:5">
      <c r="B436" s="4296" t="s">
        <v>6137</v>
      </c>
      <c r="C436" s="4296" t="s">
        <v>8832</v>
      </c>
      <c r="D436" s="4296" t="s">
        <v>4674</v>
      </c>
      <c r="E436" s="4297">
        <v>6.3751669999999994</v>
      </c>
    </row>
    <row r="437" spans="2:5">
      <c r="B437" s="4296" t="s">
        <v>6139</v>
      </c>
      <c r="C437" s="4296" t="s">
        <v>8833</v>
      </c>
      <c r="D437" s="4296" t="s">
        <v>4674</v>
      </c>
      <c r="E437" s="4297">
        <v>6.359922000000001</v>
      </c>
    </row>
    <row r="438" spans="2:5">
      <c r="B438" s="4296" t="s">
        <v>6141</v>
      </c>
      <c r="C438" s="4296" t="s">
        <v>7863</v>
      </c>
      <c r="D438" s="4296" t="s">
        <v>4674</v>
      </c>
      <c r="E438" s="4297">
        <v>6.300961</v>
      </c>
    </row>
    <row r="439" spans="2:5">
      <c r="B439" s="4296" t="s">
        <v>6143</v>
      </c>
      <c r="C439" s="4296" t="s">
        <v>8482</v>
      </c>
      <c r="D439" s="4296" t="s">
        <v>4897</v>
      </c>
      <c r="E439" s="4297">
        <v>6.2899999999999991</v>
      </c>
    </row>
    <row r="440" spans="2:5">
      <c r="B440" s="4296" t="s">
        <v>6145</v>
      </c>
      <c r="C440" s="4296" t="s">
        <v>8834</v>
      </c>
      <c r="D440" s="4296" t="s">
        <v>4674</v>
      </c>
      <c r="E440" s="4297">
        <v>6.2425839999999999</v>
      </c>
    </row>
    <row r="441" spans="2:5">
      <c r="B441" s="4296" t="s">
        <v>6147</v>
      </c>
      <c r="C441" s="4296" t="s">
        <v>8835</v>
      </c>
      <c r="D441" s="4296" t="s">
        <v>4897</v>
      </c>
      <c r="E441" s="4297">
        <v>6.2</v>
      </c>
    </row>
    <row r="442" spans="2:5">
      <c r="B442" s="4296" t="s">
        <v>6149</v>
      </c>
      <c r="C442" s="4296" t="s">
        <v>8836</v>
      </c>
      <c r="D442" s="4296" t="s">
        <v>4674</v>
      </c>
      <c r="E442" s="4297">
        <v>6.0780000000000003</v>
      </c>
    </row>
    <row r="443" spans="2:5">
      <c r="B443" s="4296" t="s">
        <v>6151</v>
      </c>
      <c r="C443" s="4287" t="s">
        <v>8837</v>
      </c>
      <c r="D443" s="4287" t="s">
        <v>4674</v>
      </c>
      <c r="E443" s="4297">
        <v>6.0246000000000004</v>
      </c>
    </row>
    <row r="444" spans="2:5">
      <c r="B444" s="4296" t="s">
        <v>6153</v>
      </c>
      <c r="C444" s="4296" t="s">
        <v>8838</v>
      </c>
      <c r="D444" s="4296" t="s">
        <v>4897</v>
      </c>
      <c r="E444" s="4297">
        <v>6</v>
      </c>
    </row>
    <row r="445" spans="2:5">
      <c r="B445" s="4296" t="s">
        <v>6155</v>
      </c>
      <c r="C445" s="4296" t="s">
        <v>8839</v>
      </c>
      <c r="D445" s="4296" t="s">
        <v>4897</v>
      </c>
      <c r="E445" s="4297">
        <v>6</v>
      </c>
    </row>
    <row r="446" spans="2:5">
      <c r="B446" s="4296" t="s">
        <v>6157</v>
      </c>
      <c r="C446" s="4296" t="s">
        <v>8840</v>
      </c>
      <c r="D446" s="4296" t="s">
        <v>4897</v>
      </c>
      <c r="E446" s="4297">
        <v>6</v>
      </c>
    </row>
    <row r="447" spans="2:5">
      <c r="B447" s="4296" t="s">
        <v>6159</v>
      </c>
      <c r="C447" s="4296" t="s">
        <v>8841</v>
      </c>
      <c r="D447" s="4296" t="s">
        <v>4897</v>
      </c>
      <c r="E447" s="4297">
        <v>6</v>
      </c>
    </row>
    <row r="448" spans="2:5">
      <c r="B448" s="4296" t="s">
        <v>6161</v>
      </c>
      <c r="C448" s="4296" t="s">
        <v>8842</v>
      </c>
      <c r="D448" s="4296" t="s">
        <v>4897</v>
      </c>
      <c r="E448" s="4297">
        <v>6</v>
      </c>
    </row>
    <row r="449" spans="2:5">
      <c r="B449" s="4296" t="s">
        <v>6163</v>
      </c>
      <c r="C449" s="4296" t="s">
        <v>8843</v>
      </c>
      <c r="D449" s="4296" t="s">
        <v>4897</v>
      </c>
      <c r="E449" s="4297">
        <v>6</v>
      </c>
    </row>
    <row r="450" spans="2:5">
      <c r="B450" s="4296" t="s">
        <v>6165</v>
      </c>
      <c r="C450" s="4296" t="s">
        <v>8844</v>
      </c>
      <c r="D450" s="4296" t="s">
        <v>5222</v>
      </c>
      <c r="E450" s="4297">
        <v>6</v>
      </c>
    </row>
    <row r="451" spans="2:5">
      <c r="B451" s="4296" t="s">
        <v>6167</v>
      </c>
      <c r="C451" s="4296" t="s">
        <v>8845</v>
      </c>
      <c r="D451" s="4296" t="s">
        <v>5222</v>
      </c>
      <c r="E451" s="4297">
        <v>6</v>
      </c>
    </row>
    <row r="452" spans="2:5">
      <c r="B452" s="4296" t="s">
        <v>6169</v>
      </c>
      <c r="C452" s="4296" t="s">
        <v>8846</v>
      </c>
      <c r="D452" s="4296" t="s">
        <v>5222</v>
      </c>
      <c r="E452" s="4297">
        <v>6</v>
      </c>
    </row>
    <row r="453" spans="2:5">
      <c r="B453" s="4296" t="s">
        <v>6171</v>
      </c>
      <c r="C453" s="4296" t="s">
        <v>8847</v>
      </c>
      <c r="D453" s="4296" t="s">
        <v>5222</v>
      </c>
      <c r="E453" s="4297">
        <v>6</v>
      </c>
    </row>
    <row r="454" spans="2:5">
      <c r="B454" s="4296" t="s">
        <v>6173</v>
      </c>
      <c r="C454" s="4296" t="s">
        <v>8848</v>
      </c>
      <c r="D454" s="4296" t="s">
        <v>4897</v>
      </c>
      <c r="E454" s="4297">
        <v>5.9741999999999997</v>
      </c>
    </row>
    <row r="455" spans="2:5">
      <c r="B455" s="4296" t="s">
        <v>6175</v>
      </c>
      <c r="C455" s="4296" t="s">
        <v>8849</v>
      </c>
      <c r="D455" s="4296" t="s">
        <v>5753</v>
      </c>
      <c r="E455" s="4297">
        <v>5.9020269999999995</v>
      </c>
    </row>
    <row r="456" spans="2:5">
      <c r="B456" s="4296" t="s">
        <v>6177</v>
      </c>
      <c r="C456" s="4296" t="s">
        <v>8850</v>
      </c>
      <c r="D456" s="4296" t="s">
        <v>4674</v>
      </c>
      <c r="E456" s="4297">
        <v>5.8430400000000002</v>
      </c>
    </row>
    <row r="457" spans="2:5">
      <c r="B457" s="4296" t="s">
        <v>6179</v>
      </c>
      <c r="C457" s="4296" t="s">
        <v>8851</v>
      </c>
      <c r="D457" s="4296" t="s">
        <v>4674</v>
      </c>
      <c r="E457" s="4297">
        <v>5.7671999999999999</v>
      </c>
    </row>
    <row r="458" spans="2:5">
      <c r="B458" s="4296" t="s">
        <v>6181</v>
      </c>
      <c r="C458" s="4296" t="s">
        <v>8852</v>
      </c>
      <c r="D458" s="4296" t="s">
        <v>4897</v>
      </c>
      <c r="E458" s="4297">
        <v>5.76</v>
      </c>
    </row>
    <row r="459" spans="2:5">
      <c r="B459" s="4296" t="s">
        <v>6183</v>
      </c>
      <c r="C459" s="4287" t="s">
        <v>8853</v>
      </c>
      <c r="D459" s="4287" t="s">
        <v>4674</v>
      </c>
      <c r="E459" s="4297">
        <v>5.7526860000000006</v>
      </c>
    </row>
    <row r="460" spans="2:5">
      <c r="B460" s="4296" t="s">
        <v>6185</v>
      </c>
      <c r="C460" s="4296" t="s">
        <v>8854</v>
      </c>
      <c r="D460" s="4296" t="s">
        <v>4674</v>
      </c>
      <c r="E460" s="4297">
        <v>5.5007999999999999</v>
      </c>
    </row>
    <row r="461" spans="2:5">
      <c r="B461" s="4296" t="s">
        <v>6187</v>
      </c>
      <c r="C461" s="4296" t="s">
        <v>8855</v>
      </c>
      <c r="D461" s="4296" t="s">
        <v>5222</v>
      </c>
      <c r="E461" s="4297">
        <v>5.5</v>
      </c>
    </row>
    <row r="462" spans="2:5">
      <c r="B462" s="4296" t="s">
        <v>6189</v>
      </c>
      <c r="C462" s="4296" t="s">
        <v>8856</v>
      </c>
      <c r="D462" s="4296" t="s">
        <v>4897</v>
      </c>
      <c r="E462" s="4297">
        <v>5.44</v>
      </c>
    </row>
    <row r="463" spans="2:5">
      <c r="B463" s="4296" t="s">
        <v>6191</v>
      </c>
      <c r="C463" s="4296" t="s">
        <v>8857</v>
      </c>
      <c r="D463" s="4296" t="s">
        <v>4897</v>
      </c>
      <c r="E463" s="4297">
        <v>5.4</v>
      </c>
    </row>
    <row r="464" spans="2:5">
      <c r="B464" s="4296" t="s">
        <v>6193</v>
      </c>
      <c r="C464" s="4296" t="s">
        <v>8858</v>
      </c>
      <c r="D464" s="4296" t="s">
        <v>4897</v>
      </c>
      <c r="E464" s="4297">
        <v>5.4</v>
      </c>
    </row>
    <row r="465" spans="2:5">
      <c r="B465" s="4296" t="s">
        <v>6195</v>
      </c>
      <c r="C465" s="4296" t="s">
        <v>8859</v>
      </c>
      <c r="D465" s="4296" t="s">
        <v>5222</v>
      </c>
      <c r="E465" s="4297">
        <v>5.4</v>
      </c>
    </row>
    <row r="466" spans="2:5">
      <c r="B466" s="4296" t="s">
        <v>6197</v>
      </c>
      <c r="C466" s="4287" t="s">
        <v>8860</v>
      </c>
      <c r="D466" s="4287" t="s">
        <v>4674</v>
      </c>
      <c r="E466" s="4297">
        <v>5.3779789999999998</v>
      </c>
    </row>
    <row r="467" spans="2:5">
      <c r="B467" s="4296" t="s">
        <v>6199</v>
      </c>
      <c r="C467" s="4296" t="s">
        <v>8861</v>
      </c>
      <c r="D467" s="4296" t="s">
        <v>4987</v>
      </c>
      <c r="E467" s="4297">
        <v>5.3760000000000003</v>
      </c>
    </row>
    <row r="468" spans="2:5">
      <c r="B468" s="4296" t="s">
        <v>6201</v>
      </c>
      <c r="C468" s="4287" t="s">
        <v>8862</v>
      </c>
      <c r="D468" s="4287" t="s">
        <v>4674</v>
      </c>
      <c r="E468" s="4297">
        <v>5.3748689999999995</v>
      </c>
    </row>
    <row r="469" spans="2:5">
      <c r="B469" s="4296" t="s">
        <v>6203</v>
      </c>
      <c r="C469" s="4296" t="s">
        <v>7890</v>
      </c>
      <c r="D469" s="4296" t="s">
        <v>4674</v>
      </c>
      <c r="E469" s="4297">
        <v>5.3515129999999989</v>
      </c>
    </row>
    <row r="470" spans="2:5">
      <c r="B470" s="4296" t="s">
        <v>6205</v>
      </c>
      <c r="C470" s="4296" t="s">
        <v>8863</v>
      </c>
      <c r="D470" s="4296" t="s">
        <v>4674</v>
      </c>
      <c r="E470" s="4297">
        <v>5.3223659999999997</v>
      </c>
    </row>
    <row r="471" spans="2:5">
      <c r="B471" s="4296" t="s">
        <v>6207</v>
      </c>
      <c r="C471" s="4296" t="s">
        <v>7906</v>
      </c>
      <c r="D471" s="4296" t="s">
        <v>4674</v>
      </c>
      <c r="E471" s="4297">
        <v>5.3196000000000003</v>
      </c>
    </row>
    <row r="472" spans="2:5">
      <c r="B472" s="4296" t="s">
        <v>6209</v>
      </c>
      <c r="C472" s="4296" t="s">
        <v>8864</v>
      </c>
      <c r="D472" s="4296" t="s">
        <v>5149</v>
      </c>
      <c r="E472" s="4297">
        <v>5.309639999999999</v>
      </c>
    </row>
    <row r="473" spans="2:5">
      <c r="B473" s="4296" t="s">
        <v>6211</v>
      </c>
      <c r="C473" s="4296" t="s">
        <v>8865</v>
      </c>
      <c r="D473" s="4296" t="s">
        <v>4674</v>
      </c>
      <c r="E473" s="4297">
        <v>5.2801380000000009</v>
      </c>
    </row>
    <row r="474" spans="2:5">
      <c r="B474" s="4296" t="s">
        <v>6213</v>
      </c>
      <c r="C474" s="4296" t="s">
        <v>8866</v>
      </c>
      <c r="D474" s="4296" t="s">
        <v>4674</v>
      </c>
      <c r="E474" s="4297">
        <v>5.2408000000000001</v>
      </c>
    </row>
    <row r="475" spans="2:5">
      <c r="B475" s="4296" t="s">
        <v>6215</v>
      </c>
      <c r="C475" s="4296" t="s">
        <v>8867</v>
      </c>
      <c r="D475" s="4296" t="s">
        <v>4674</v>
      </c>
      <c r="E475" s="4297">
        <v>5.2160400000000005</v>
      </c>
    </row>
    <row r="476" spans="2:5">
      <c r="B476" s="4296" t="s">
        <v>6217</v>
      </c>
      <c r="C476" s="4296" t="s">
        <v>8601</v>
      </c>
      <c r="D476" s="4296" t="s">
        <v>4897</v>
      </c>
      <c r="E476" s="4297">
        <v>5.16</v>
      </c>
    </row>
    <row r="477" spans="2:5">
      <c r="B477" s="4296" t="s">
        <v>6219</v>
      </c>
      <c r="C477" s="4296" t="s">
        <v>8868</v>
      </c>
      <c r="D477" s="4296" t="s">
        <v>4674</v>
      </c>
      <c r="E477" s="4297">
        <v>5.1216599999999994</v>
      </c>
    </row>
    <row r="478" spans="2:5">
      <c r="B478" s="4296" t="s">
        <v>6221</v>
      </c>
      <c r="C478" s="4296" t="s">
        <v>7077</v>
      </c>
      <c r="D478" s="4296" t="s">
        <v>4674</v>
      </c>
      <c r="E478" s="4297">
        <v>5.0369599999999988</v>
      </c>
    </row>
    <row r="479" spans="2:5">
      <c r="B479" s="4296" t="s">
        <v>6223</v>
      </c>
      <c r="C479" s="4296" t="s">
        <v>8869</v>
      </c>
      <c r="D479" s="4296" t="s">
        <v>5149</v>
      </c>
      <c r="E479" s="4297">
        <v>5.0020800000000012</v>
      </c>
    </row>
    <row r="480" spans="2:5">
      <c r="B480" s="4296" t="s">
        <v>6225</v>
      </c>
      <c r="C480" s="4296" t="s">
        <v>8870</v>
      </c>
      <c r="D480" s="4296" t="s">
        <v>5222</v>
      </c>
      <c r="E480" s="4297">
        <v>5.0000039999999997</v>
      </c>
    </row>
    <row r="481" spans="2:5">
      <c r="B481" s="4296" t="s">
        <v>6227</v>
      </c>
      <c r="C481" s="4296" t="s">
        <v>8871</v>
      </c>
      <c r="D481" s="4296" t="s">
        <v>4897</v>
      </c>
      <c r="E481" s="4297">
        <v>5</v>
      </c>
    </row>
    <row r="482" spans="2:5">
      <c r="B482" s="4296" t="s">
        <v>6229</v>
      </c>
      <c r="C482" s="4296" t="s">
        <v>8872</v>
      </c>
      <c r="D482" s="4296" t="s">
        <v>4897</v>
      </c>
      <c r="E482" s="4297">
        <v>5</v>
      </c>
    </row>
    <row r="483" spans="2:5">
      <c r="B483" s="4296" t="s">
        <v>6231</v>
      </c>
      <c r="C483" s="4296" t="s">
        <v>8873</v>
      </c>
      <c r="D483" s="4296" t="s">
        <v>5222</v>
      </c>
      <c r="E483" s="4297">
        <v>5</v>
      </c>
    </row>
    <row r="484" spans="2:5">
      <c r="B484" s="4296" t="s">
        <v>6233</v>
      </c>
      <c r="C484" s="4296" t="s">
        <v>8874</v>
      </c>
      <c r="D484" s="4296" t="s">
        <v>5222</v>
      </c>
      <c r="E484" s="4297">
        <v>4.9770490000000001</v>
      </c>
    </row>
    <row r="485" spans="2:5">
      <c r="B485" s="4296" t="s">
        <v>6235</v>
      </c>
      <c r="C485" s="4296" t="s">
        <v>7938</v>
      </c>
      <c r="D485" s="4296" t="s">
        <v>4674</v>
      </c>
      <c r="E485" s="4297">
        <v>4.9033369999999996</v>
      </c>
    </row>
    <row r="486" spans="2:5">
      <c r="B486" s="4296" t="s">
        <v>6237</v>
      </c>
      <c r="C486" s="4296" t="s">
        <v>8875</v>
      </c>
      <c r="D486" s="4296" t="s">
        <v>4897</v>
      </c>
      <c r="E486" s="4297">
        <v>4.9000000000000004</v>
      </c>
    </row>
    <row r="487" spans="2:5">
      <c r="B487" s="4296" t="s">
        <v>6239</v>
      </c>
      <c r="C487" s="4296" t="s">
        <v>8876</v>
      </c>
      <c r="D487" s="4296" t="s">
        <v>4897</v>
      </c>
      <c r="E487" s="4297">
        <v>4.8629030000000002</v>
      </c>
    </row>
    <row r="488" spans="2:5">
      <c r="B488" s="4296" t="s">
        <v>6241</v>
      </c>
      <c r="C488" s="4296" t="s">
        <v>7980</v>
      </c>
      <c r="D488" s="4296" t="s">
        <v>5222</v>
      </c>
      <c r="E488" s="4297">
        <v>4.8325369999999994</v>
      </c>
    </row>
    <row r="489" spans="2:5">
      <c r="B489" s="4296" t="s">
        <v>6243</v>
      </c>
      <c r="C489" s="4296" t="s">
        <v>7834</v>
      </c>
      <c r="D489" s="4296" t="s">
        <v>4674</v>
      </c>
      <c r="E489" s="4297">
        <v>4.8273239999999999</v>
      </c>
    </row>
    <row r="490" spans="2:5">
      <c r="B490" s="4296" t="s">
        <v>6245</v>
      </c>
      <c r="C490" s="4296" t="s">
        <v>8877</v>
      </c>
      <c r="D490" s="4296" t="s">
        <v>4897</v>
      </c>
      <c r="E490" s="4297">
        <v>4.8</v>
      </c>
    </row>
    <row r="491" spans="2:5">
      <c r="B491" s="4296" t="s">
        <v>6247</v>
      </c>
      <c r="C491" s="4296" t="s">
        <v>8878</v>
      </c>
      <c r="D491" s="4296" t="s">
        <v>4897</v>
      </c>
      <c r="E491" s="4297">
        <v>4.8</v>
      </c>
    </row>
    <row r="492" spans="2:5">
      <c r="B492" s="4296" t="s">
        <v>6249</v>
      </c>
      <c r="C492" s="4296" t="s">
        <v>8879</v>
      </c>
      <c r="D492" s="4296" t="s">
        <v>4897</v>
      </c>
      <c r="E492" s="4297">
        <v>4.8</v>
      </c>
    </row>
    <row r="493" spans="2:5">
      <c r="B493" s="4296" t="s">
        <v>6251</v>
      </c>
      <c r="C493" s="4296" t="s">
        <v>8880</v>
      </c>
      <c r="D493" s="4296" t="s">
        <v>5234</v>
      </c>
      <c r="E493" s="4297">
        <v>4.7747480000000007</v>
      </c>
    </row>
    <row r="494" spans="2:5">
      <c r="B494" s="4296" t="s">
        <v>6253</v>
      </c>
      <c r="C494" s="4296" t="s">
        <v>8881</v>
      </c>
      <c r="D494" s="4296" t="s">
        <v>4674</v>
      </c>
      <c r="E494" s="4297">
        <v>4.72</v>
      </c>
    </row>
    <row r="495" spans="2:5">
      <c r="B495" s="4296" t="s">
        <v>6255</v>
      </c>
      <c r="C495" s="4296" t="s">
        <v>8882</v>
      </c>
      <c r="D495" s="4296" t="s">
        <v>4897</v>
      </c>
      <c r="E495" s="4297">
        <v>4.6500000000000004</v>
      </c>
    </row>
    <row r="496" spans="2:5">
      <c r="B496" s="4296" t="s">
        <v>6257</v>
      </c>
      <c r="C496" s="4296" t="s">
        <v>8883</v>
      </c>
      <c r="D496" s="4296" t="s">
        <v>4674</v>
      </c>
      <c r="E496" s="4297">
        <v>4.53782</v>
      </c>
    </row>
    <row r="497" spans="2:5">
      <c r="B497" s="4296" t="s">
        <v>6259</v>
      </c>
      <c r="C497" s="4296" t="s">
        <v>8884</v>
      </c>
      <c r="D497" s="4296" t="s">
        <v>4674</v>
      </c>
      <c r="E497" s="4297">
        <v>4.5270000000000001</v>
      </c>
    </row>
    <row r="498" spans="2:5">
      <c r="B498" s="4296" t="s">
        <v>6261</v>
      </c>
      <c r="C498" s="4296" t="s">
        <v>8885</v>
      </c>
      <c r="D498" s="4296" t="s">
        <v>4897</v>
      </c>
      <c r="E498" s="4297">
        <v>4.5</v>
      </c>
    </row>
    <row r="499" spans="2:5">
      <c r="B499" s="4296" t="s">
        <v>6263</v>
      </c>
      <c r="C499" s="4296" t="s">
        <v>8886</v>
      </c>
      <c r="D499" s="4296" t="s">
        <v>5222</v>
      </c>
      <c r="E499" s="4297">
        <v>4.5</v>
      </c>
    </row>
    <row r="500" spans="2:5">
      <c r="B500" s="4296" t="s">
        <v>6265</v>
      </c>
      <c r="C500" s="4296" t="s">
        <v>8887</v>
      </c>
      <c r="D500" s="4296" t="s">
        <v>4897</v>
      </c>
      <c r="E500" s="4297">
        <v>4.4679439999999992</v>
      </c>
    </row>
    <row r="501" spans="2:5">
      <c r="B501" s="4296" t="s">
        <v>6267</v>
      </c>
      <c r="C501" s="4296" t="s">
        <v>8888</v>
      </c>
      <c r="D501" s="4296" t="s">
        <v>4674</v>
      </c>
      <c r="E501" s="4297">
        <v>4.4511000000000003</v>
      </c>
    </row>
    <row r="502" spans="2:5">
      <c r="B502" s="4296" t="s">
        <v>6269</v>
      </c>
      <c r="C502" s="4296" t="s">
        <v>8169</v>
      </c>
      <c r="D502" s="4296" t="s">
        <v>4987</v>
      </c>
      <c r="E502" s="4297">
        <v>4.4113920000000002</v>
      </c>
    </row>
    <row r="503" spans="2:5">
      <c r="B503" s="4296" t="s">
        <v>6271</v>
      </c>
      <c r="C503" s="4296" t="s">
        <v>7060</v>
      </c>
      <c r="D503" s="4296" t="s">
        <v>4674</v>
      </c>
      <c r="E503" s="4297">
        <v>4.3689260000000001</v>
      </c>
    </row>
    <row r="504" spans="2:5">
      <c r="B504" s="4296" t="s">
        <v>6273</v>
      </c>
      <c r="C504" s="4296" t="s">
        <v>8200</v>
      </c>
      <c r="D504" s="4296" t="s">
        <v>5149</v>
      </c>
      <c r="E504" s="4297">
        <v>4.3431829999999998</v>
      </c>
    </row>
    <row r="505" spans="2:5">
      <c r="B505" s="4296" t="s">
        <v>6275</v>
      </c>
      <c r="C505" s="4296" t="s">
        <v>8889</v>
      </c>
      <c r="D505" s="4296" t="s">
        <v>4987</v>
      </c>
      <c r="E505" s="4297">
        <v>4.3120000000000003</v>
      </c>
    </row>
    <row r="506" spans="2:5">
      <c r="B506" s="4296" t="s">
        <v>6277</v>
      </c>
      <c r="C506" s="4296" t="s">
        <v>8890</v>
      </c>
      <c r="D506" s="4296" t="s">
        <v>4897</v>
      </c>
      <c r="E506" s="4297">
        <v>4.2945600000000006</v>
      </c>
    </row>
    <row r="507" spans="2:5">
      <c r="B507" s="4296" t="s">
        <v>6279</v>
      </c>
      <c r="C507" s="4296" t="s">
        <v>8891</v>
      </c>
      <c r="D507" s="4296" t="s">
        <v>4674</v>
      </c>
      <c r="E507" s="4297">
        <v>4.2477580000000001</v>
      </c>
    </row>
    <row r="508" spans="2:5">
      <c r="B508" s="4296" t="s">
        <v>6281</v>
      </c>
      <c r="C508" s="4296" t="s">
        <v>7900</v>
      </c>
      <c r="D508" s="4296" t="s">
        <v>4674</v>
      </c>
      <c r="E508" s="4297">
        <v>4.2421409999999993</v>
      </c>
    </row>
    <row r="509" spans="2:5">
      <c r="B509" s="4296" t="s">
        <v>6283</v>
      </c>
      <c r="C509" s="4296" t="s">
        <v>8892</v>
      </c>
      <c r="D509" s="4296" t="s">
        <v>4674</v>
      </c>
      <c r="E509" s="4297">
        <v>4.2401599999999995</v>
      </c>
    </row>
    <row r="510" spans="2:5">
      <c r="B510" s="4296" t="s">
        <v>6285</v>
      </c>
      <c r="C510" s="4296" t="s">
        <v>8243</v>
      </c>
      <c r="D510" s="4296" t="s">
        <v>5149</v>
      </c>
      <c r="E510" s="4297">
        <v>4.2356319999999998</v>
      </c>
    </row>
    <row r="511" spans="2:5">
      <c r="B511" s="4296" t="s">
        <v>6287</v>
      </c>
      <c r="C511" s="4287" t="s">
        <v>8893</v>
      </c>
      <c r="D511" s="4287" t="s">
        <v>4987</v>
      </c>
      <c r="E511" s="4297">
        <v>4.1472199999999999</v>
      </c>
    </row>
    <row r="512" spans="2:5">
      <c r="B512" s="4296" t="s">
        <v>6289</v>
      </c>
      <c r="C512" s="4287" t="s">
        <v>7862</v>
      </c>
      <c r="D512" s="4287" t="s">
        <v>4674</v>
      </c>
      <c r="E512" s="4297">
        <v>4.1145399999999999</v>
      </c>
    </row>
    <row r="513" spans="2:5">
      <c r="B513" s="4296" t="s">
        <v>6291</v>
      </c>
      <c r="C513" s="4296" t="s">
        <v>8894</v>
      </c>
      <c r="D513" s="4296" t="s">
        <v>5753</v>
      </c>
      <c r="E513" s="4297">
        <v>4</v>
      </c>
    </row>
    <row r="514" spans="2:5">
      <c r="B514" s="4296" t="s">
        <v>6293</v>
      </c>
      <c r="C514" s="4296" t="s">
        <v>8895</v>
      </c>
      <c r="D514" s="4296" t="s">
        <v>4897</v>
      </c>
      <c r="E514" s="4297">
        <v>4</v>
      </c>
    </row>
    <row r="515" spans="2:5">
      <c r="B515" s="4296" t="s">
        <v>6295</v>
      </c>
      <c r="C515" s="4296" t="s">
        <v>8896</v>
      </c>
      <c r="D515" s="4296" t="s">
        <v>5222</v>
      </c>
      <c r="E515" s="4297">
        <v>4</v>
      </c>
    </row>
    <row r="516" spans="2:5">
      <c r="B516" s="4296" t="s">
        <v>6297</v>
      </c>
      <c r="C516" s="4296" t="s">
        <v>8897</v>
      </c>
      <c r="D516" s="4296" t="s">
        <v>5222</v>
      </c>
      <c r="E516" s="4297">
        <v>4</v>
      </c>
    </row>
    <row r="517" spans="2:5">
      <c r="B517" s="4296" t="s">
        <v>6299</v>
      </c>
      <c r="C517" s="4296" t="s">
        <v>8898</v>
      </c>
      <c r="D517" s="4296" t="s">
        <v>4897</v>
      </c>
      <c r="E517" s="4297">
        <v>3.9999999999999991</v>
      </c>
    </row>
    <row r="518" spans="2:5">
      <c r="B518" s="4296" t="s">
        <v>6301</v>
      </c>
      <c r="C518" s="4296" t="s">
        <v>8899</v>
      </c>
      <c r="D518" s="4296" t="s">
        <v>4674</v>
      </c>
      <c r="E518" s="4297">
        <v>3.9768059999999998</v>
      </c>
    </row>
    <row r="519" spans="2:5">
      <c r="B519" s="4296" t="s">
        <v>6303</v>
      </c>
      <c r="C519" s="4296" t="s">
        <v>8211</v>
      </c>
      <c r="D519" s="4296" t="s">
        <v>4674</v>
      </c>
      <c r="E519" s="4297">
        <v>3.9575</v>
      </c>
    </row>
    <row r="520" spans="2:5">
      <c r="B520" s="4296" t="s">
        <v>6305</v>
      </c>
      <c r="C520" s="4296" t="s">
        <v>7910</v>
      </c>
      <c r="D520" s="4296" t="s">
        <v>4674</v>
      </c>
      <c r="E520" s="4297">
        <v>3.9228199999999998</v>
      </c>
    </row>
    <row r="521" spans="2:5">
      <c r="B521" s="4296" t="s">
        <v>6307</v>
      </c>
      <c r="C521" s="4296" t="s">
        <v>8900</v>
      </c>
      <c r="D521" s="4296" t="s">
        <v>5222</v>
      </c>
      <c r="E521" s="4297">
        <v>3.9</v>
      </c>
    </row>
    <row r="522" spans="2:5">
      <c r="B522" s="4296" t="s">
        <v>6309</v>
      </c>
      <c r="C522" s="4296" t="s">
        <v>8901</v>
      </c>
      <c r="D522" s="4296" t="s">
        <v>4987</v>
      </c>
      <c r="E522" s="4297">
        <v>3.8886400000000001</v>
      </c>
    </row>
    <row r="523" spans="2:5">
      <c r="B523" s="4296" t="s">
        <v>6311</v>
      </c>
      <c r="C523" s="4296" t="s">
        <v>8293</v>
      </c>
      <c r="D523" s="4296" t="s">
        <v>4987</v>
      </c>
      <c r="E523" s="4297">
        <v>3.869961</v>
      </c>
    </row>
    <row r="524" spans="2:5">
      <c r="B524" s="4296" t="s">
        <v>6313</v>
      </c>
      <c r="C524" s="4296" t="s">
        <v>8902</v>
      </c>
      <c r="D524" s="4296" t="s">
        <v>4897</v>
      </c>
      <c r="E524" s="4297">
        <v>3.84</v>
      </c>
    </row>
    <row r="525" spans="2:5">
      <c r="B525" s="4296" t="s">
        <v>6315</v>
      </c>
      <c r="C525" s="4296" t="s">
        <v>7084</v>
      </c>
      <c r="D525" s="4296" t="s">
        <v>4674</v>
      </c>
      <c r="E525" s="4297">
        <v>3.8183019999999996</v>
      </c>
    </row>
    <row r="526" spans="2:5">
      <c r="B526" s="4296" t="s">
        <v>6317</v>
      </c>
      <c r="C526" s="4296" t="s">
        <v>7095</v>
      </c>
      <c r="D526" s="4296" t="s">
        <v>4674</v>
      </c>
      <c r="E526" s="4297">
        <v>3.7908750000000002</v>
      </c>
    </row>
    <row r="527" spans="2:5">
      <c r="B527" s="4296" t="s">
        <v>6319</v>
      </c>
      <c r="C527" s="4296" t="s">
        <v>8903</v>
      </c>
      <c r="D527" s="4296" t="s">
        <v>4897</v>
      </c>
      <c r="E527" s="4297">
        <v>3.78</v>
      </c>
    </row>
    <row r="528" spans="2:5">
      <c r="B528" s="4296" t="s">
        <v>6321</v>
      </c>
      <c r="C528" s="4296" t="s">
        <v>7813</v>
      </c>
      <c r="D528" s="4296" t="s">
        <v>4674</v>
      </c>
      <c r="E528" s="4297">
        <v>3.760221</v>
      </c>
    </row>
    <row r="529" spans="2:5">
      <c r="B529" s="4296" t="s">
        <v>6323</v>
      </c>
      <c r="C529" s="4296" t="s">
        <v>5593</v>
      </c>
      <c r="D529" s="4296" t="s">
        <v>4674</v>
      </c>
      <c r="E529" s="4297">
        <v>3.7381440000000001</v>
      </c>
    </row>
    <row r="530" spans="2:5">
      <c r="B530" s="4296" t="s">
        <v>6325</v>
      </c>
      <c r="C530" s="4296" t="s">
        <v>8904</v>
      </c>
      <c r="D530" s="4296" t="s">
        <v>4674</v>
      </c>
      <c r="E530" s="4297">
        <v>3.6991499999999999</v>
      </c>
    </row>
    <row r="531" spans="2:5">
      <c r="B531" s="4296" t="s">
        <v>6327</v>
      </c>
      <c r="C531" s="4296" t="s">
        <v>8905</v>
      </c>
      <c r="D531" s="4296" t="s">
        <v>4897</v>
      </c>
      <c r="E531" s="4297">
        <v>3.6483000000000008</v>
      </c>
    </row>
    <row r="532" spans="2:5">
      <c r="B532" s="4296" t="s">
        <v>6329</v>
      </c>
      <c r="C532" s="4296" t="s">
        <v>8906</v>
      </c>
      <c r="D532" s="4296" t="s">
        <v>5222</v>
      </c>
      <c r="E532" s="4297">
        <v>3.6</v>
      </c>
    </row>
    <row r="533" spans="2:5">
      <c r="B533" s="4296" t="s">
        <v>6331</v>
      </c>
      <c r="C533" s="4296" t="s">
        <v>8907</v>
      </c>
      <c r="D533" s="4296" t="s">
        <v>5222</v>
      </c>
      <c r="E533" s="4297">
        <v>3.6</v>
      </c>
    </row>
    <row r="534" spans="2:5">
      <c r="B534" s="4296" t="s">
        <v>6333</v>
      </c>
      <c r="C534" s="4296" t="s">
        <v>8908</v>
      </c>
      <c r="D534" s="4296" t="s">
        <v>5222</v>
      </c>
      <c r="E534" s="4297">
        <v>3.6</v>
      </c>
    </row>
    <row r="535" spans="2:5">
      <c r="B535" s="4296" t="s">
        <v>6335</v>
      </c>
      <c r="C535" s="4287" t="s">
        <v>8909</v>
      </c>
      <c r="D535" s="4287" t="s">
        <v>4987</v>
      </c>
      <c r="E535" s="4297">
        <v>3.5817600000000001</v>
      </c>
    </row>
    <row r="536" spans="2:5">
      <c r="B536" s="4296" t="s">
        <v>6337</v>
      </c>
      <c r="C536" s="4296" t="s">
        <v>8910</v>
      </c>
      <c r="D536" s="4296" t="s">
        <v>4987</v>
      </c>
      <c r="E536" s="4297">
        <v>3.5485800000000012</v>
      </c>
    </row>
    <row r="537" spans="2:5">
      <c r="B537" s="4296" t="s">
        <v>6339</v>
      </c>
      <c r="C537" s="4296" t="s">
        <v>8911</v>
      </c>
      <c r="D537" s="4296" t="s">
        <v>4674</v>
      </c>
      <c r="E537" s="4297">
        <v>3.5464000000000002</v>
      </c>
    </row>
    <row r="538" spans="2:5">
      <c r="B538" s="4296" t="s">
        <v>6341</v>
      </c>
      <c r="C538" s="4296" t="s">
        <v>8912</v>
      </c>
      <c r="D538" s="4296" t="s">
        <v>5222</v>
      </c>
      <c r="E538" s="4297">
        <v>3.5307700000000004</v>
      </c>
    </row>
    <row r="539" spans="2:5">
      <c r="B539" s="4296" t="s">
        <v>6343</v>
      </c>
      <c r="C539" s="4296" t="s">
        <v>8913</v>
      </c>
      <c r="D539" s="4296" t="s">
        <v>4897</v>
      </c>
      <c r="E539" s="4297">
        <v>3.5</v>
      </c>
    </row>
    <row r="540" spans="2:5">
      <c r="B540" s="4296" t="s">
        <v>6345</v>
      </c>
      <c r="C540" s="4296" t="s">
        <v>7809</v>
      </c>
      <c r="D540" s="4296" t="s">
        <v>4674</v>
      </c>
      <c r="E540" s="4297">
        <v>3.4529000000000001</v>
      </c>
    </row>
    <row r="541" spans="2:5">
      <c r="B541" s="4296" t="s">
        <v>6347</v>
      </c>
      <c r="C541" s="4296" t="s">
        <v>7950</v>
      </c>
      <c r="D541" s="4296" t="s">
        <v>4674</v>
      </c>
      <c r="E541" s="4297">
        <v>3.4491000000000001</v>
      </c>
    </row>
    <row r="542" spans="2:5">
      <c r="B542" s="4296" t="s">
        <v>6349</v>
      </c>
      <c r="C542" s="4296" t="s">
        <v>8914</v>
      </c>
      <c r="D542" s="4296" t="s">
        <v>5222</v>
      </c>
      <c r="E542" s="4297">
        <v>3.3715080000000004</v>
      </c>
    </row>
    <row r="543" spans="2:5">
      <c r="B543" s="4296" t="s">
        <v>6351</v>
      </c>
      <c r="C543" s="4296" t="s">
        <v>7976</v>
      </c>
      <c r="D543" s="4296" t="s">
        <v>5149</v>
      </c>
      <c r="E543" s="4297">
        <v>3.3374879999999996</v>
      </c>
    </row>
    <row r="544" spans="2:5">
      <c r="B544" s="4296" t="s">
        <v>6353</v>
      </c>
      <c r="C544" s="4296" t="s">
        <v>8915</v>
      </c>
      <c r="D544" s="4296" t="s">
        <v>5222</v>
      </c>
      <c r="E544" s="4297">
        <v>3.3193550000000003</v>
      </c>
    </row>
    <row r="545" spans="2:5">
      <c r="B545" s="4296" t="s">
        <v>6355</v>
      </c>
      <c r="C545" s="4296" t="s">
        <v>8265</v>
      </c>
      <c r="D545" s="4296" t="s">
        <v>7519</v>
      </c>
      <c r="E545" s="4297">
        <v>3.3</v>
      </c>
    </row>
    <row r="546" spans="2:5">
      <c r="B546" s="4296" t="s">
        <v>6357</v>
      </c>
      <c r="C546" s="4296" t="s">
        <v>8916</v>
      </c>
      <c r="D546" s="4296" t="s">
        <v>4987</v>
      </c>
      <c r="E546" s="4297">
        <v>3.2855759999999994</v>
      </c>
    </row>
    <row r="547" spans="2:5">
      <c r="B547" s="4296" t="s">
        <v>6359</v>
      </c>
      <c r="C547" s="4296" t="s">
        <v>8917</v>
      </c>
      <c r="D547" s="4296" t="s">
        <v>4987</v>
      </c>
      <c r="E547" s="4297">
        <v>3.280853</v>
      </c>
    </row>
    <row r="548" spans="2:5">
      <c r="B548" s="4296" t="s">
        <v>6361</v>
      </c>
      <c r="C548" s="4296" t="s">
        <v>5326</v>
      </c>
      <c r="D548" s="4296" t="s">
        <v>4674</v>
      </c>
      <c r="E548" s="4297">
        <v>3.26925</v>
      </c>
    </row>
    <row r="549" spans="2:5">
      <c r="B549" s="4296" t="s">
        <v>6363</v>
      </c>
      <c r="C549" s="4296" t="s">
        <v>8918</v>
      </c>
      <c r="D549" s="4296" t="s">
        <v>4897</v>
      </c>
      <c r="E549" s="4297">
        <v>3.24</v>
      </c>
    </row>
    <row r="550" spans="2:5">
      <c r="B550" s="4296" t="s">
        <v>6365</v>
      </c>
      <c r="C550" s="4296" t="s">
        <v>8361</v>
      </c>
      <c r="D550" s="4296" t="s">
        <v>6044</v>
      </c>
      <c r="E550" s="4297">
        <v>3.2287499999999998</v>
      </c>
    </row>
    <row r="551" spans="2:5">
      <c r="B551" s="4296" t="s">
        <v>6367</v>
      </c>
      <c r="C551" s="4296" t="s">
        <v>8342</v>
      </c>
      <c r="D551" s="4296" t="s">
        <v>4987</v>
      </c>
      <c r="E551" s="4297">
        <v>3.2004000000000006</v>
      </c>
    </row>
    <row r="552" spans="2:5">
      <c r="B552" s="4296" t="s">
        <v>6369</v>
      </c>
      <c r="C552" s="4296" t="s">
        <v>8343</v>
      </c>
      <c r="D552" s="4296" t="s">
        <v>4987</v>
      </c>
      <c r="E552" s="4297">
        <v>3.177</v>
      </c>
    </row>
    <row r="553" spans="2:5">
      <c r="B553" s="4296" t="s">
        <v>6371</v>
      </c>
      <c r="C553" s="4296" t="s">
        <v>8919</v>
      </c>
      <c r="D553" s="4296" t="s">
        <v>4897</v>
      </c>
      <c r="E553" s="4297">
        <v>3.15</v>
      </c>
    </row>
    <row r="554" spans="2:5">
      <c r="B554" s="4296" t="s">
        <v>6373</v>
      </c>
      <c r="C554" s="4296" t="s">
        <v>8920</v>
      </c>
      <c r="D554" s="4296" t="s">
        <v>4897</v>
      </c>
      <c r="E554" s="4297">
        <v>3.1199999999999992</v>
      </c>
    </row>
    <row r="555" spans="2:5">
      <c r="B555" s="4296" t="s">
        <v>6375</v>
      </c>
      <c r="C555" s="4296" t="s">
        <v>8921</v>
      </c>
      <c r="D555" s="4296" t="s">
        <v>4897</v>
      </c>
      <c r="E555" s="4297">
        <v>3.1</v>
      </c>
    </row>
    <row r="556" spans="2:5">
      <c r="B556" s="4296" t="s">
        <v>6377</v>
      </c>
      <c r="C556" s="4296" t="s">
        <v>8922</v>
      </c>
      <c r="D556" s="4296" t="s">
        <v>4897</v>
      </c>
      <c r="E556" s="4297">
        <v>3.1</v>
      </c>
    </row>
    <row r="557" spans="2:5">
      <c r="B557" s="4296" t="s">
        <v>6379</v>
      </c>
      <c r="C557" s="4296" t="s">
        <v>8923</v>
      </c>
      <c r="D557" s="4296" t="s">
        <v>4897</v>
      </c>
      <c r="E557" s="4297">
        <v>3.1</v>
      </c>
    </row>
    <row r="558" spans="2:5">
      <c r="B558" s="4296" t="s">
        <v>6381</v>
      </c>
      <c r="C558" s="4296" t="s">
        <v>8924</v>
      </c>
      <c r="D558" s="4296" t="s">
        <v>4897</v>
      </c>
      <c r="E558" s="4297">
        <v>3.0983609999999997</v>
      </c>
    </row>
    <row r="559" spans="2:5">
      <c r="B559" s="4296" t="s">
        <v>6383</v>
      </c>
      <c r="C559" s="4296" t="s">
        <v>8925</v>
      </c>
      <c r="D559" s="4296" t="s">
        <v>4674</v>
      </c>
      <c r="E559" s="4297">
        <v>3.0878080000000003</v>
      </c>
    </row>
    <row r="560" spans="2:5">
      <c r="B560" s="4296" t="s">
        <v>6385</v>
      </c>
      <c r="C560" s="4287" t="s">
        <v>8926</v>
      </c>
      <c r="D560" s="4287" t="s">
        <v>4987</v>
      </c>
      <c r="E560" s="4297">
        <v>3.0769199999999999</v>
      </c>
    </row>
    <row r="561" spans="2:5">
      <c r="B561" s="4296" t="s">
        <v>6387</v>
      </c>
      <c r="C561" s="4287" t="s">
        <v>6336</v>
      </c>
      <c r="D561" s="4287" t="s">
        <v>4987</v>
      </c>
      <c r="E561" s="4297">
        <v>3.0570699999999995</v>
      </c>
    </row>
    <row r="562" spans="2:5">
      <c r="B562" s="4296" t="s">
        <v>6389</v>
      </c>
      <c r="C562" s="4296" t="s">
        <v>5310</v>
      </c>
      <c r="D562" s="4296" t="s">
        <v>4674</v>
      </c>
      <c r="E562" s="4297">
        <v>3.0221</v>
      </c>
    </row>
    <row r="563" spans="2:5">
      <c r="B563" s="4296" t="s">
        <v>6391</v>
      </c>
      <c r="C563" s="4296" t="s">
        <v>8927</v>
      </c>
      <c r="D563" s="4296" t="s">
        <v>4897</v>
      </c>
      <c r="E563" s="4297">
        <v>3.0000000000000004</v>
      </c>
    </row>
    <row r="564" spans="2:5">
      <c r="B564" s="4296" t="s">
        <v>6393</v>
      </c>
      <c r="C564" s="4296" t="s">
        <v>8928</v>
      </c>
      <c r="D564" s="4296" t="s">
        <v>5222</v>
      </c>
      <c r="E564" s="4297">
        <v>3.0000000000000004</v>
      </c>
    </row>
    <row r="565" spans="2:5">
      <c r="B565" s="4296" t="s">
        <v>6395</v>
      </c>
      <c r="C565" s="4296" t="s">
        <v>8929</v>
      </c>
      <c r="D565" s="4296" t="s">
        <v>4897</v>
      </c>
      <c r="E565" s="4297">
        <v>3</v>
      </c>
    </row>
    <row r="566" spans="2:5">
      <c r="B566" s="4296" t="s">
        <v>6397</v>
      </c>
      <c r="C566" s="4296" t="s">
        <v>8930</v>
      </c>
      <c r="D566" s="4296" t="s">
        <v>4897</v>
      </c>
      <c r="E566" s="4297">
        <v>3</v>
      </c>
    </row>
    <row r="567" spans="2:5">
      <c r="B567" s="4296" t="s">
        <v>6399</v>
      </c>
      <c r="C567" s="4296" t="s">
        <v>8931</v>
      </c>
      <c r="D567" s="4296" t="s">
        <v>4897</v>
      </c>
      <c r="E567" s="4297">
        <v>3</v>
      </c>
    </row>
    <row r="568" spans="2:5">
      <c r="B568" s="4296" t="s">
        <v>6401</v>
      </c>
      <c r="C568" s="4296" t="s">
        <v>8932</v>
      </c>
      <c r="D568" s="4296" t="s">
        <v>4897</v>
      </c>
      <c r="E568" s="4297">
        <v>3</v>
      </c>
    </row>
    <row r="569" spans="2:5">
      <c r="B569" s="4296" t="s">
        <v>6403</v>
      </c>
      <c r="C569" s="4296" t="s">
        <v>8933</v>
      </c>
      <c r="D569" s="4296" t="s">
        <v>4897</v>
      </c>
      <c r="E569" s="4297">
        <v>3</v>
      </c>
    </row>
    <row r="570" spans="2:5">
      <c r="B570" s="4296" t="s">
        <v>6405</v>
      </c>
      <c r="C570" s="4296" t="s">
        <v>8934</v>
      </c>
      <c r="D570" s="4296" t="s">
        <v>4897</v>
      </c>
      <c r="E570" s="4297">
        <v>3</v>
      </c>
    </row>
    <row r="571" spans="2:5">
      <c r="B571" s="4296" t="s">
        <v>6407</v>
      </c>
      <c r="C571" s="4296" t="s">
        <v>8935</v>
      </c>
      <c r="D571" s="4296" t="s">
        <v>4897</v>
      </c>
      <c r="E571" s="4297">
        <v>3</v>
      </c>
    </row>
    <row r="572" spans="2:5">
      <c r="B572" s="4296" t="s">
        <v>6409</v>
      </c>
      <c r="C572" s="4296" t="s">
        <v>8936</v>
      </c>
      <c r="D572" s="4296" t="s">
        <v>4897</v>
      </c>
      <c r="E572" s="4297">
        <v>3</v>
      </c>
    </row>
    <row r="573" spans="2:5">
      <c r="B573" s="4296" t="s">
        <v>6411</v>
      </c>
      <c r="C573" s="4296" t="s">
        <v>8937</v>
      </c>
      <c r="D573" s="4296" t="s">
        <v>4897</v>
      </c>
      <c r="E573" s="4297">
        <v>3</v>
      </c>
    </row>
    <row r="574" spans="2:5">
      <c r="B574" s="4296" t="s">
        <v>6413</v>
      </c>
      <c r="C574" s="4296" t="s">
        <v>8938</v>
      </c>
      <c r="D574" s="4296" t="s">
        <v>4897</v>
      </c>
      <c r="E574" s="4297">
        <v>3</v>
      </c>
    </row>
    <row r="575" spans="2:5">
      <c r="B575" s="4296" t="s">
        <v>6415</v>
      </c>
      <c r="C575" s="4296" t="s">
        <v>8939</v>
      </c>
      <c r="D575" s="4296" t="s">
        <v>4897</v>
      </c>
      <c r="E575" s="4297">
        <v>3</v>
      </c>
    </row>
    <row r="576" spans="2:5">
      <c r="B576" s="4296" t="s">
        <v>6417</v>
      </c>
      <c r="C576" s="4296" t="s">
        <v>8940</v>
      </c>
      <c r="D576" s="4296" t="s">
        <v>4897</v>
      </c>
      <c r="E576" s="4297">
        <v>3</v>
      </c>
    </row>
    <row r="577" spans="2:5">
      <c r="B577" s="4296" t="s">
        <v>6419</v>
      </c>
      <c r="C577" s="4296" t="s">
        <v>8941</v>
      </c>
      <c r="D577" s="4296" t="s">
        <v>4897</v>
      </c>
      <c r="E577" s="4297">
        <v>3</v>
      </c>
    </row>
    <row r="578" spans="2:5">
      <c r="B578" s="4296" t="s">
        <v>6421</v>
      </c>
      <c r="C578" s="4296" t="s">
        <v>8942</v>
      </c>
      <c r="D578" s="4296" t="s">
        <v>4897</v>
      </c>
      <c r="E578" s="4297">
        <v>3</v>
      </c>
    </row>
    <row r="579" spans="2:5">
      <c r="B579" s="4296" t="s">
        <v>6423</v>
      </c>
      <c r="C579" s="4296" t="s">
        <v>8943</v>
      </c>
      <c r="D579" s="4296" t="s">
        <v>4897</v>
      </c>
      <c r="E579" s="4297">
        <v>3</v>
      </c>
    </row>
    <row r="580" spans="2:5">
      <c r="B580" s="4296" t="s">
        <v>6425</v>
      </c>
      <c r="C580" s="4296" t="s">
        <v>8944</v>
      </c>
      <c r="D580" s="4296" t="s">
        <v>4897</v>
      </c>
      <c r="E580" s="4297">
        <v>3</v>
      </c>
    </row>
    <row r="581" spans="2:5">
      <c r="B581" s="4296" t="s">
        <v>6427</v>
      </c>
      <c r="C581" s="4296" t="s">
        <v>8945</v>
      </c>
      <c r="D581" s="4296" t="s">
        <v>5222</v>
      </c>
      <c r="E581" s="4297">
        <v>3</v>
      </c>
    </row>
    <row r="582" spans="2:5">
      <c r="B582" s="4296" t="s">
        <v>6429</v>
      </c>
      <c r="C582" s="4296" t="s">
        <v>8946</v>
      </c>
      <c r="D582" s="4296" t="s">
        <v>5222</v>
      </c>
      <c r="E582" s="4297">
        <v>3</v>
      </c>
    </row>
    <row r="583" spans="2:5">
      <c r="B583" s="4296" t="s">
        <v>6431</v>
      </c>
      <c r="C583" s="4296" t="s">
        <v>8947</v>
      </c>
      <c r="D583" s="4296" t="s">
        <v>4897</v>
      </c>
      <c r="E583" s="4297">
        <v>2.9999999999999996</v>
      </c>
    </row>
    <row r="584" spans="2:5">
      <c r="B584" s="4296" t="s">
        <v>6433</v>
      </c>
      <c r="C584" s="4287" t="s">
        <v>8948</v>
      </c>
      <c r="D584" s="4287" t="s">
        <v>4674</v>
      </c>
      <c r="E584" s="4297">
        <v>2.9248199999999995</v>
      </c>
    </row>
    <row r="585" spans="2:5">
      <c r="B585" s="4296" t="s">
        <v>6435</v>
      </c>
      <c r="C585" s="4296" t="s">
        <v>8949</v>
      </c>
      <c r="D585" s="4296" t="s">
        <v>4897</v>
      </c>
      <c r="E585" s="4297">
        <v>2.85</v>
      </c>
    </row>
    <row r="586" spans="2:5">
      <c r="B586" s="4296" t="s">
        <v>6437</v>
      </c>
      <c r="C586" s="4296" t="s">
        <v>8950</v>
      </c>
      <c r="D586" s="4296" t="s">
        <v>5222</v>
      </c>
      <c r="E586" s="4297">
        <v>2.8252320000000002</v>
      </c>
    </row>
    <row r="587" spans="2:5">
      <c r="B587" s="4296" t="s">
        <v>6439</v>
      </c>
      <c r="C587" s="4296" t="s">
        <v>8951</v>
      </c>
      <c r="D587" s="4296" t="s">
        <v>4897</v>
      </c>
      <c r="E587" s="4297">
        <v>2.8</v>
      </c>
    </row>
    <row r="588" spans="2:5">
      <c r="B588" s="4296" t="s">
        <v>6441</v>
      </c>
      <c r="C588" s="4296" t="s">
        <v>8952</v>
      </c>
      <c r="D588" s="4296" t="s">
        <v>4897</v>
      </c>
      <c r="E588" s="4297">
        <v>2.79</v>
      </c>
    </row>
    <row r="589" spans="2:5">
      <c r="B589" s="4296" t="s">
        <v>6443</v>
      </c>
      <c r="C589" s="4296" t="s">
        <v>8953</v>
      </c>
      <c r="D589" s="4296" t="s">
        <v>4897</v>
      </c>
      <c r="E589" s="4297">
        <v>2.79</v>
      </c>
    </row>
    <row r="590" spans="2:5">
      <c r="B590" s="4296" t="s">
        <v>6445</v>
      </c>
      <c r="C590" s="4296" t="s">
        <v>8954</v>
      </c>
      <c r="D590" s="4296" t="s">
        <v>4897</v>
      </c>
      <c r="E590" s="4297">
        <v>2.79</v>
      </c>
    </row>
    <row r="591" spans="2:5">
      <c r="B591" s="4296" t="s">
        <v>6447</v>
      </c>
      <c r="C591" s="4296" t="s">
        <v>8955</v>
      </c>
      <c r="D591" s="4296" t="s">
        <v>4897</v>
      </c>
      <c r="E591" s="4297">
        <v>2.73</v>
      </c>
    </row>
    <row r="592" spans="2:5">
      <c r="B592" s="4296" t="s">
        <v>6449</v>
      </c>
      <c r="C592" s="4296" t="s">
        <v>8162</v>
      </c>
      <c r="D592" s="4296" t="s">
        <v>5149</v>
      </c>
      <c r="E592" s="4297">
        <v>2.710858</v>
      </c>
    </row>
    <row r="593" spans="2:5">
      <c r="B593" s="4296" t="s">
        <v>6451</v>
      </c>
      <c r="C593" s="4296" t="s">
        <v>8245</v>
      </c>
      <c r="D593" s="4296" t="s">
        <v>4987</v>
      </c>
      <c r="E593" s="4297">
        <v>2.7084799999999998</v>
      </c>
    </row>
    <row r="594" spans="2:5">
      <c r="B594" s="4296" t="s">
        <v>6453</v>
      </c>
      <c r="C594" s="4296" t="s">
        <v>7912</v>
      </c>
      <c r="D594" s="4296" t="s">
        <v>4674</v>
      </c>
      <c r="E594" s="4297">
        <v>2.7012899999999997</v>
      </c>
    </row>
    <row r="595" spans="2:5">
      <c r="B595" s="4296" t="s">
        <v>6455</v>
      </c>
      <c r="C595" s="4296" t="s">
        <v>8956</v>
      </c>
      <c r="D595" s="4296" t="s">
        <v>4897</v>
      </c>
      <c r="E595" s="4297">
        <v>2.6999999999999997</v>
      </c>
    </row>
    <row r="596" spans="2:5">
      <c r="B596" s="4296" t="s">
        <v>6457</v>
      </c>
      <c r="C596" s="4296" t="s">
        <v>7885</v>
      </c>
      <c r="D596" s="4296" t="s">
        <v>4674</v>
      </c>
      <c r="E596" s="4297">
        <v>2.67584</v>
      </c>
    </row>
    <row r="597" spans="2:5">
      <c r="B597" s="4296" t="s">
        <v>6459</v>
      </c>
      <c r="C597" s="4296" t="s">
        <v>8194</v>
      </c>
      <c r="D597" s="4296" t="s">
        <v>4897</v>
      </c>
      <c r="E597" s="4297">
        <v>2.6722600000000001</v>
      </c>
    </row>
    <row r="598" spans="2:5">
      <c r="B598" s="4296" t="s">
        <v>6461</v>
      </c>
      <c r="C598" s="4287" t="s">
        <v>8957</v>
      </c>
      <c r="D598" s="4287" t="s">
        <v>5149</v>
      </c>
      <c r="E598" s="4297">
        <v>2.6657999999999999</v>
      </c>
    </row>
    <row r="599" spans="2:5">
      <c r="B599" s="4296" t="s">
        <v>6463</v>
      </c>
      <c r="C599" s="4296" t="s">
        <v>7947</v>
      </c>
      <c r="D599" s="4296" t="s">
        <v>5222</v>
      </c>
      <c r="E599" s="4297">
        <v>2.65</v>
      </c>
    </row>
    <row r="600" spans="2:5">
      <c r="B600" s="4296" t="s">
        <v>6465</v>
      </c>
      <c r="C600" s="4296" t="s">
        <v>7944</v>
      </c>
      <c r="D600" s="4296" t="s">
        <v>5222</v>
      </c>
      <c r="E600" s="4297">
        <v>2.64</v>
      </c>
    </row>
    <row r="601" spans="2:5">
      <c r="B601" s="4296" t="s">
        <v>6467</v>
      </c>
      <c r="C601" s="4296" t="s">
        <v>8958</v>
      </c>
      <c r="D601" s="4296" t="s">
        <v>4674</v>
      </c>
      <c r="E601" s="4297">
        <v>2.5530349999999999</v>
      </c>
    </row>
    <row r="602" spans="2:5">
      <c r="B602" s="4296" t="s">
        <v>6469</v>
      </c>
      <c r="C602" s="4296" t="s">
        <v>8959</v>
      </c>
      <c r="D602" s="4296" t="s">
        <v>5222</v>
      </c>
      <c r="E602" s="4297">
        <v>2.5499999999999998</v>
      </c>
    </row>
    <row r="603" spans="2:5">
      <c r="B603" s="4296" t="s">
        <v>6471</v>
      </c>
      <c r="C603" s="4296" t="s">
        <v>8960</v>
      </c>
      <c r="D603" s="4296" t="s">
        <v>4897</v>
      </c>
      <c r="E603" s="4297">
        <v>2.5499999999999998</v>
      </c>
    </row>
    <row r="604" spans="2:5">
      <c r="B604" s="4296" t="s">
        <v>6473</v>
      </c>
      <c r="C604" s="4296" t="s">
        <v>8497</v>
      </c>
      <c r="D604" s="4296" t="s">
        <v>4987</v>
      </c>
      <c r="E604" s="4297">
        <v>2.5379200000000006</v>
      </c>
    </row>
    <row r="605" spans="2:5">
      <c r="B605" s="4296" t="s">
        <v>6475</v>
      </c>
      <c r="C605" s="4296" t="s">
        <v>8961</v>
      </c>
      <c r="D605" s="4296" t="s">
        <v>4897</v>
      </c>
      <c r="E605" s="4297">
        <v>2.52</v>
      </c>
    </row>
    <row r="606" spans="2:5">
      <c r="B606" s="4296" t="s">
        <v>6477</v>
      </c>
      <c r="C606" s="4296" t="s">
        <v>8962</v>
      </c>
      <c r="D606" s="4296" t="s">
        <v>4897</v>
      </c>
      <c r="E606" s="4297">
        <v>2.52</v>
      </c>
    </row>
    <row r="607" spans="2:5">
      <c r="B607" s="4296" t="s">
        <v>6479</v>
      </c>
      <c r="C607" s="4296" t="s">
        <v>8963</v>
      </c>
      <c r="D607" s="4296" t="s">
        <v>4897</v>
      </c>
      <c r="E607" s="4297">
        <v>2.5</v>
      </c>
    </row>
    <row r="608" spans="2:5">
      <c r="B608" s="4296" t="s">
        <v>6481</v>
      </c>
      <c r="C608" s="4296" t="s">
        <v>8964</v>
      </c>
      <c r="D608" s="4296" t="s">
        <v>4897</v>
      </c>
      <c r="E608" s="4297">
        <v>2.5</v>
      </c>
    </row>
    <row r="609" spans="2:5">
      <c r="B609" s="4296" t="s">
        <v>6483</v>
      </c>
      <c r="C609" s="4296" t="s">
        <v>8965</v>
      </c>
      <c r="D609" s="4296" t="s">
        <v>5222</v>
      </c>
      <c r="E609" s="4297">
        <v>2.5</v>
      </c>
    </row>
    <row r="610" spans="2:5">
      <c r="B610" s="4296" t="s">
        <v>6485</v>
      </c>
      <c r="C610" s="4296" t="s">
        <v>8250</v>
      </c>
      <c r="D610" s="4296" t="s">
        <v>4987</v>
      </c>
      <c r="E610" s="4297">
        <v>2.4819200000000006</v>
      </c>
    </row>
    <row r="611" spans="2:5">
      <c r="B611" s="4296" t="s">
        <v>6487</v>
      </c>
      <c r="C611" s="4287" t="s">
        <v>8966</v>
      </c>
      <c r="D611" s="4287" t="s">
        <v>5222</v>
      </c>
      <c r="E611" s="4297">
        <v>2.4692319999999999</v>
      </c>
    </row>
    <row r="612" spans="2:5">
      <c r="B612" s="4296" t="s">
        <v>6489</v>
      </c>
      <c r="C612" s="4296" t="s">
        <v>8967</v>
      </c>
      <c r="D612" s="4296" t="s">
        <v>4987</v>
      </c>
      <c r="E612" s="4297">
        <v>2.4597999999999995</v>
      </c>
    </row>
    <row r="613" spans="2:5">
      <c r="B613" s="4296" t="s">
        <v>6491</v>
      </c>
      <c r="C613" s="4296" t="s">
        <v>8968</v>
      </c>
      <c r="D613" s="4296" t="s">
        <v>5222</v>
      </c>
      <c r="E613" s="4297">
        <v>2.44</v>
      </c>
    </row>
    <row r="614" spans="2:5">
      <c r="B614" s="4296" t="s">
        <v>6493</v>
      </c>
      <c r="C614" s="4287" t="s">
        <v>8969</v>
      </c>
      <c r="D614" s="4287" t="s">
        <v>4897</v>
      </c>
      <c r="E614" s="4297">
        <v>2.4</v>
      </c>
    </row>
    <row r="615" spans="2:5">
      <c r="B615" s="4296" t="s">
        <v>6495</v>
      </c>
      <c r="C615" s="4296" t="s">
        <v>8970</v>
      </c>
      <c r="D615" s="4296" t="s">
        <v>4897</v>
      </c>
      <c r="E615" s="4297">
        <v>2.4</v>
      </c>
    </row>
    <row r="616" spans="2:5">
      <c r="B616" s="4296" t="s">
        <v>6497</v>
      </c>
      <c r="C616" s="4296" t="s">
        <v>8971</v>
      </c>
      <c r="D616" s="4296" t="s">
        <v>4897</v>
      </c>
      <c r="E616" s="4297">
        <v>2.4</v>
      </c>
    </row>
    <row r="617" spans="2:5">
      <c r="B617" s="4296" t="s">
        <v>6499</v>
      </c>
      <c r="C617" s="4296" t="s">
        <v>8972</v>
      </c>
      <c r="D617" s="4296" t="s">
        <v>4897</v>
      </c>
      <c r="E617" s="4297">
        <v>2.4</v>
      </c>
    </row>
    <row r="618" spans="2:5">
      <c r="B618" s="4296" t="s">
        <v>6501</v>
      </c>
      <c r="C618" s="4296" t="s">
        <v>8973</v>
      </c>
      <c r="D618" s="4296" t="s">
        <v>4897</v>
      </c>
      <c r="E618" s="4297">
        <v>2.4</v>
      </c>
    </row>
    <row r="619" spans="2:5">
      <c r="B619" s="4296" t="s">
        <v>6503</v>
      </c>
      <c r="C619" s="4296" t="s">
        <v>8974</v>
      </c>
      <c r="D619" s="4296" t="s">
        <v>4897</v>
      </c>
      <c r="E619" s="4297">
        <v>2.4</v>
      </c>
    </row>
    <row r="620" spans="2:5">
      <c r="B620" s="4296" t="s">
        <v>6505</v>
      </c>
      <c r="C620" s="4296" t="s">
        <v>8975</v>
      </c>
      <c r="D620" s="4296" t="s">
        <v>5222</v>
      </c>
      <c r="E620" s="4297">
        <v>2.4</v>
      </c>
    </row>
    <row r="621" spans="2:5">
      <c r="B621" s="4296" t="s">
        <v>6507</v>
      </c>
      <c r="C621" s="4296" t="s">
        <v>8976</v>
      </c>
      <c r="D621" s="4296" t="s">
        <v>5222</v>
      </c>
      <c r="E621" s="4297">
        <v>2.4</v>
      </c>
    </row>
    <row r="622" spans="2:5">
      <c r="B622" s="4296" t="s">
        <v>6509</v>
      </c>
      <c r="C622" s="4296" t="s">
        <v>8977</v>
      </c>
      <c r="D622" s="4296" t="s">
        <v>5222</v>
      </c>
      <c r="E622" s="4297">
        <v>2.4</v>
      </c>
    </row>
    <row r="623" spans="2:5">
      <c r="B623" s="4296" t="s">
        <v>6511</v>
      </c>
      <c r="C623" s="4296" t="s">
        <v>8978</v>
      </c>
      <c r="D623" s="4296" t="s">
        <v>5222</v>
      </c>
      <c r="E623" s="4297">
        <v>2.4</v>
      </c>
    </row>
    <row r="624" spans="2:5">
      <c r="B624" s="4296" t="s">
        <v>6513</v>
      </c>
      <c r="C624" s="4296" t="s">
        <v>8979</v>
      </c>
      <c r="D624" s="4296" t="s">
        <v>5222</v>
      </c>
      <c r="E624" s="4297">
        <v>2.380274</v>
      </c>
    </row>
    <row r="625" spans="2:5">
      <c r="B625" s="4296" t="s">
        <v>6515</v>
      </c>
      <c r="C625" s="4296" t="s">
        <v>8980</v>
      </c>
      <c r="D625" s="4296" t="s">
        <v>5222</v>
      </c>
      <c r="E625" s="4297">
        <v>2.3733339999999998</v>
      </c>
    </row>
    <row r="626" spans="2:5">
      <c r="B626" s="4296" t="s">
        <v>6517</v>
      </c>
      <c r="C626" s="4296" t="s">
        <v>8111</v>
      </c>
      <c r="D626" s="4296" t="s">
        <v>5149</v>
      </c>
      <c r="E626" s="4297">
        <v>2.3714710000000001</v>
      </c>
    </row>
    <row r="627" spans="2:5">
      <c r="B627" s="4296" t="s">
        <v>6519</v>
      </c>
      <c r="C627" s="4296" t="s">
        <v>8981</v>
      </c>
      <c r="D627" s="4296" t="s">
        <v>5222</v>
      </c>
      <c r="E627" s="4297">
        <v>2.367124</v>
      </c>
    </row>
    <row r="628" spans="2:5">
      <c r="B628" s="4296" t="s">
        <v>6521</v>
      </c>
      <c r="C628" s="4296" t="s">
        <v>8982</v>
      </c>
      <c r="D628" s="4296" t="s">
        <v>4674</v>
      </c>
      <c r="E628" s="4297">
        <v>2.3184999999999998</v>
      </c>
    </row>
    <row r="629" spans="2:5">
      <c r="B629" s="4296" t="s">
        <v>6523</v>
      </c>
      <c r="C629" s="4296" t="s">
        <v>8983</v>
      </c>
      <c r="D629" s="4296" t="s">
        <v>4674</v>
      </c>
      <c r="E629" s="4297">
        <v>2.3184999999999998</v>
      </c>
    </row>
    <row r="630" spans="2:5">
      <c r="B630" s="4296" t="s">
        <v>6525</v>
      </c>
      <c r="C630" s="4296" t="s">
        <v>8984</v>
      </c>
      <c r="D630" s="4296" t="s">
        <v>5149</v>
      </c>
      <c r="E630" s="4297">
        <v>2.3099220000000003</v>
      </c>
    </row>
    <row r="631" spans="2:5">
      <c r="B631" s="4296" t="s">
        <v>6527</v>
      </c>
      <c r="C631" s="4296" t="s">
        <v>8279</v>
      </c>
      <c r="D631" s="4296" t="s">
        <v>5222</v>
      </c>
      <c r="E631" s="4297">
        <v>2.2999999999999998</v>
      </c>
    </row>
    <row r="632" spans="2:5">
      <c r="B632" s="4296" t="s">
        <v>6529</v>
      </c>
      <c r="C632" s="4296" t="s">
        <v>8985</v>
      </c>
      <c r="D632" s="4296" t="s">
        <v>4987</v>
      </c>
      <c r="E632" s="4297">
        <v>2.2836799999999995</v>
      </c>
    </row>
    <row r="633" spans="2:5">
      <c r="B633" s="4296" t="s">
        <v>6531</v>
      </c>
      <c r="C633" s="4296" t="s">
        <v>8400</v>
      </c>
      <c r="D633" s="4296" t="s">
        <v>4897</v>
      </c>
      <c r="E633" s="4297">
        <v>2.2132610000000001</v>
      </c>
    </row>
    <row r="634" spans="2:5">
      <c r="B634" s="4296" t="s">
        <v>6533</v>
      </c>
      <c r="C634" s="4296" t="s">
        <v>8986</v>
      </c>
      <c r="D634" s="4296" t="s">
        <v>4897</v>
      </c>
      <c r="E634" s="4297">
        <v>2.2119449999999996</v>
      </c>
    </row>
    <row r="635" spans="2:5">
      <c r="B635" s="4296" t="s">
        <v>6535</v>
      </c>
      <c r="C635" s="4296" t="s">
        <v>8318</v>
      </c>
      <c r="D635" s="4296" t="s">
        <v>4897</v>
      </c>
      <c r="E635" s="4297">
        <v>2.2087920000000008</v>
      </c>
    </row>
    <row r="636" spans="2:5">
      <c r="B636" s="4296" t="s">
        <v>6537</v>
      </c>
      <c r="C636" s="4296" t="s">
        <v>8987</v>
      </c>
      <c r="D636" s="4296" t="s">
        <v>4897</v>
      </c>
      <c r="E636" s="4297">
        <v>2.2000000000000002</v>
      </c>
    </row>
    <row r="637" spans="2:5">
      <c r="B637" s="4296" t="s">
        <v>6539</v>
      </c>
      <c r="C637" s="4296" t="s">
        <v>8329</v>
      </c>
      <c r="D637" s="4296" t="s">
        <v>4987</v>
      </c>
      <c r="E637" s="4297">
        <v>2.1948310000000002</v>
      </c>
    </row>
    <row r="638" spans="2:5">
      <c r="B638" s="4296" t="s">
        <v>6541</v>
      </c>
      <c r="C638" s="4296" t="s">
        <v>8988</v>
      </c>
      <c r="D638" s="4296" t="s">
        <v>5149</v>
      </c>
      <c r="E638" s="4297">
        <v>2.1455000000000002</v>
      </c>
    </row>
    <row r="639" spans="2:5">
      <c r="B639" s="4296" t="s">
        <v>6543</v>
      </c>
      <c r="C639" s="4296" t="s">
        <v>8086</v>
      </c>
      <c r="D639" s="4296" t="s">
        <v>5149</v>
      </c>
      <c r="E639" s="4297">
        <v>2.1393470000000003</v>
      </c>
    </row>
    <row r="640" spans="2:5">
      <c r="B640" s="4296" t="s">
        <v>6545</v>
      </c>
      <c r="C640" s="4296" t="s">
        <v>8989</v>
      </c>
      <c r="D640" s="4296" t="s">
        <v>4897</v>
      </c>
      <c r="E640" s="4297">
        <v>2.1</v>
      </c>
    </row>
    <row r="641" spans="2:5">
      <c r="B641" s="4296" t="s">
        <v>6547</v>
      </c>
      <c r="C641" s="4296" t="s">
        <v>8990</v>
      </c>
      <c r="D641" s="4296" t="s">
        <v>5222</v>
      </c>
      <c r="E641" s="4297">
        <v>2.1</v>
      </c>
    </row>
    <row r="642" spans="2:5">
      <c r="B642" s="4296" t="s">
        <v>6549</v>
      </c>
      <c r="C642" s="4296" t="s">
        <v>8371</v>
      </c>
      <c r="D642" s="4296" t="s">
        <v>5222</v>
      </c>
      <c r="E642" s="4297">
        <v>2.1</v>
      </c>
    </row>
    <row r="643" spans="2:5">
      <c r="B643" s="4296" t="s">
        <v>6551</v>
      </c>
      <c r="C643" s="4296" t="s">
        <v>8991</v>
      </c>
      <c r="D643" s="4296" t="s">
        <v>4897</v>
      </c>
      <c r="E643" s="4297">
        <v>2.0999999999999996</v>
      </c>
    </row>
    <row r="644" spans="2:5">
      <c r="B644" s="4296" t="s">
        <v>6553</v>
      </c>
      <c r="C644" s="4296" t="s">
        <v>8012</v>
      </c>
      <c r="D644" s="4296" t="s">
        <v>4987</v>
      </c>
      <c r="E644" s="4297">
        <v>2.0832000000000002</v>
      </c>
    </row>
    <row r="645" spans="2:5">
      <c r="B645" s="4296" t="s">
        <v>6555</v>
      </c>
      <c r="C645" s="4296" t="s">
        <v>8992</v>
      </c>
      <c r="D645" s="4296" t="s">
        <v>4897</v>
      </c>
      <c r="E645" s="4297">
        <v>2.08</v>
      </c>
    </row>
    <row r="646" spans="2:5">
      <c r="B646" s="4296" t="s">
        <v>6557</v>
      </c>
      <c r="C646" s="4296" t="s">
        <v>8993</v>
      </c>
      <c r="D646" s="4296" t="s">
        <v>5149</v>
      </c>
      <c r="E646" s="4297">
        <v>2.0383900000000001</v>
      </c>
    </row>
    <row r="647" spans="2:5">
      <c r="B647" s="4296" t="s">
        <v>6559</v>
      </c>
      <c r="C647" s="4296" t="s">
        <v>8994</v>
      </c>
      <c r="D647" s="4296" t="s">
        <v>5149</v>
      </c>
      <c r="E647" s="4297">
        <v>2.03796</v>
      </c>
    </row>
    <row r="648" spans="2:5">
      <c r="B648" s="4296" t="s">
        <v>6561</v>
      </c>
      <c r="C648" s="4296" t="s">
        <v>8995</v>
      </c>
      <c r="D648" s="4296" t="s">
        <v>5753</v>
      </c>
      <c r="E648" s="4297">
        <v>2</v>
      </c>
    </row>
    <row r="649" spans="2:5">
      <c r="B649" s="4296" t="s">
        <v>6563</v>
      </c>
      <c r="C649" s="4296" t="s">
        <v>8996</v>
      </c>
      <c r="D649" s="4296" t="s">
        <v>4674</v>
      </c>
      <c r="E649" s="4297">
        <v>2</v>
      </c>
    </row>
    <row r="650" spans="2:5">
      <c r="B650" s="4296" t="s">
        <v>6565</v>
      </c>
      <c r="C650" s="4296" t="s">
        <v>8997</v>
      </c>
      <c r="D650" s="4296" t="s">
        <v>4897</v>
      </c>
      <c r="E650" s="4297">
        <v>2</v>
      </c>
    </row>
    <row r="651" spans="2:5">
      <c r="B651" s="4296" t="s">
        <v>6567</v>
      </c>
      <c r="C651" s="4296" t="s">
        <v>8998</v>
      </c>
      <c r="D651" s="4296" t="s">
        <v>4897</v>
      </c>
      <c r="E651" s="4297">
        <v>2</v>
      </c>
    </row>
    <row r="652" spans="2:5">
      <c r="B652" s="4296" t="s">
        <v>6569</v>
      </c>
      <c r="C652" s="4296" t="s">
        <v>8999</v>
      </c>
      <c r="D652" s="4296" t="s">
        <v>4897</v>
      </c>
      <c r="E652" s="4297">
        <v>2</v>
      </c>
    </row>
    <row r="653" spans="2:5">
      <c r="B653" s="4296" t="s">
        <v>6571</v>
      </c>
      <c r="C653" s="4296" t="s">
        <v>9000</v>
      </c>
      <c r="D653" s="4296" t="s">
        <v>5222</v>
      </c>
      <c r="E653" s="4297">
        <v>2</v>
      </c>
    </row>
    <row r="654" spans="2:5">
      <c r="B654" s="4296" t="s">
        <v>6573</v>
      </c>
      <c r="C654" s="4296" t="s">
        <v>9001</v>
      </c>
      <c r="D654" s="4296" t="s">
        <v>5222</v>
      </c>
      <c r="E654" s="4297">
        <v>2</v>
      </c>
    </row>
    <row r="655" spans="2:5">
      <c r="B655" s="4296" t="s">
        <v>6575</v>
      </c>
      <c r="C655" s="4296" t="s">
        <v>9002</v>
      </c>
      <c r="D655" s="4296" t="s">
        <v>5222</v>
      </c>
      <c r="E655" s="4297">
        <v>2</v>
      </c>
    </row>
    <row r="656" spans="2:5">
      <c r="B656" s="4296" t="s">
        <v>6577</v>
      </c>
      <c r="C656" s="4296" t="s">
        <v>9003</v>
      </c>
      <c r="D656" s="4296" t="s">
        <v>5222</v>
      </c>
      <c r="E656" s="4297">
        <v>2</v>
      </c>
    </row>
    <row r="657" spans="2:5">
      <c r="B657" s="4296" t="s">
        <v>6579</v>
      </c>
      <c r="C657" s="4296" t="s">
        <v>9004</v>
      </c>
      <c r="D657" s="4296" t="s">
        <v>4987</v>
      </c>
      <c r="E657" s="4297">
        <v>1.9678399999999998</v>
      </c>
    </row>
    <row r="658" spans="2:5">
      <c r="B658" s="4296" t="s">
        <v>6581</v>
      </c>
      <c r="C658" s="4287" t="s">
        <v>8009</v>
      </c>
      <c r="D658" s="4287" t="s">
        <v>4674</v>
      </c>
      <c r="E658" s="4297">
        <v>1.939872</v>
      </c>
    </row>
    <row r="659" spans="2:5">
      <c r="B659" s="4296" t="s">
        <v>6583</v>
      </c>
      <c r="C659" s="4296" t="s">
        <v>8044</v>
      </c>
      <c r="D659" s="4296" t="s">
        <v>4987</v>
      </c>
      <c r="E659" s="4297">
        <v>1.9329029999999998</v>
      </c>
    </row>
    <row r="660" spans="2:5">
      <c r="B660" s="4296" t="s">
        <v>6585</v>
      </c>
      <c r="C660" s="4296" t="s">
        <v>7977</v>
      </c>
      <c r="D660" s="4296" t="s">
        <v>5222</v>
      </c>
      <c r="E660" s="4297">
        <v>1.92</v>
      </c>
    </row>
    <row r="661" spans="2:5">
      <c r="B661" s="4296" t="s">
        <v>6587</v>
      </c>
      <c r="C661" s="4296" t="s">
        <v>9005</v>
      </c>
      <c r="D661" s="4296" t="s">
        <v>4987</v>
      </c>
      <c r="E661" s="4297">
        <v>1.8289600000000001</v>
      </c>
    </row>
    <row r="662" spans="2:5">
      <c r="B662" s="4296" t="s">
        <v>6589</v>
      </c>
      <c r="C662" s="4296" t="s">
        <v>7855</v>
      </c>
      <c r="D662" s="4296" t="s">
        <v>4674</v>
      </c>
      <c r="E662" s="4297">
        <v>1.82359</v>
      </c>
    </row>
    <row r="663" spans="2:5">
      <c r="B663" s="4296" t="s">
        <v>6591</v>
      </c>
      <c r="C663" s="4296" t="s">
        <v>9006</v>
      </c>
      <c r="D663" s="4296" t="s">
        <v>5222</v>
      </c>
      <c r="E663" s="4297">
        <v>1.8032790000000001</v>
      </c>
    </row>
    <row r="664" spans="2:5">
      <c r="B664" s="4296" t="s">
        <v>6593</v>
      </c>
      <c r="C664" s="4296" t="s">
        <v>9007</v>
      </c>
      <c r="D664" s="4296" t="s">
        <v>4897</v>
      </c>
      <c r="E664" s="4297">
        <v>1.8</v>
      </c>
    </row>
    <row r="665" spans="2:5">
      <c r="B665" s="4296" t="s">
        <v>6595</v>
      </c>
      <c r="C665" s="4296" t="s">
        <v>9008</v>
      </c>
      <c r="D665" s="4296" t="s">
        <v>4897</v>
      </c>
      <c r="E665" s="4297">
        <v>1.8</v>
      </c>
    </row>
    <row r="666" spans="2:5">
      <c r="B666" s="4296" t="s">
        <v>6597</v>
      </c>
      <c r="C666" s="4296" t="s">
        <v>9009</v>
      </c>
      <c r="D666" s="4296" t="s">
        <v>5222</v>
      </c>
      <c r="E666" s="4297">
        <v>1.8</v>
      </c>
    </row>
    <row r="667" spans="2:5">
      <c r="B667" s="4296" t="s">
        <v>6599</v>
      </c>
      <c r="C667" s="4296" t="s">
        <v>9010</v>
      </c>
      <c r="D667" s="4296" t="s">
        <v>5222</v>
      </c>
      <c r="E667" s="4297">
        <v>1.8</v>
      </c>
    </row>
    <row r="668" spans="2:5">
      <c r="B668" s="4296" t="s">
        <v>6601</v>
      </c>
      <c r="C668" s="4296" t="s">
        <v>9011</v>
      </c>
      <c r="D668" s="4296" t="s">
        <v>4674</v>
      </c>
      <c r="E668" s="4297">
        <v>1.7992630000000001</v>
      </c>
    </row>
    <row r="669" spans="2:5">
      <c r="B669" s="4296" t="s">
        <v>6603</v>
      </c>
      <c r="C669" s="4296" t="s">
        <v>8210</v>
      </c>
      <c r="D669" s="4296" t="s">
        <v>4897</v>
      </c>
      <c r="E669" s="4297">
        <v>1.7694260000000002</v>
      </c>
    </row>
    <row r="670" spans="2:5">
      <c r="B670" s="4296" t="s">
        <v>6605</v>
      </c>
      <c r="C670" s="4296" t="s">
        <v>9012</v>
      </c>
      <c r="D670" s="4296" t="s">
        <v>5222</v>
      </c>
      <c r="E670" s="4297">
        <v>1.75</v>
      </c>
    </row>
    <row r="671" spans="2:5">
      <c r="B671" s="4296" t="s">
        <v>6607</v>
      </c>
      <c r="C671" s="4296" t="s">
        <v>7874</v>
      </c>
      <c r="D671" s="4296" t="s">
        <v>4897</v>
      </c>
      <c r="E671" s="4297">
        <v>1.7202740000000001</v>
      </c>
    </row>
    <row r="672" spans="2:5">
      <c r="B672" s="4296" t="s">
        <v>6609</v>
      </c>
      <c r="C672" s="4296" t="s">
        <v>8434</v>
      </c>
      <c r="D672" s="4296" t="s">
        <v>4897</v>
      </c>
      <c r="E672" s="4297">
        <v>1.7138720000000001</v>
      </c>
    </row>
    <row r="673" spans="2:5">
      <c r="B673" s="4296" t="s">
        <v>6611</v>
      </c>
      <c r="C673" s="4296" t="s">
        <v>9013</v>
      </c>
      <c r="D673" s="4296" t="s">
        <v>4987</v>
      </c>
      <c r="E673" s="4297">
        <v>1.7102400000000004</v>
      </c>
    </row>
    <row r="674" spans="2:5">
      <c r="B674" s="4296" t="s">
        <v>6613</v>
      </c>
      <c r="C674" s="4296" t="s">
        <v>9014</v>
      </c>
      <c r="D674" s="4296" t="s">
        <v>4897</v>
      </c>
      <c r="E674" s="4297">
        <v>1.686264</v>
      </c>
    </row>
    <row r="675" spans="2:5">
      <c r="B675" s="4296" t="s">
        <v>6615</v>
      </c>
      <c r="C675" s="4296" t="s">
        <v>9015</v>
      </c>
      <c r="D675" s="4296" t="s">
        <v>4674</v>
      </c>
      <c r="E675" s="4297">
        <v>1.673216</v>
      </c>
    </row>
    <row r="676" spans="2:5">
      <c r="B676" s="4296" t="s">
        <v>6617</v>
      </c>
      <c r="C676" s="4296" t="s">
        <v>7991</v>
      </c>
      <c r="D676" s="4296" t="s">
        <v>4897</v>
      </c>
      <c r="E676" s="4297">
        <v>1.668355</v>
      </c>
    </row>
    <row r="677" spans="2:5">
      <c r="B677" s="4296" t="s">
        <v>6619</v>
      </c>
      <c r="C677" s="4296" t="s">
        <v>8396</v>
      </c>
      <c r="D677" s="4296" t="s">
        <v>4897</v>
      </c>
      <c r="E677" s="4297">
        <v>1.6663029999999999</v>
      </c>
    </row>
    <row r="678" spans="2:5">
      <c r="B678" s="4296" t="s">
        <v>6621</v>
      </c>
      <c r="C678" s="4296" t="s">
        <v>9016</v>
      </c>
      <c r="D678" s="4296" t="s">
        <v>4897</v>
      </c>
      <c r="E678" s="4297">
        <v>1.65</v>
      </c>
    </row>
    <row r="679" spans="2:5">
      <c r="B679" s="4296" t="s">
        <v>6623</v>
      </c>
      <c r="C679" s="4296" t="s">
        <v>8262</v>
      </c>
      <c r="D679" s="4296" t="s">
        <v>4987</v>
      </c>
      <c r="E679" s="4297">
        <v>1.63632</v>
      </c>
    </row>
    <row r="680" spans="2:5">
      <c r="B680" s="4296" t="s">
        <v>6625</v>
      </c>
      <c r="C680" s="4296" t="s">
        <v>8030</v>
      </c>
      <c r="D680" s="4296" t="s">
        <v>4987</v>
      </c>
      <c r="E680" s="4297">
        <v>1.63134</v>
      </c>
    </row>
    <row r="681" spans="2:5">
      <c r="B681" s="4296" t="s">
        <v>6627</v>
      </c>
      <c r="C681" s="4296" t="s">
        <v>9017</v>
      </c>
      <c r="D681" s="4296" t="s">
        <v>5222</v>
      </c>
      <c r="E681" s="4297">
        <v>1.622951</v>
      </c>
    </row>
    <row r="682" spans="2:5">
      <c r="B682" s="4296" t="s">
        <v>6629</v>
      </c>
      <c r="C682" s="4296" t="s">
        <v>8319</v>
      </c>
      <c r="D682" s="4296" t="s">
        <v>5222</v>
      </c>
      <c r="E682" s="4297">
        <v>1.6109600000000002</v>
      </c>
    </row>
    <row r="683" spans="2:5">
      <c r="B683" s="4296" t="s">
        <v>6631</v>
      </c>
      <c r="C683" s="4296" t="s">
        <v>7503</v>
      </c>
      <c r="D683" s="4296" t="s">
        <v>5222</v>
      </c>
      <c r="E683" s="4297">
        <v>1.6075280000000001</v>
      </c>
    </row>
    <row r="684" spans="2:5">
      <c r="B684" s="4296" t="s">
        <v>6633</v>
      </c>
      <c r="C684" s="4296" t="s">
        <v>9018</v>
      </c>
      <c r="D684" s="4296" t="s">
        <v>4674</v>
      </c>
      <c r="E684" s="4297">
        <v>1.6034689999999998</v>
      </c>
    </row>
    <row r="685" spans="2:5">
      <c r="B685" s="4296" t="s">
        <v>6635</v>
      </c>
      <c r="C685" s="4287" t="s">
        <v>9019</v>
      </c>
      <c r="D685" s="4287" t="s">
        <v>4674</v>
      </c>
      <c r="E685" s="4297">
        <v>1.6</v>
      </c>
    </row>
    <row r="686" spans="2:5">
      <c r="B686" s="4296" t="s">
        <v>6637</v>
      </c>
      <c r="C686" s="4296" t="s">
        <v>8364</v>
      </c>
      <c r="D686" s="4296" t="s">
        <v>4987</v>
      </c>
      <c r="E686" s="4297">
        <v>1.5913800000000002</v>
      </c>
    </row>
    <row r="687" spans="2:5">
      <c r="B687" s="4296" t="s">
        <v>6639</v>
      </c>
      <c r="C687" s="4296" t="s">
        <v>9020</v>
      </c>
      <c r="D687" s="4296" t="s">
        <v>5149</v>
      </c>
      <c r="E687" s="4297">
        <v>1.575</v>
      </c>
    </row>
    <row r="688" spans="2:5">
      <c r="B688" s="4296" t="s">
        <v>6641</v>
      </c>
      <c r="C688" s="4296" t="s">
        <v>9021</v>
      </c>
      <c r="D688" s="4296" t="s">
        <v>4987</v>
      </c>
      <c r="E688" s="4297">
        <v>1.5577100000000002</v>
      </c>
    </row>
    <row r="689" spans="2:5">
      <c r="B689" s="4296" t="s">
        <v>6643</v>
      </c>
      <c r="C689" s="4296" t="s">
        <v>7870</v>
      </c>
      <c r="D689" s="4296" t="s">
        <v>4674</v>
      </c>
      <c r="E689" s="4297">
        <v>1.55155</v>
      </c>
    </row>
    <row r="690" spans="2:5">
      <c r="B690" s="4296" t="s">
        <v>6645</v>
      </c>
      <c r="C690" s="4296" t="s">
        <v>7904</v>
      </c>
      <c r="D690" s="4296" t="s">
        <v>5222</v>
      </c>
      <c r="E690" s="4297">
        <v>1.5333330000000001</v>
      </c>
    </row>
    <row r="691" spans="2:5">
      <c r="B691" s="4296" t="s">
        <v>6647</v>
      </c>
      <c r="C691" s="4296" t="s">
        <v>9022</v>
      </c>
      <c r="D691" s="4296" t="s">
        <v>4987</v>
      </c>
      <c r="E691" s="4297">
        <v>1.515577</v>
      </c>
    </row>
    <row r="692" spans="2:5">
      <c r="B692" s="4296" t="s">
        <v>6649</v>
      </c>
      <c r="C692" s="4296" t="s">
        <v>9023</v>
      </c>
      <c r="D692" s="4296" t="s">
        <v>5222</v>
      </c>
      <c r="E692" s="4297">
        <v>1.5</v>
      </c>
    </row>
    <row r="693" spans="2:5">
      <c r="B693" s="4296" t="s">
        <v>6651</v>
      </c>
      <c r="C693" s="4296" t="s">
        <v>9024</v>
      </c>
      <c r="D693" s="4296" t="s">
        <v>4897</v>
      </c>
      <c r="E693" s="4297">
        <v>1.5</v>
      </c>
    </row>
    <row r="694" spans="2:5">
      <c r="B694" s="4296" t="s">
        <v>6653</v>
      </c>
      <c r="C694" s="4296" t="s">
        <v>9025</v>
      </c>
      <c r="D694" s="4296" t="s">
        <v>4897</v>
      </c>
      <c r="E694" s="4297">
        <v>1.5</v>
      </c>
    </row>
    <row r="695" spans="2:5">
      <c r="B695" s="4296" t="s">
        <v>6655</v>
      </c>
      <c r="C695" s="4296" t="s">
        <v>9026</v>
      </c>
      <c r="D695" s="4296" t="s">
        <v>4897</v>
      </c>
      <c r="E695" s="4297">
        <v>1.5</v>
      </c>
    </row>
    <row r="696" spans="2:5">
      <c r="B696" s="4296" t="s">
        <v>6657</v>
      </c>
      <c r="C696" s="4296" t="s">
        <v>9027</v>
      </c>
      <c r="D696" s="4296" t="s">
        <v>4897</v>
      </c>
      <c r="E696" s="4297">
        <v>1.5</v>
      </c>
    </row>
    <row r="697" spans="2:5">
      <c r="B697" s="4296" t="s">
        <v>6659</v>
      </c>
      <c r="C697" s="4296" t="s">
        <v>9028</v>
      </c>
      <c r="D697" s="4296" t="s">
        <v>4897</v>
      </c>
      <c r="E697" s="4297">
        <v>1.5</v>
      </c>
    </row>
    <row r="698" spans="2:5">
      <c r="B698" s="4296" t="s">
        <v>6661</v>
      </c>
      <c r="C698" s="4296" t="s">
        <v>9029</v>
      </c>
      <c r="D698" s="4296" t="s">
        <v>4897</v>
      </c>
      <c r="E698" s="4297">
        <v>1.5</v>
      </c>
    </row>
    <row r="699" spans="2:5">
      <c r="B699" s="4296" t="s">
        <v>6663</v>
      </c>
      <c r="C699" s="4296" t="s">
        <v>9030</v>
      </c>
      <c r="D699" s="4296" t="s">
        <v>5222</v>
      </c>
      <c r="E699" s="4297">
        <v>1.5</v>
      </c>
    </row>
    <row r="700" spans="2:5">
      <c r="B700" s="4296" t="s">
        <v>6665</v>
      </c>
      <c r="C700" s="4296" t="s">
        <v>9031</v>
      </c>
      <c r="D700" s="4296" t="s">
        <v>5222</v>
      </c>
      <c r="E700" s="4297">
        <v>1.5</v>
      </c>
    </row>
    <row r="701" spans="2:5">
      <c r="B701" s="4296" t="s">
        <v>6667</v>
      </c>
      <c r="C701" s="4296" t="s">
        <v>8199</v>
      </c>
      <c r="D701" s="4296" t="s">
        <v>5222</v>
      </c>
      <c r="E701" s="4297">
        <v>1.5</v>
      </c>
    </row>
    <row r="702" spans="2:5">
      <c r="B702" s="4296" t="s">
        <v>6669</v>
      </c>
      <c r="C702" s="4296" t="s">
        <v>9032</v>
      </c>
      <c r="D702" s="4296" t="s">
        <v>5222</v>
      </c>
      <c r="E702" s="4297">
        <v>1.5</v>
      </c>
    </row>
    <row r="703" spans="2:5">
      <c r="B703" s="4296" t="s">
        <v>6671</v>
      </c>
      <c r="C703" s="4296" t="s">
        <v>9033</v>
      </c>
      <c r="D703" s="4296" t="s">
        <v>4674</v>
      </c>
      <c r="E703" s="4297">
        <v>1.4917550000000002</v>
      </c>
    </row>
    <row r="704" spans="2:5">
      <c r="B704" s="4296" t="s">
        <v>6673</v>
      </c>
      <c r="C704" s="4296" t="s">
        <v>9034</v>
      </c>
      <c r="D704" s="4296" t="s">
        <v>4987</v>
      </c>
      <c r="E704" s="4297">
        <v>1.454121</v>
      </c>
    </row>
    <row r="705" spans="2:5">
      <c r="B705" s="4296" t="s">
        <v>6675</v>
      </c>
      <c r="C705" s="4296" t="s">
        <v>8132</v>
      </c>
      <c r="D705" s="4296" t="s">
        <v>5222</v>
      </c>
      <c r="E705" s="4297">
        <v>1.451613</v>
      </c>
    </row>
    <row r="706" spans="2:5">
      <c r="B706" s="4296" t="s">
        <v>6677</v>
      </c>
      <c r="C706" s="4296" t="s">
        <v>9035</v>
      </c>
      <c r="D706" s="4296" t="s">
        <v>4897</v>
      </c>
      <c r="E706" s="4297">
        <v>1.4</v>
      </c>
    </row>
    <row r="707" spans="2:5">
      <c r="B707" s="4296" t="s">
        <v>6679</v>
      </c>
      <c r="C707" s="4296" t="s">
        <v>9036</v>
      </c>
      <c r="D707" s="4296" t="s">
        <v>4897</v>
      </c>
      <c r="E707" s="4297">
        <v>1.4</v>
      </c>
    </row>
    <row r="708" spans="2:5">
      <c r="B708" s="4296" t="s">
        <v>6681</v>
      </c>
      <c r="C708" s="4296" t="s">
        <v>9037</v>
      </c>
      <c r="D708" s="4296" t="s">
        <v>4987</v>
      </c>
      <c r="E708" s="4297">
        <v>1.3924000000000001</v>
      </c>
    </row>
    <row r="709" spans="2:5">
      <c r="B709" s="4296" t="s">
        <v>6683</v>
      </c>
      <c r="C709" s="4296" t="s">
        <v>8390</v>
      </c>
      <c r="D709" s="4296" t="s">
        <v>4897</v>
      </c>
      <c r="E709" s="4297">
        <v>1.3561650000000001</v>
      </c>
    </row>
    <row r="710" spans="2:5">
      <c r="B710" s="4296" t="s">
        <v>6685</v>
      </c>
      <c r="C710" s="4296" t="s">
        <v>8392</v>
      </c>
      <c r="D710" s="4296" t="s">
        <v>4897</v>
      </c>
      <c r="E710" s="4297">
        <v>1.3561650000000001</v>
      </c>
    </row>
    <row r="711" spans="2:5">
      <c r="B711" s="4296" t="s">
        <v>6687</v>
      </c>
      <c r="C711" s="4296" t="s">
        <v>7277</v>
      </c>
      <c r="D711" s="4296" t="s">
        <v>4674</v>
      </c>
      <c r="E711" s="4297">
        <v>1.3555079999999999</v>
      </c>
    </row>
    <row r="712" spans="2:5">
      <c r="B712" s="4296" t="s">
        <v>6689</v>
      </c>
      <c r="C712" s="4296" t="s">
        <v>9038</v>
      </c>
      <c r="D712" s="4296" t="s">
        <v>4897</v>
      </c>
      <c r="E712" s="4297">
        <v>1.35</v>
      </c>
    </row>
    <row r="713" spans="2:5">
      <c r="B713" s="4296" t="s">
        <v>6691</v>
      </c>
      <c r="C713" s="4296" t="s">
        <v>9039</v>
      </c>
      <c r="D713" s="4296" t="s">
        <v>5222</v>
      </c>
      <c r="E713" s="4297">
        <v>1.346301</v>
      </c>
    </row>
    <row r="714" spans="2:5">
      <c r="B714" s="4296" t="s">
        <v>6693</v>
      </c>
      <c r="C714" s="4296" t="s">
        <v>9040</v>
      </c>
      <c r="D714" s="4296" t="s">
        <v>4897</v>
      </c>
      <c r="E714" s="4297">
        <v>1.3</v>
      </c>
    </row>
    <row r="715" spans="2:5">
      <c r="B715" s="4296" t="s">
        <v>6695</v>
      </c>
      <c r="C715" s="4296" t="s">
        <v>9041</v>
      </c>
      <c r="D715" s="4296" t="s">
        <v>4987</v>
      </c>
      <c r="E715" s="4297">
        <v>1.284</v>
      </c>
    </row>
    <row r="716" spans="2:5">
      <c r="B716" s="4296" t="s">
        <v>6697</v>
      </c>
      <c r="C716" s="4296" t="s">
        <v>9042</v>
      </c>
      <c r="D716" s="4296" t="s">
        <v>4897</v>
      </c>
      <c r="E716" s="4297">
        <v>1.24</v>
      </c>
    </row>
    <row r="717" spans="2:5">
      <c r="B717" s="4296" t="s">
        <v>6699</v>
      </c>
      <c r="C717" s="4296" t="s">
        <v>9043</v>
      </c>
      <c r="D717" s="4296" t="s">
        <v>5222</v>
      </c>
      <c r="E717" s="4297">
        <v>1.2180819999999999</v>
      </c>
    </row>
    <row r="718" spans="2:5">
      <c r="B718" s="4296" t="s">
        <v>6701</v>
      </c>
      <c r="C718" s="4296" t="s">
        <v>9044</v>
      </c>
      <c r="D718" s="4296" t="s">
        <v>4897</v>
      </c>
      <c r="E718" s="4297">
        <v>1.2</v>
      </c>
    </row>
    <row r="719" spans="2:5">
      <c r="B719" s="4296" t="s">
        <v>6703</v>
      </c>
      <c r="C719" s="4296" t="s">
        <v>9045</v>
      </c>
      <c r="D719" s="4296" t="s">
        <v>5222</v>
      </c>
      <c r="E719" s="4297">
        <v>1.2</v>
      </c>
    </row>
    <row r="720" spans="2:5">
      <c r="B720" s="4296" t="s">
        <v>6705</v>
      </c>
      <c r="C720" s="4296" t="s">
        <v>9046</v>
      </c>
      <c r="D720" s="4296" t="s">
        <v>5222</v>
      </c>
      <c r="E720" s="4297">
        <v>1.2</v>
      </c>
    </row>
    <row r="721" spans="2:5">
      <c r="B721" s="4296" t="s">
        <v>6707</v>
      </c>
      <c r="C721" s="4296" t="s">
        <v>9047</v>
      </c>
      <c r="D721" s="4296" t="s">
        <v>5222</v>
      </c>
      <c r="E721" s="4297">
        <v>1.2</v>
      </c>
    </row>
    <row r="722" spans="2:5">
      <c r="B722" s="4296" t="s">
        <v>6709</v>
      </c>
      <c r="C722" s="4296" t="s">
        <v>7884</v>
      </c>
      <c r="D722" s="4296" t="s">
        <v>4674</v>
      </c>
      <c r="E722" s="4297">
        <v>1.197767</v>
      </c>
    </row>
    <row r="723" spans="2:5">
      <c r="B723" s="4296" t="s">
        <v>6711</v>
      </c>
      <c r="C723" s="4296" t="s">
        <v>9048</v>
      </c>
      <c r="D723" s="4296" t="s">
        <v>4987</v>
      </c>
      <c r="E723" s="4297">
        <v>1.192212</v>
      </c>
    </row>
    <row r="724" spans="2:5">
      <c r="B724" s="4296" t="s">
        <v>6713</v>
      </c>
      <c r="C724" s="4296" t="s">
        <v>9049</v>
      </c>
      <c r="D724" s="4296" t="s">
        <v>6044</v>
      </c>
      <c r="E724" s="4297">
        <v>1.1895890000000002</v>
      </c>
    </row>
    <row r="725" spans="2:5">
      <c r="B725" s="4296" t="s">
        <v>6715</v>
      </c>
      <c r="C725" s="4296" t="s">
        <v>8144</v>
      </c>
      <c r="D725" s="4296" t="s">
        <v>5222</v>
      </c>
      <c r="E725" s="4297">
        <v>1.1883330000000001</v>
      </c>
    </row>
    <row r="726" spans="2:5">
      <c r="B726" s="4296" t="s">
        <v>6717</v>
      </c>
      <c r="C726" s="4296" t="s">
        <v>8036</v>
      </c>
      <c r="D726" s="4296" t="s">
        <v>4987</v>
      </c>
      <c r="E726" s="4297">
        <v>1.1721599999999999</v>
      </c>
    </row>
    <row r="727" spans="2:5">
      <c r="B727" s="4296" t="s">
        <v>6719</v>
      </c>
      <c r="C727" s="4296" t="s">
        <v>8218</v>
      </c>
      <c r="D727" s="4296" t="s">
        <v>4897</v>
      </c>
      <c r="E727" s="4297">
        <v>1.157144</v>
      </c>
    </row>
    <row r="728" spans="2:5">
      <c r="B728" s="4296" t="s">
        <v>6721</v>
      </c>
      <c r="C728" s="4296" t="s">
        <v>7946</v>
      </c>
      <c r="D728" s="4296" t="s">
        <v>4987</v>
      </c>
      <c r="E728" s="4297">
        <v>1.1519999999999999</v>
      </c>
    </row>
    <row r="729" spans="2:5">
      <c r="B729" s="4296" t="s">
        <v>6723</v>
      </c>
      <c r="C729" s="4296" t="s">
        <v>6566</v>
      </c>
      <c r="D729" s="4296" t="s">
        <v>5149</v>
      </c>
      <c r="E729" s="4297">
        <v>1.1322000000000001</v>
      </c>
    </row>
    <row r="730" spans="2:5">
      <c r="B730" s="4296" t="s">
        <v>6725</v>
      </c>
      <c r="C730" s="4296" t="s">
        <v>8148</v>
      </c>
      <c r="D730" s="4296" t="s">
        <v>4987</v>
      </c>
      <c r="E730" s="4297">
        <v>1.11616</v>
      </c>
    </row>
    <row r="731" spans="2:5">
      <c r="B731" s="4296" t="s">
        <v>6727</v>
      </c>
      <c r="C731" s="4296" t="s">
        <v>9050</v>
      </c>
      <c r="D731" s="4296" t="s">
        <v>5149</v>
      </c>
      <c r="E731" s="4297">
        <v>1.11144</v>
      </c>
    </row>
    <row r="732" spans="2:5">
      <c r="B732" s="4296" t="s">
        <v>6729</v>
      </c>
      <c r="C732" s="4296" t="s">
        <v>6930</v>
      </c>
      <c r="D732" s="4296" t="s">
        <v>4987</v>
      </c>
      <c r="E732" s="4297">
        <v>1.08</v>
      </c>
    </row>
    <row r="733" spans="2:5">
      <c r="B733" s="4296" t="s">
        <v>6731</v>
      </c>
      <c r="C733" s="4296" t="s">
        <v>9051</v>
      </c>
      <c r="D733" s="4296" t="s">
        <v>4897</v>
      </c>
      <c r="E733" s="4297">
        <v>1.0783560000000001</v>
      </c>
    </row>
    <row r="734" spans="2:5">
      <c r="B734" s="4296" t="s">
        <v>6733</v>
      </c>
      <c r="C734" s="4296" t="s">
        <v>8120</v>
      </c>
      <c r="D734" s="4296" t="s">
        <v>5222</v>
      </c>
      <c r="E734" s="4297">
        <v>1.0741940000000001</v>
      </c>
    </row>
    <row r="735" spans="2:5">
      <c r="B735" s="4296" t="s">
        <v>6735</v>
      </c>
      <c r="C735" s="4296" t="s">
        <v>9052</v>
      </c>
      <c r="D735" s="4296" t="s">
        <v>4897</v>
      </c>
      <c r="E735" s="4297">
        <v>1.0666</v>
      </c>
    </row>
    <row r="736" spans="2:5">
      <c r="B736" s="4296" t="s">
        <v>6737</v>
      </c>
      <c r="C736" s="4296" t="s">
        <v>9053</v>
      </c>
      <c r="D736" s="4296" t="s">
        <v>4897</v>
      </c>
      <c r="E736" s="4297">
        <v>1.05</v>
      </c>
    </row>
    <row r="737" spans="2:5">
      <c r="B737" s="4296" t="s">
        <v>6739</v>
      </c>
      <c r="C737" s="4296" t="s">
        <v>8109</v>
      </c>
      <c r="D737" s="4296" t="s">
        <v>5222</v>
      </c>
      <c r="E737" s="4297">
        <v>1.05</v>
      </c>
    </row>
    <row r="738" spans="2:5">
      <c r="B738" s="4296" t="s">
        <v>6741</v>
      </c>
      <c r="C738" s="4296" t="s">
        <v>9054</v>
      </c>
      <c r="D738" s="4296" t="s">
        <v>4987</v>
      </c>
      <c r="E738" s="4297">
        <v>1.04325</v>
      </c>
    </row>
    <row r="739" spans="2:5">
      <c r="B739" s="4296" t="s">
        <v>6743</v>
      </c>
      <c r="C739" s="4287" t="s">
        <v>9055</v>
      </c>
      <c r="D739" s="4287" t="s">
        <v>4987</v>
      </c>
      <c r="E739" s="4297">
        <v>1.02505</v>
      </c>
    </row>
    <row r="740" spans="2:5">
      <c r="B740" s="4296" t="s">
        <v>6745</v>
      </c>
      <c r="C740" s="4296" t="s">
        <v>9056</v>
      </c>
      <c r="D740" s="4296" t="s">
        <v>4987</v>
      </c>
      <c r="E740" s="4297">
        <v>1.01556</v>
      </c>
    </row>
    <row r="741" spans="2:5">
      <c r="B741" s="4296" t="s">
        <v>6747</v>
      </c>
      <c r="C741" s="4296" t="s">
        <v>9057</v>
      </c>
      <c r="D741" s="4296" t="s">
        <v>5222</v>
      </c>
      <c r="E741" s="4297">
        <v>1.0043010000000001</v>
      </c>
    </row>
    <row r="742" spans="2:5">
      <c r="B742" s="4296" t="s">
        <v>6749</v>
      </c>
      <c r="C742" s="4296" t="s">
        <v>9058</v>
      </c>
      <c r="D742" s="4296" t="s">
        <v>4897</v>
      </c>
      <c r="E742" s="4297">
        <v>1</v>
      </c>
    </row>
    <row r="743" spans="2:5">
      <c r="B743" s="4296" t="s">
        <v>6751</v>
      </c>
      <c r="C743" s="4296" t="s">
        <v>9059</v>
      </c>
      <c r="D743" s="4296" t="s">
        <v>4897</v>
      </c>
      <c r="E743" s="4297">
        <v>1</v>
      </c>
    </row>
    <row r="744" spans="2:5">
      <c r="B744" s="4296" t="s">
        <v>6753</v>
      </c>
      <c r="C744" s="4296" t="s">
        <v>9060</v>
      </c>
      <c r="D744" s="4296" t="s">
        <v>4897</v>
      </c>
      <c r="E744" s="4297">
        <v>1</v>
      </c>
    </row>
    <row r="745" spans="2:5">
      <c r="B745" s="4296" t="s">
        <v>6755</v>
      </c>
      <c r="C745" s="4296" t="s">
        <v>9061</v>
      </c>
      <c r="D745" s="4296" t="s">
        <v>5222</v>
      </c>
      <c r="E745" s="4297">
        <v>1</v>
      </c>
    </row>
    <row r="746" spans="2:5">
      <c r="B746" s="4296" t="s">
        <v>6757</v>
      </c>
      <c r="C746" s="4296" t="s">
        <v>9062</v>
      </c>
      <c r="D746" s="4296" t="s">
        <v>5222</v>
      </c>
      <c r="E746" s="4297">
        <v>1</v>
      </c>
    </row>
    <row r="747" spans="2:5">
      <c r="B747" s="4296" t="s">
        <v>6759</v>
      </c>
      <c r="C747" s="4296" t="s">
        <v>9063</v>
      </c>
      <c r="D747" s="4296" t="s">
        <v>5222</v>
      </c>
      <c r="E747" s="4297">
        <v>1</v>
      </c>
    </row>
    <row r="748" spans="2:5">
      <c r="B748" s="4296" t="s">
        <v>6761</v>
      </c>
      <c r="C748" s="4296" t="s">
        <v>9064</v>
      </c>
      <c r="D748" s="4296" t="s">
        <v>5222</v>
      </c>
      <c r="E748" s="4297">
        <v>1</v>
      </c>
    </row>
    <row r="749" spans="2:5">
      <c r="B749" s="4296" t="s">
        <v>6763</v>
      </c>
      <c r="C749" s="4296" t="s">
        <v>9065</v>
      </c>
      <c r="D749" s="4296" t="s">
        <v>5222</v>
      </c>
      <c r="E749" s="4297">
        <v>1</v>
      </c>
    </row>
    <row r="750" spans="2:5">
      <c r="B750" s="4296" t="s">
        <v>6765</v>
      </c>
      <c r="C750" s="4296" t="s">
        <v>9066</v>
      </c>
      <c r="D750" s="4296" t="s">
        <v>5222</v>
      </c>
      <c r="E750" s="4297">
        <v>1</v>
      </c>
    </row>
    <row r="751" spans="2:5">
      <c r="B751" s="4296" t="s">
        <v>6767</v>
      </c>
      <c r="C751" s="4296" t="s">
        <v>9067</v>
      </c>
      <c r="D751" s="4296" t="s">
        <v>5222</v>
      </c>
      <c r="E751" s="4297">
        <v>1</v>
      </c>
    </row>
    <row r="752" spans="2:5">
      <c r="B752" s="4296" t="s">
        <v>6769</v>
      </c>
      <c r="C752" s="4296" t="s">
        <v>9068</v>
      </c>
      <c r="D752" s="4296" t="s">
        <v>4897</v>
      </c>
      <c r="E752" s="4297">
        <v>0.99999999999999978</v>
      </c>
    </row>
    <row r="753" spans="2:5">
      <c r="B753" s="4296" t="s">
        <v>6771</v>
      </c>
      <c r="C753" s="4296" t="s">
        <v>8338</v>
      </c>
      <c r="D753" s="4296" t="s">
        <v>4987</v>
      </c>
      <c r="E753" s="4297">
        <v>0.99095400000000011</v>
      </c>
    </row>
    <row r="754" spans="2:5">
      <c r="B754" s="4296" t="s">
        <v>6773</v>
      </c>
      <c r="C754" s="4296" t="s">
        <v>8203</v>
      </c>
      <c r="D754" s="4296" t="s">
        <v>4987</v>
      </c>
      <c r="E754" s="4297">
        <v>0.98663199999999995</v>
      </c>
    </row>
    <row r="755" spans="2:5">
      <c r="B755" s="4296" t="s">
        <v>6775</v>
      </c>
      <c r="C755" s="4296" t="s">
        <v>8170</v>
      </c>
      <c r="D755" s="4296" t="s">
        <v>5222</v>
      </c>
      <c r="E755" s="4297">
        <v>0.96666700000000005</v>
      </c>
    </row>
    <row r="756" spans="2:5">
      <c r="B756" s="4296" t="s">
        <v>6777</v>
      </c>
      <c r="C756" s="4287" t="s">
        <v>9069</v>
      </c>
      <c r="D756" s="4287" t="s">
        <v>4987</v>
      </c>
      <c r="E756" s="4297">
        <v>0.95552299999999979</v>
      </c>
    </row>
    <row r="757" spans="2:5">
      <c r="B757" s="4296" t="s">
        <v>6779</v>
      </c>
      <c r="C757" s="4296" t="s">
        <v>8142</v>
      </c>
      <c r="D757" s="4296" t="s">
        <v>5222</v>
      </c>
      <c r="E757" s="4297">
        <v>0.95399999999999996</v>
      </c>
    </row>
    <row r="758" spans="2:5">
      <c r="B758" s="4296" t="s">
        <v>6781</v>
      </c>
      <c r="C758" s="4296" t="s">
        <v>7865</v>
      </c>
      <c r="D758" s="4296" t="s">
        <v>4674</v>
      </c>
      <c r="E758" s="4297">
        <v>0.91738999999999993</v>
      </c>
    </row>
    <row r="759" spans="2:5">
      <c r="B759" s="4296" t="s">
        <v>6783</v>
      </c>
      <c r="C759" s="4296" t="s">
        <v>9070</v>
      </c>
      <c r="D759" s="4296" t="s">
        <v>4897</v>
      </c>
      <c r="E759" s="4297">
        <v>0.9</v>
      </c>
    </row>
    <row r="760" spans="2:5">
      <c r="B760" s="4296" t="s">
        <v>6785</v>
      </c>
      <c r="C760" s="4296" t="s">
        <v>9071</v>
      </c>
      <c r="D760" s="4296" t="s">
        <v>5222</v>
      </c>
      <c r="E760" s="4297">
        <v>0.9</v>
      </c>
    </row>
    <row r="761" spans="2:5">
      <c r="B761" s="4296" t="s">
        <v>6787</v>
      </c>
      <c r="C761" s="4296" t="s">
        <v>9072</v>
      </c>
      <c r="D761" s="4296" t="s">
        <v>5222</v>
      </c>
      <c r="E761" s="4297">
        <v>0.9</v>
      </c>
    </row>
    <row r="762" spans="2:5">
      <c r="B762" s="4296" t="s">
        <v>6789</v>
      </c>
      <c r="C762" s="4296" t="s">
        <v>9073</v>
      </c>
      <c r="D762" s="4296" t="s">
        <v>5222</v>
      </c>
      <c r="E762" s="4297">
        <v>0.9</v>
      </c>
    </row>
    <row r="763" spans="2:5">
      <c r="B763" s="4296" t="s">
        <v>6791</v>
      </c>
      <c r="C763" s="4296" t="s">
        <v>8424</v>
      </c>
      <c r="D763" s="4296" t="s">
        <v>5222</v>
      </c>
      <c r="E763" s="4297">
        <v>0.88064500000000012</v>
      </c>
    </row>
    <row r="764" spans="2:5">
      <c r="B764" s="4296" t="s">
        <v>6793</v>
      </c>
      <c r="C764" s="4296" t="s">
        <v>9074</v>
      </c>
      <c r="D764" s="4296" t="s">
        <v>5222</v>
      </c>
      <c r="E764" s="4297">
        <v>0.85240499999999997</v>
      </c>
    </row>
    <row r="765" spans="2:5">
      <c r="B765" s="4296" t="s">
        <v>6795</v>
      </c>
      <c r="C765" s="4296" t="s">
        <v>9075</v>
      </c>
      <c r="D765" s="4296" t="s">
        <v>5222</v>
      </c>
      <c r="E765" s="4297">
        <v>0.83333400000000002</v>
      </c>
    </row>
    <row r="766" spans="2:5">
      <c r="B766" s="4296" t="s">
        <v>6797</v>
      </c>
      <c r="C766" s="4296" t="s">
        <v>8046</v>
      </c>
      <c r="D766" s="4296" t="s">
        <v>5222</v>
      </c>
      <c r="E766" s="4297">
        <v>0.82849200000000001</v>
      </c>
    </row>
    <row r="767" spans="2:5">
      <c r="B767" s="4296" t="s">
        <v>6799</v>
      </c>
      <c r="C767" s="4296" t="s">
        <v>9076</v>
      </c>
      <c r="D767" s="4296" t="s">
        <v>4987</v>
      </c>
      <c r="E767" s="4297">
        <v>0.82509700000000008</v>
      </c>
    </row>
    <row r="768" spans="2:5">
      <c r="B768" s="4296" t="s">
        <v>6801</v>
      </c>
      <c r="C768" s="4296" t="s">
        <v>9077</v>
      </c>
      <c r="D768" s="4296" t="s">
        <v>4897</v>
      </c>
      <c r="E768" s="4297">
        <v>0.8</v>
      </c>
    </row>
    <row r="769" spans="2:5">
      <c r="B769" s="4296" t="s">
        <v>6803</v>
      </c>
      <c r="C769" s="4296" t="s">
        <v>9078</v>
      </c>
      <c r="D769" s="4296" t="s">
        <v>4897</v>
      </c>
      <c r="E769" s="4297">
        <v>0.8</v>
      </c>
    </row>
    <row r="770" spans="2:5">
      <c r="B770" s="4296" t="s">
        <v>6805</v>
      </c>
      <c r="C770" s="4296" t="s">
        <v>9079</v>
      </c>
      <c r="D770" s="4296" t="s">
        <v>4897</v>
      </c>
      <c r="E770" s="4297">
        <v>0.8</v>
      </c>
    </row>
    <row r="771" spans="2:5">
      <c r="B771" s="4296" t="s">
        <v>6807</v>
      </c>
      <c r="C771" s="4296" t="s">
        <v>9080</v>
      </c>
      <c r="D771" s="4296" t="s">
        <v>5222</v>
      </c>
      <c r="E771" s="4297">
        <v>0.8</v>
      </c>
    </row>
    <row r="772" spans="2:5">
      <c r="B772" s="4296" t="s">
        <v>6809</v>
      </c>
      <c r="C772" s="4296" t="s">
        <v>9081</v>
      </c>
      <c r="D772" s="4296" t="s">
        <v>5222</v>
      </c>
      <c r="E772" s="4297">
        <v>0.8</v>
      </c>
    </row>
    <row r="773" spans="2:5">
      <c r="B773" s="4296" t="s">
        <v>6811</v>
      </c>
      <c r="C773" s="4296" t="s">
        <v>9082</v>
      </c>
      <c r="D773" s="4296" t="s">
        <v>5222</v>
      </c>
      <c r="E773" s="4297">
        <v>0.79890400000000006</v>
      </c>
    </row>
    <row r="774" spans="2:5">
      <c r="B774" s="4296" t="s">
        <v>6813</v>
      </c>
      <c r="C774" s="4296" t="s">
        <v>7075</v>
      </c>
      <c r="D774" s="4296" t="s">
        <v>4674</v>
      </c>
      <c r="E774" s="4297">
        <v>0.78889700000000007</v>
      </c>
    </row>
    <row r="775" spans="2:5">
      <c r="B775" s="4296" t="s">
        <v>6815</v>
      </c>
      <c r="C775" s="4296" t="s">
        <v>7955</v>
      </c>
      <c r="D775" s="4296" t="s">
        <v>4674</v>
      </c>
      <c r="E775" s="4297">
        <v>0.78645500000000002</v>
      </c>
    </row>
    <row r="776" spans="2:5">
      <c r="B776" s="4296" t="s">
        <v>6817</v>
      </c>
      <c r="C776" s="4287" t="s">
        <v>9083</v>
      </c>
      <c r="D776" s="4287" t="s">
        <v>5232</v>
      </c>
      <c r="E776" s="4297">
        <v>0.78056000000000003</v>
      </c>
    </row>
    <row r="777" spans="2:5">
      <c r="B777" s="4296" t="s">
        <v>6819</v>
      </c>
      <c r="C777" s="4296" t="s">
        <v>9084</v>
      </c>
      <c r="D777" s="4296" t="s">
        <v>4897</v>
      </c>
      <c r="E777" s="4297">
        <v>0.75000000000000011</v>
      </c>
    </row>
    <row r="778" spans="2:5">
      <c r="B778" s="4296" t="s">
        <v>6821</v>
      </c>
      <c r="C778" s="4296" t="s">
        <v>9085</v>
      </c>
      <c r="D778" s="4296" t="s">
        <v>4897</v>
      </c>
      <c r="E778" s="4297">
        <v>0.75</v>
      </c>
    </row>
    <row r="779" spans="2:5">
      <c r="B779" s="4296" t="s">
        <v>6823</v>
      </c>
      <c r="C779" s="4296" t="s">
        <v>9086</v>
      </c>
      <c r="D779" s="4296" t="s">
        <v>5222</v>
      </c>
      <c r="E779" s="4297">
        <v>0.75</v>
      </c>
    </row>
    <row r="780" spans="2:5">
      <c r="B780" s="4296" t="s">
        <v>6825</v>
      </c>
      <c r="C780" s="4296" t="s">
        <v>9087</v>
      </c>
      <c r="D780" s="4296" t="s">
        <v>5222</v>
      </c>
      <c r="E780" s="4297">
        <v>0.75</v>
      </c>
    </row>
    <row r="781" spans="2:5">
      <c r="B781" s="4296" t="s">
        <v>6827</v>
      </c>
      <c r="C781" s="4296" t="s">
        <v>9088</v>
      </c>
      <c r="D781" s="4296" t="s">
        <v>5222</v>
      </c>
      <c r="E781" s="4297">
        <v>0.75</v>
      </c>
    </row>
    <row r="782" spans="2:5">
      <c r="B782" s="4296" t="s">
        <v>6829</v>
      </c>
      <c r="C782" s="4296" t="s">
        <v>8213</v>
      </c>
      <c r="D782" s="4296" t="s">
        <v>4987</v>
      </c>
      <c r="E782" s="4297">
        <v>0.73641799999999991</v>
      </c>
    </row>
    <row r="783" spans="2:5">
      <c r="B783" s="4296" t="s">
        <v>6831</v>
      </c>
      <c r="C783" s="4296" t="s">
        <v>9089</v>
      </c>
      <c r="D783" s="4296" t="s">
        <v>5222</v>
      </c>
      <c r="E783" s="4297">
        <v>0.72580599999999995</v>
      </c>
    </row>
    <row r="784" spans="2:5">
      <c r="B784" s="4296" t="s">
        <v>6833</v>
      </c>
      <c r="C784" s="4296" t="s">
        <v>9090</v>
      </c>
      <c r="D784" s="4296" t="s">
        <v>5234</v>
      </c>
      <c r="E784" s="4297">
        <v>0.72476000000000007</v>
      </c>
    </row>
    <row r="785" spans="2:5">
      <c r="B785" s="4296" t="s">
        <v>6835</v>
      </c>
      <c r="C785" s="4296" t="s">
        <v>9091</v>
      </c>
      <c r="D785" s="4296" t="s">
        <v>4897</v>
      </c>
      <c r="E785" s="4297">
        <v>0.7</v>
      </c>
    </row>
    <row r="786" spans="2:5">
      <c r="B786" s="4296" t="s">
        <v>6837</v>
      </c>
      <c r="C786" s="4296" t="s">
        <v>9092</v>
      </c>
      <c r="D786" s="4296" t="s">
        <v>5222</v>
      </c>
      <c r="E786" s="4297">
        <v>0.7</v>
      </c>
    </row>
    <row r="787" spans="2:5">
      <c r="B787" s="4296" t="s">
        <v>6839</v>
      </c>
      <c r="C787" s="4296" t="s">
        <v>7945</v>
      </c>
      <c r="D787" s="4296" t="s">
        <v>4897</v>
      </c>
      <c r="E787" s="4297">
        <v>0.69333400000000001</v>
      </c>
    </row>
    <row r="788" spans="2:5">
      <c r="B788" s="4296" t="s">
        <v>6841</v>
      </c>
      <c r="C788" s="4296" t="s">
        <v>9093</v>
      </c>
      <c r="D788" s="4296" t="s">
        <v>4897</v>
      </c>
      <c r="E788" s="4297">
        <v>0.68811</v>
      </c>
    </row>
    <row r="789" spans="2:5">
      <c r="B789" s="4296" t="s">
        <v>6843</v>
      </c>
      <c r="C789" s="4296" t="s">
        <v>8297</v>
      </c>
      <c r="D789" s="4296" t="s">
        <v>5222</v>
      </c>
      <c r="E789" s="4297">
        <v>0.67096800000000001</v>
      </c>
    </row>
    <row r="790" spans="2:5">
      <c r="B790" s="4296" t="s">
        <v>6845</v>
      </c>
      <c r="C790" s="4296" t="s">
        <v>8490</v>
      </c>
      <c r="D790" s="4296" t="s">
        <v>5222</v>
      </c>
      <c r="E790" s="4297">
        <v>0.64800000000000002</v>
      </c>
    </row>
    <row r="791" spans="2:5">
      <c r="B791" s="4296" t="s">
        <v>6847</v>
      </c>
      <c r="C791" s="4296" t="s">
        <v>9094</v>
      </c>
      <c r="D791" s="4296" t="s">
        <v>4987</v>
      </c>
      <c r="E791" s="4297">
        <v>0.64232999999999996</v>
      </c>
    </row>
    <row r="792" spans="2:5">
      <c r="B792" s="4296" t="s">
        <v>6849</v>
      </c>
      <c r="C792" s="4296" t="s">
        <v>9095</v>
      </c>
      <c r="D792" s="4296" t="s">
        <v>5222</v>
      </c>
      <c r="E792" s="4297">
        <v>0.64</v>
      </c>
    </row>
    <row r="793" spans="2:5">
      <c r="B793" s="4296" t="s">
        <v>6851</v>
      </c>
      <c r="C793" s="4287" t="s">
        <v>9096</v>
      </c>
      <c r="D793" s="4287" t="s">
        <v>5222</v>
      </c>
      <c r="E793" s="4297">
        <v>0.63912400000000003</v>
      </c>
    </row>
    <row r="794" spans="2:5">
      <c r="B794" s="4296" t="s">
        <v>6853</v>
      </c>
      <c r="C794" s="4296" t="s">
        <v>9097</v>
      </c>
      <c r="D794" s="4296" t="s">
        <v>4987</v>
      </c>
      <c r="E794" s="4297">
        <v>0.63539999999999996</v>
      </c>
    </row>
    <row r="795" spans="2:5">
      <c r="B795" s="4296" t="s">
        <v>6855</v>
      </c>
      <c r="C795" s="4296" t="s">
        <v>9098</v>
      </c>
      <c r="D795" s="4296" t="s">
        <v>4897</v>
      </c>
      <c r="E795" s="4297">
        <v>0.63517800000000002</v>
      </c>
    </row>
    <row r="796" spans="2:5">
      <c r="B796" s="4296" t="s">
        <v>6857</v>
      </c>
      <c r="C796" s="4296" t="s">
        <v>9099</v>
      </c>
      <c r="D796" s="4296" t="s">
        <v>4674</v>
      </c>
      <c r="E796" s="4297">
        <v>0.62219999999999998</v>
      </c>
    </row>
    <row r="797" spans="2:5">
      <c r="B797" s="4296" t="s">
        <v>6859</v>
      </c>
      <c r="C797" s="4296" t="s">
        <v>9100</v>
      </c>
      <c r="D797" s="4296" t="s">
        <v>4897</v>
      </c>
      <c r="E797" s="4297">
        <v>0.61935499999999988</v>
      </c>
    </row>
    <row r="798" spans="2:5">
      <c r="B798" s="4296" t="s">
        <v>6861</v>
      </c>
      <c r="C798" s="4296" t="s">
        <v>8332</v>
      </c>
      <c r="D798" s="4296" t="s">
        <v>5222</v>
      </c>
      <c r="E798" s="4297">
        <v>0.60417900000000002</v>
      </c>
    </row>
    <row r="799" spans="2:5">
      <c r="B799" s="4296" t="s">
        <v>6863</v>
      </c>
      <c r="C799" s="4296" t="s">
        <v>8259</v>
      </c>
      <c r="D799" s="4296" t="s">
        <v>5222</v>
      </c>
      <c r="E799" s="4297">
        <v>0.60164399999999996</v>
      </c>
    </row>
    <row r="800" spans="2:5">
      <c r="B800" s="4296" t="s">
        <v>6865</v>
      </c>
      <c r="C800" s="4296" t="s">
        <v>9101</v>
      </c>
      <c r="D800" s="4296" t="s">
        <v>4897</v>
      </c>
      <c r="E800" s="4297">
        <v>0.60000000000000009</v>
      </c>
    </row>
    <row r="801" spans="2:5">
      <c r="B801" s="4296" t="s">
        <v>6867</v>
      </c>
      <c r="C801" s="4287" t="s">
        <v>9102</v>
      </c>
      <c r="D801" s="4287" t="s">
        <v>4897</v>
      </c>
      <c r="E801" s="4297">
        <v>0.6</v>
      </c>
    </row>
    <row r="802" spans="2:5">
      <c r="B802" s="4296" t="s">
        <v>6869</v>
      </c>
      <c r="C802" s="4296" t="s">
        <v>9103</v>
      </c>
      <c r="D802" s="4296" t="s">
        <v>4897</v>
      </c>
      <c r="E802" s="4297">
        <v>0.6</v>
      </c>
    </row>
    <row r="803" spans="2:5">
      <c r="B803" s="4296" t="s">
        <v>6871</v>
      </c>
      <c r="C803" s="4287" t="s">
        <v>9104</v>
      </c>
      <c r="D803" s="4287" t="s">
        <v>5222</v>
      </c>
      <c r="E803" s="4297">
        <v>0.6</v>
      </c>
    </row>
    <row r="804" spans="2:5">
      <c r="B804" s="4296" t="s">
        <v>6873</v>
      </c>
      <c r="C804" s="4296" t="s">
        <v>9105</v>
      </c>
      <c r="D804" s="4296" t="s">
        <v>5222</v>
      </c>
      <c r="E804" s="4297">
        <v>0.6</v>
      </c>
    </row>
    <row r="805" spans="2:5">
      <c r="B805" s="4296" t="s">
        <v>6875</v>
      </c>
      <c r="C805" s="4296" t="s">
        <v>9106</v>
      </c>
      <c r="D805" s="4296" t="s">
        <v>5222</v>
      </c>
      <c r="E805" s="4297">
        <v>0.6</v>
      </c>
    </row>
    <row r="806" spans="2:5">
      <c r="B806" s="4296" t="s">
        <v>6877</v>
      </c>
      <c r="C806" s="4296" t="s">
        <v>9107</v>
      </c>
      <c r="D806" s="4296" t="s">
        <v>5222</v>
      </c>
      <c r="E806" s="4297">
        <v>0.6</v>
      </c>
    </row>
    <row r="807" spans="2:5">
      <c r="B807" s="4296" t="s">
        <v>6879</v>
      </c>
      <c r="C807" s="4296" t="s">
        <v>9108</v>
      </c>
      <c r="D807" s="4296" t="s">
        <v>5222</v>
      </c>
      <c r="E807" s="4297">
        <v>0.6</v>
      </c>
    </row>
    <row r="808" spans="2:5">
      <c r="B808" s="4296" t="s">
        <v>6881</v>
      </c>
      <c r="C808" s="4296" t="s">
        <v>9109</v>
      </c>
      <c r="D808" s="4296" t="s">
        <v>5222</v>
      </c>
      <c r="E808" s="4297">
        <v>0.59668600000000005</v>
      </c>
    </row>
    <row r="809" spans="2:5">
      <c r="B809" s="4296" t="s">
        <v>6883</v>
      </c>
      <c r="C809" s="4296" t="s">
        <v>9110</v>
      </c>
      <c r="D809" s="4296" t="s">
        <v>5222</v>
      </c>
      <c r="E809" s="4297">
        <v>0.59506799999999993</v>
      </c>
    </row>
    <row r="810" spans="2:5">
      <c r="B810" s="4296" t="s">
        <v>6885</v>
      </c>
      <c r="C810" s="4287" t="s">
        <v>9111</v>
      </c>
      <c r="D810" s="4287" t="s">
        <v>4987</v>
      </c>
      <c r="E810" s="4297">
        <v>0.59436</v>
      </c>
    </row>
    <row r="811" spans="2:5">
      <c r="B811" s="4296" t="s">
        <v>6887</v>
      </c>
      <c r="C811" s="4296" t="s">
        <v>9112</v>
      </c>
      <c r="D811" s="4296" t="s">
        <v>5222</v>
      </c>
      <c r="E811" s="4297">
        <v>0.59</v>
      </c>
    </row>
    <row r="812" spans="2:5">
      <c r="B812" s="4296" t="s">
        <v>6889</v>
      </c>
      <c r="C812" s="4296" t="s">
        <v>7892</v>
      </c>
      <c r="D812" s="4296" t="s">
        <v>4674</v>
      </c>
      <c r="E812" s="4297">
        <v>0.56378200000000012</v>
      </c>
    </row>
    <row r="813" spans="2:5">
      <c r="B813" s="4296" t="s">
        <v>6891</v>
      </c>
      <c r="C813" s="4296" t="s">
        <v>8198</v>
      </c>
      <c r="D813" s="4296" t="s">
        <v>4987</v>
      </c>
      <c r="E813" s="4297">
        <v>0.56223999999999996</v>
      </c>
    </row>
    <row r="814" spans="2:5">
      <c r="B814" s="4296" t="s">
        <v>6893</v>
      </c>
      <c r="C814" s="4296" t="s">
        <v>9113</v>
      </c>
      <c r="D814" s="4296" t="s">
        <v>4674</v>
      </c>
      <c r="E814" s="4297">
        <v>0.52173000000000003</v>
      </c>
    </row>
    <row r="815" spans="2:5">
      <c r="B815" s="4296" t="s">
        <v>6895</v>
      </c>
      <c r="C815" s="4296" t="s">
        <v>8053</v>
      </c>
      <c r="D815" s="4296" t="s">
        <v>4897</v>
      </c>
      <c r="E815" s="4297">
        <v>0.51780800000000005</v>
      </c>
    </row>
    <row r="816" spans="2:5">
      <c r="B816" s="4296" t="s">
        <v>6897</v>
      </c>
      <c r="C816" s="4296" t="s">
        <v>9114</v>
      </c>
      <c r="D816" s="4296" t="s">
        <v>5222</v>
      </c>
      <c r="E816" s="4297">
        <v>0.51333300000000004</v>
      </c>
    </row>
    <row r="817" spans="2:5">
      <c r="B817" s="4296" t="s">
        <v>6899</v>
      </c>
      <c r="C817" s="4296" t="s">
        <v>9115</v>
      </c>
      <c r="D817" s="4296" t="s">
        <v>4897</v>
      </c>
      <c r="E817" s="4297">
        <v>0.504</v>
      </c>
    </row>
    <row r="818" spans="2:5">
      <c r="B818" s="4296" t="s">
        <v>6901</v>
      </c>
      <c r="C818" s="4287" t="s">
        <v>9116</v>
      </c>
      <c r="D818" s="4287" t="s">
        <v>5222</v>
      </c>
      <c r="E818" s="4297">
        <v>0.5</v>
      </c>
    </row>
    <row r="819" spans="2:5">
      <c r="B819" s="4296" t="s">
        <v>6903</v>
      </c>
      <c r="C819" s="4296" t="s">
        <v>9117</v>
      </c>
      <c r="D819" s="4296" t="s">
        <v>4897</v>
      </c>
      <c r="E819" s="4297">
        <v>0.5</v>
      </c>
    </row>
    <row r="820" spans="2:5">
      <c r="B820" s="4296" t="s">
        <v>6905</v>
      </c>
      <c r="C820" s="4296" t="s">
        <v>9118</v>
      </c>
      <c r="D820" s="4296" t="s">
        <v>4897</v>
      </c>
      <c r="E820" s="4297">
        <v>0.5</v>
      </c>
    </row>
    <row r="821" spans="2:5">
      <c r="B821" s="4296" t="s">
        <v>6907</v>
      </c>
      <c r="C821" s="4296" t="s">
        <v>9119</v>
      </c>
      <c r="D821" s="4296" t="s">
        <v>4897</v>
      </c>
      <c r="E821" s="4297">
        <v>0.5</v>
      </c>
    </row>
    <row r="822" spans="2:5">
      <c r="B822" s="4296" t="s">
        <v>6909</v>
      </c>
      <c r="C822" s="4296" t="s">
        <v>9120</v>
      </c>
      <c r="D822" s="4296" t="s">
        <v>4897</v>
      </c>
      <c r="E822" s="4297">
        <v>0.5</v>
      </c>
    </row>
    <row r="823" spans="2:5">
      <c r="B823" s="4296" t="s">
        <v>6911</v>
      </c>
      <c r="C823" s="4296" t="s">
        <v>9121</v>
      </c>
      <c r="D823" s="4296" t="s">
        <v>4897</v>
      </c>
      <c r="E823" s="4297">
        <v>0.5</v>
      </c>
    </row>
    <row r="824" spans="2:5">
      <c r="B824" s="4296" t="s">
        <v>6913</v>
      </c>
      <c r="C824" s="4296" t="s">
        <v>9122</v>
      </c>
      <c r="D824" s="4296" t="s">
        <v>5222</v>
      </c>
      <c r="E824" s="4297">
        <v>0.5</v>
      </c>
    </row>
    <row r="825" spans="2:5">
      <c r="B825" s="4296" t="s">
        <v>6915</v>
      </c>
      <c r="C825" s="4296" t="s">
        <v>9123</v>
      </c>
      <c r="D825" s="4296" t="s">
        <v>5222</v>
      </c>
      <c r="E825" s="4297">
        <v>0.5</v>
      </c>
    </row>
    <row r="826" spans="2:5">
      <c r="B826" s="4296" t="s">
        <v>6917</v>
      </c>
      <c r="C826" s="4296" t="s">
        <v>9124</v>
      </c>
      <c r="D826" s="4296" t="s">
        <v>5222</v>
      </c>
      <c r="E826" s="4297">
        <v>0.5</v>
      </c>
    </row>
    <row r="827" spans="2:5">
      <c r="B827" s="4296" t="s">
        <v>6919</v>
      </c>
      <c r="C827" s="4287" t="s">
        <v>9125</v>
      </c>
      <c r="D827" s="4287" t="s">
        <v>5222</v>
      </c>
      <c r="E827" s="4297">
        <v>0.48821999999999999</v>
      </c>
    </row>
    <row r="828" spans="2:5">
      <c r="B828" s="4296" t="s">
        <v>6921</v>
      </c>
      <c r="C828" s="4296" t="s">
        <v>8032</v>
      </c>
      <c r="D828" s="4296" t="s">
        <v>4987</v>
      </c>
      <c r="E828" s="4297">
        <v>0.46869300000000003</v>
      </c>
    </row>
    <row r="829" spans="2:5">
      <c r="B829" s="4296" t="s">
        <v>6923</v>
      </c>
      <c r="C829" s="4296" t="s">
        <v>9126</v>
      </c>
      <c r="D829" s="4296" t="s">
        <v>4897</v>
      </c>
      <c r="E829" s="4297">
        <v>0.45</v>
      </c>
    </row>
    <row r="830" spans="2:5">
      <c r="B830" s="4296" t="s">
        <v>6925</v>
      </c>
      <c r="C830" s="4296" t="s">
        <v>9127</v>
      </c>
      <c r="D830" s="4296" t="s">
        <v>4897</v>
      </c>
      <c r="E830" s="4297">
        <v>0.45</v>
      </c>
    </row>
    <row r="831" spans="2:5">
      <c r="B831" s="4296" t="s">
        <v>6927</v>
      </c>
      <c r="C831" s="4296" t="s">
        <v>9128</v>
      </c>
      <c r="D831" s="4296" t="s">
        <v>5222</v>
      </c>
      <c r="E831" s="4297">
        <v>0.44554400000000005</v>
      </c>
    </row>
    <row r="832" spans="2:5">
      <c r="B832" s="4296" t="s">
        <v>6929</v>
      </c>
      <c r="C832" s="4296" t="s">
        <v>8129</v>
      </c>
      <c r="D832" s="4296" t="s">
        <v>4897</v>
      </c>
      <c r="E832" s="4297">
        <v>0.44333400000000001</v>
      </c>
    </row>
    <row r="833" spans="2:5">
      <c r="B833" s="4296" t="s">
        <v>6931</v>
      </c>
      <c r="C833" s="4296" t="s">
        <v>7097</v>
      </c>
      <c r="D833" s="4296" t="s">
        <v>4674</v>
      </c>
      <c r="E833" s="4297">
        <v>0.43918100000000004</v>
      </c>
    </row>
    <row r="834" spans="2:5">
      <c r="B834" s="4296" t="s">
        <v>6933</v>
      </c>
      <c r="C834" s="4296" t="s">
        <v>8414</v>
      </c>
      <c r="D834" s="4296" t="s">
        <v>5222</v>
      </c>
      <c r="E834" s="4297">
        <v>0.42</v>
      </c>
    </row>
    <row r="835" spans="2:5">
      <c r="B835" s="4296" t="s">
        <v>6935</v>
      </c>
      <c r="C835" s="4287" t="s">
        <v>7984</v>
      </c>
      <c r="D835" s="4287" t="s">
        <v>4987</v>
      </c>
      <c r="E835" s="4297">
        <v>0.42</v>
      </c>
    </row>
    <row r="836" spans="2:5">
      <c r="B836" s="4296" t="s">
        <v>6937</v>
      </c>
      <c r="C836" s="4296" t="s">
        <v>9129</v>
      </c>
      <c r="D836" s="4296" t="s">
        <v>4987</v>
      </c>
      <c r="E836" s="4297">
        <v>0.41303999999999996</v>
      </c>
    </row>
    <row r="837" spans="2:5">
      <c r="B837" s="4296" t="s">
        <v>6939</v>
      </c>
      <c r="C837" s="4296" t="s">
        <v>9130</v>
      </c>
      <c r="D837" s="4296" t="s">
        <v>5753</v>
      </c>
      <c r="E837" s="4297">
        <v>0.40500000000000003</v>
      </c>
    </row>
    <row r="838" spans="2:5">
      <c r="B838" s="4296" t="s">
        <v>6941</v>
      </c>
      <c r="C838" s="4296" t="s">
        <v>8527</v>
      </c>
      <c r="D838" s="4296" t="s">
        <v>4897</v>
      </c>
      <c r="E838" s="4297">
        <v>0.40274000000000004</v>
      </c>
    </row>
    <row r="839" spans="2:5">
      <c r="B839" s="4296" t="s">
        <v>6943</v>
      </c>
      <c r="C839" s="4296" t="s">
        <v>9131</v>
      </c>
      <c r="D839" s="4296" t="s">
        <v>5222</v>
      </c>
      <c r="E839" s="4297">
        <v>0.4</v>
      </c>
    </row>
    <row r="840" spans="2:5">
      <c r="B840" s="4296" t="s">
        <v>6945</v>
      </c>
      <c r="C840" s="4296" t="s">
        <v>8314</v>
      </c>
      <c r="D840" s="4296" t="s">
        <v>5222</v>
      </c>
      <c r="E840" s="4297">
        <v>0.4</v>
      </c>
    </row>
    <row r="841" spans="2:5">
      <c r="B841" s="4296" t="s">
        <v>6947</v>
      </c>
      <c r="C841" s="4296" t="s">
        <v>9132</v>
      </c>
      <c r="D841" s="4296" t="s">
        <v>5222</v>
      </c>
      <c r="E841" s="4297">
        <v>0.39521000000000001</v>
      </c>
    </row>
    <row r="842" spans="2:5">
      <c r="B842" s="4296" t="s">
        <v>6949</v>
      </c>
      <c r="C842" s="4296" t="s">
        <v>8261</v>
      </c>
      <c r="D842" s="4296" t="s">
        <v>4674</v>
      </c>
      <c r="E842" s="4297">
        <v>0.39479999999999998</v>
      </c>
    </row>
    <row r="843" spans="2:5">
      <c r="B843" s="4296" t="s">
        <v>6951</v>
      </c>
      <c r="C843" s="4296" t="s">
        <v>9133</v>
      </c>
      <c r="D843" s="4296" t="s">
        <v>5222</v>
      </c>
      <c r="E843" s="4297">
        <v>0.39452099999999996</v>
      </c>
    </row>
    <row r="844" spans="2:5">
      <c r="B844" s="4296" t="s">
        <v>6953</v>
      </c>
      <c r="C844" s="4296" t="s">
        <v>9134</v>
      </c>
      <c r="D844" s="4296" t="s">
        <v>4987</v>
      </c>
      <c r="E844" s="4297">
        <v>0.37911999999999996</v>
      </c>
    </row>
    <row r="845" spans="2:5">
      <c r="B845" s="4296" t="s">
        <v>6955</v>
      </c>
      <c r="C845" s="4287" t="s">
        <v>9135</v>
      </c>
      <c r="D845" s="4287" t="s">
        <v>4897</v>
      </c>
      <c r="E845" s="4297">
        <v>0.36854799999999999</v>
      </c>
    </row>
    <row r="846" spans="2:5">
      <c r="B846" s="4296" t="s">
        <v>6957</v>
      </c>
      <c r="C846" s="4296" t="s">
        <v>8331</v>
      </c>
      <c r="D846" s="4296" t="s">
        <v>5222</v>
      </c>
      <c r="E846" s="4297">
        <v>0.36098599999999997</v>
      </c>
    </row>
    <row r="847" spans="2:5">
      <c r="B847" s="4296" t="s">
        <v>6959</v>
      </c>
      <c r="C847" s="4296" t="s">
        <v>9136</v>
      </c>
      <c r="D847" s="4296" t="s">
        <v>4897</v>
      </c>
      <c r="E847" s="4297">
        <v>0.36</v>
      </c>
    </row>
    <row r="848" spans="2:5">
      <c r="B848" s="4296" t="s">
        <v>6961</v>
      </c>
      <c r="C848" s="4296" t="s">
        <v>9137</v>
      </c>
      <c r="D848" s="4296" t="s">
        <v>5222</v>
      </c>
      <c r="E848" s="4297">
        <v>0.36</v>
      </c>
    </row>
    <row r="849" spans="2:5">
      <c r="B849" s="4296" t="s">
        <v>6963</v>
      </c>
      <c r="C849" s="4287" t="s">
        <v>9138</v>
      </c>
      <c r="D849" s="4287" t="s">
        <v>5222</v>
      </c>
      <c r="E849" s="4297">
        <v>0.35835699999999998</v>
      </c>
    </row>
    <row r="850" spans="2:5">
      <c r="B850" s="4296" t="s">
        <v>6965</v>
      </c>
      <c r="C850" s="4296" t="s">
        <v>9139</v>
      </c>
      <c r="D850" s="4296" t="s">
        <v>5222</v>
      </c>
      <c r="E850" s="4297">
        <v>0.35</v>
      </c>
    </row>
    <row r="851" spans="2:5">
      <c r="B851" s="4296" t="s">
        <v>6967</v>
      </c>
      <c r="C851" s="4296" t="s">
        <v>9140</v>
      </c>
      <c r="D851" s="4296" t="s">
        <v>5222</v>
      </c>
      <c r="E851" s="4297">
        <v>0.34849300000000005</v>
      </c>
    </row>
    <row r="852" spans="2:5">
      <c r="B852" s="4296" t="s">
        <v>6969</v>
      </c>
      <c r="C852" s="4296" t="s">
        <v>8339</v>
      </c>
      <c r="D852" s="4296" t="s">
        <v>5222</v>
      </c>
      <c r="E852" s="4297">
        <v>0.33424799999999999</v>
      </c>
    </row>
    <row r="853" spans="2:5">
      <c r="B853" s="4296" t="s">
        <v>6971</v>
      </c>
      <c r="C853" s="4296" t="s">
        <v>8336</v>
      </c>
      <c r="D853" s="4296" t="s">
        <v>5222</v>
      </c>
      <c r="E853" s="4297">
        <v>0.31034499999999998</v>
      </c>
    </row>
    <row r="854" spans="2:5">
      <c r="B854" s="4296" t="s">
        <v>6973</v>
      </c>
      <c r="C854" s="4296" t="s">
        <v>9141</v>
      </c>
      <c r="D854" s="4296" t="s">
        <v>5222</v>
      </c>
      <c r="E854" s="4297">
        <v>0.30171999999999999</v>
      </c>
    </row>
    <row r="855" spans="2:5">
      <c r="B855" s="4296" t="s">
        <v>6975</v>
      </c>
      <c r="C855" s="4296" t="s">
        <v>9142</v>
      </c>
      <c r="D855" s="4296" t="s">
        <v>4897</v>
      </c>
      <c r="E855" s="4297">
        <v>0.3</v>
      </c>
    </row>
    <row r="856" spans="2:5">
      <c r="B856" s="4296" t="s">
        <v>6977</v>
      </c>
      <c r="C856" s="4296" t="s">
        <v>9143</v>
      </c>
      <c r="D856" s="4296" t="s">
        <v>5222</v>
      </c>
      <c r="E856" s="4297">
        <v>0.3</v>
      </c>
    </row>
    <row r="857" spans="2:5">
      <c r="B857" s="4296" t="s">
        <v>6979</v>
      </c>
      <c r="C857" s="4296" t="s">
        <v>9144</v>
      </c>
      <c r="D857" s="4296" t="s">
        <v>5222</v>
      </c>
      <c r="E857" s="4297">
        <v>0.3</v>
      </c>
    </row>
    <row r="858" spans="2:5">
      <c r="B858" s="4296" t="s">
        <v>6981</v>
      </c>
      <c r="C858" s="4296" t="s">
        <v>9145</v>
      </c>
      <c r="D858" s="4296" t="s">
        <v>5222</v>
      </c>
      <c r="E858" s="4297">
        <v>0.3</v>
      </c>
    </row>
    <row r="859" spans="2:5">
      <c r="B859" s="4296" t="s">
        <v>6983</v>
      </c>
      <c r="C859" s="4296" t="s">
        <v>9146</v>
      </c>
      <c r="D859" s="4296" t="s">
        <v>5222</v>
      </c>
      <c r="E859" s="4297">
        <v>0.3</v>
      </c>
    </row>
    <row r="860" spans="2:5">
      <c r="B860" s="4296" t="s">
        <v>6985</v>
      </c>
      <c r="C860" s="4296" t="s">
        <v>8544</v>
      </c>
      <c r="D860" s="4296" t="s">
        <v>5222</v>
      </c>
      <c r="E860" s="4297">
        <v>0.298369</v>
      </c>
    </row>
    <row r="861" spans="2:5">
      <c r="B861" s="4296" t="s">
        <v>6987</v>
      </c>
      <c r="C861" s="4296" t="s">
        <v>9147</v>
      </c>
      <c r="D861" s="4296" t="s">
        <v>4897</v>
      </c>
      <c r="E861" s="4297">
        <v>0.29589099999999996</v>
      </c>
    </row>
    <row r="862" spans="2:5">
      <c r="B862" s="4296" t="s">
        <v>6989</v>
      </c>
      <c r="C862" s="4296" t="s">
        <v>9148</v>
      </c>
      <c r="D862" s="4296" t="s">
        <v>4897</v>
      </c>
      <c r="E862" s="4297">
        <v>0.29589099999999996</v>
      </c>
    </row>
    <row r="863" spans="2:5">
      <c r="B863" s="4296" t="s">
        <v>6991</v>
      </c>
      <c r="C863" s="4296" t="s">
        <v>9149</v>
      </c>
      <c r="D863" s="4296" t="s">
        <v>5222</v>
      </c>
      <c r="E863" s="4297">
        <v>0.29589099999999996</v>
      </c>
    </row>
    <row r="864" spans="2:5">
      <c r="B864" s="4296" t="s">
        <v>6993</v>
      </c>
      <c r="C864" s="4287" t="s">
        <v>9150</v>
      </c>
      <c r="D864" s="4287" t="s">
        <v>4897</v>
      </c>
      <c r="E864" s="4297">
        <v>0.29562100000000002</v>
      </c>
    </row>
    <row r="865" spans="2:5">
      <c r="B865" s="4296" t="s">
        <v>6995</v>
      </c>
      <c r="C865" s="4296" t="s">
        <v>9151</v>
      </c>
      <c r="D865" s="4296" t="s">
        <v>5222</v>
      </c>
      <c r="E865" s="4297">
        <v>0.28273999999999999</v>
      </c>
    </row>
    <row r="866" spans="2:5">
      <c r="B866" s="4296" t="s">
        <v>6997</v>
      </c>
      <c r="C866" s="4296" t="s">
        <v>8197</v>
      </c>
      <c r="D866" s="4296" t="s">
        <v>4897</v>
      </c>
      <c r="E866" s="4297">
        <v>0.27500000000000002</v>
      </c>
    </row>
    <row r="867" spans="2:5">
      <c r="B867" s="4296" t="s">
        <v>6999</v>
      </c>
      <c r="C867" s="4296" t="s">
        <v>8382</v>
      </c>
      <c r="D867" s="4296" t="s">
        <v>4897</v>
      </c>
      <c r="E867" s="4297">
        <v>0.25833400000000001</v>
      </c>
    </row>
    <row r="868" spans="2:5">
      <c r="B868" s="4296" t="s">
        <v>7001</v>
      </c>
      <c r="C868" s="4296" t="s">
        <v>8096</v>
      </c>
      <c r="D868" s="4296" t="s">
        <v>4987</v>
      </c>
      <c r="E868" s="4297">
        <v>0.25669999999999998</v>
      </c>
    </row>
    <row r="869" spans="2:5">
      <c r="B869" s="4296" t="s">
        <v>7003</v>
      </c>
      <c r="C869" s="4296" t="s">
        <v>8428</v>
      </c>
      <c r="D869" s="4296" t="s">
        <v>5222</v>
      </c>
      <c r="E869" s="4297">
        <v>0.25150700000000004</v>
      </c>
    </row>
    <row r="870" spans="2:5">
      <c r="B870" s="4296" t="s">
        <v>7005</v>
      </c>
      <c r="C870" s="4296" t="s">
        <v>9152</v>
      </c>
      <c r="D870" s="4296" t="s">
        <v>5222</v>
      </c>
      <c r="E870" s="4297">
        <v>0.25</v>
      </c>
    </row>
    <row r="871" spans="2:5">
      <c r="B871" s="4296" t="s">
        <v>7007</v>
      </c>
      <c r="C871" s="4296" t="s">
        <v>9153</v>
      </c>
      <c r="D871" s="4296" t="s">
        <v>5222</v>
      </c>
      <c r="E871" s="4297">
        <v>0.25</v>
      </c>
    </row>
    <row r="872" spans="2:5">
      <c r="B872" s="4296" t="s">
        <v>7009</v>
      </c>
      <c r="C872" s="4287" t="s">
        <v>9154</v>
      </c>
      <c r="D872" s="4287" t="s">
        <v>4987</v>
      </c>
      <c r="E872" s="4297">
        <v>0.21424000000000001</v>
      </c>
    </row>
    <row r="873" spans="2:5">
      <c r="B873" s="4296" t="s">
        <v>7011</v>
      </c>
      <c r="C873" s="4296" t="s">
        <v>9155</v>
      </c>
      <c r="D873" s="4296" t="s">
        <v>4674</v>
      </c>
      <c r="E873" s="4297">
        <v>0.21</v>
      </c>
    </row>
    <row r="874" spans="2:5">
      <c r="B874" s="4296" t="s">
        <v>7013</v>
      </c>
      <c r="C874" s="4296" t="s">
        <v>9156</v>
      </c>
      <c r="D874" s="4296" t="s">
        <v>5222</v>
      </c>
      <c r="E874" s="4297">
        <v>0.2</v>
      </c>
    </row>
    <row r="875" spans="2:5">
      <c r="B875" s="4296" t="s">
        <v>7015</v>
      </c>
      <c r="C875" s="4296" t="s">
        <v>9157</v>
      </c>
      <c r="D875" s="4296" t="s">
        <v>5222</v>
      </c>
      <c r="E875" s="4297">
        <v>0.2</v>
      </c>
    </row>
    <row r="876" spans="2:5">
      <c r="B876" s="4296" t="s">
        <v>7017</v>
      </c>
      <c r="C876" s="4296" t="s">
        <v>9158</v>
      </c>
      <c r="D876" s="4296" t="s">
        <v>5222</v>
      </c>
      <c r="E876" s="4297">
        <v>0.1966</v>
      </c>
    </row>
    <row r="877" spans="2:5">
      <c r="B877" s="4296" t="s">
        <v>7562</v>
      </c>
      <c r="C877" s="4296" t="s">
        <v>9159</v>
      </c>
      <c r="D877" s="4296" t="s">
        <v>5234</v>
      </c>
      <c r="E877" s="4297">
        <v>0.18953899999999993</v>
      </c>
    </row>
    <row r="878" spans="2:5">
      <c r="B878" s="4296" t="s">
        <v>7563</v>
      </c>
      <c r="C878" s="4296" t="s">
        <v>9160</v>
      </c>
      <c r="D878" s="4296" t="s">
        <v>5222</v>
      </c>
      <c r="E878" s="4297">
        <v>0.18739699999999998</v>
      </c>
    </row>
    <row r="879" spans="2:5">
      <c r="B879" s="4296" t="s">
        <v>7565</v>
      </c>
      <c r="C879" s="4296" t="s">
        <v>9161</v>
      </c>
      <c r="D879" s="4296" t="s">
        <v>5222</v>
      </c>
      <c r="E879" s="4297">
        <v>0.18260799999999999</v>
      </c>
    </row>
    <row r="880" spans="2:5">
      <c r="B880" s="4296" t="s">
        <v>7567</v>
      </c>
      <c r="C880" s="4296" t="s">
        <v>9162</v>
      </c>
      <c r="D880" s="4296" t="s">
        <v>5222</v>
      </c>
      <c r="E880" s="4297">
        <v>0.17753500000000003</v>
      </c>
    </row>
    <row r="881" spans="2:5">
      <c r="B881" s="4296" t="s">
        <v>7568</v>
      </c>
      <c r="C881" s="4296" t="s">
        <v>9163</v>
      </c>
      <c r="D881" s="4296" t="s">
        <v>5222</v>
      </c>
      <c r="E881" s="4297">
        <v>0.14794499999999999</v>
      </c>
    </row>
    <row r="882" spans="2:5">
      <c r="B882" s="4296" t="s">
        <v>7570</v>
      </c>
      <c r="C882" s="4296" t="s">
        <v>8542</v>
      </c>
      <c r="D882" s="4296" t="s">
        <v>4897</v>
      </c>
      <c r="E882" s="4297">
        <v>0.14333399999999999</v>
      </c>
    </row>
    <row r="883" spans="2:5">
      <c r="B883" s="4296" t="s">
        <v>7572</v>
      </c>
      <c r="C883" s="4296" t="s">
        <v>7002</v>
      </c>
      <c r="D883" s="4296" t="s">
        <v>5234</v>
      </c>
      <c r="E883" s="4297">
        <v>0.12470000000000001</v>
      </c>
    </row>
    <row r="884" spans="2:5">
      <c r="B884" s="4296" t="s">
        <v>7574</v>
      </c>
      <c r="C884" s="4296" t="s">
        <v>9164</v>
      </c>
      <c r="D884" s="4296" t="s">
        <v>5222</v>
      </c>
      <c r="E884" s="4297">
        <v>0.10549500000000001</v>
      </c>
    </row>
    <row r="885" spans="2:5">
      <c r="B885" s="4296" t="s">
        <v>7575</v>
      </c>
      <c r="C885" s="4296" t="s">
        <v>9165</v>
      </c>
      <c r="D885" s="4296" t="s">
        <v>5222</v>
      </c>
      <c r="E885" s="4297">
        <v>6.8477999999999997E-2</v>
      </c>
    </row>
    <row r="886" spans="2:5">
      <c r="B886" s="4296" t="s">
        <v>7577</v>
      </c>
      <c r="C886" s="4296" t="s">
        <v>8296</v>
      </c>
      <c r="D886" s="4296" t="s">
        <v>4987</v>
      </c>
      <c r="E886" s="4297">
        <v>5.9272000000000005E-2</v>
      </c>
    </row>
    <row r="887" spans="2:5">
      <c r="B887" s="4296" t="s">
        <v>7579</v>
      </c>
      <c r="C887" s="4296" t="s">
        <v>9166</v>
      </c>
      <c r="D887" s="4296" t="s">
        <v>5222</v>
      </c>
      <c r="E887" s="4297">
        <v>0.05</v>
      </c>
    </row>
    <row r="888" spans="2:5">
      <c r="B888" s="4296" t="s">
        <v>7581</v>
      </c>
      <c r="C888" s="4296" t="s">
        <v>8512</v>
      </c>
      <c r="D888" s="4296" t="s">
        <v>4897</v>
      </c>
      <c r="E888" s="4297">
        <v>4.8386999999999999E-2</v>
      </c>
    </row>
    <row r="889" spans="2:5">
      <c r="B889" s="4296" t="s">
        <v>7583</v>
      </c>
      <c r="C889" s="4296" t="s">
        <v>9167</v>
      </c>
      <c r="D889" s="4296" t="s">
        <v>5234</v>
      </c>
      <c r="E889" s="4297">
        <v>0.03</v>
      </c>
    </row>
    <row r="890" spans="2:5">
      <c r="B890" s="4296" t="s">
        <v>7585</v>
      </c>
      <c r="C890" s="4296" t="s">
        <v>6958</v>
      </c>
      <c r="D890" s="4296" t="s">
        <v>4897</v>
      </c>
      <c r="E890" s="4297">
        <v>1.6978E-2</v>
      </c>
    </row>
    <row r="891" spans="2:5">
      <c r="B891" s="4296" t="s">
        <v>7586</v>
      </c>
      <c r="C891" s="4296" t="s">
        <v>9168</v>
      </c>
      <c r="D891" s="4296" t="s">
        <v>5232</v>
      </c>
      <c r="E891" s="4297">
        <v>6.853999999999999E-3</v>
      </c>
    </row>
    <row r="892" spans="2:5">
      <c r="B892" s="4296" t="s">
        <v>7588</v>
      </c>
      <c r="C892" s="4296" t="s">
        <v>9169</v>
      </c>
      <c r="D892" s="4296" t="s">
        <v>5232</v>
      </c>
      <c r="E892" s="4297">
        <v>5.6049999999999997E-3</v>
      </c>
    </row>
    <row r="893" spans="2:5">
      <c r="B893" s="4296" t="s">
        <v>7590</v>
      </c>
      <c r="C893" s="4296" t="s">
        <v>8647</v>
      </c>
      <c r="D893" s="4296" t="s">
        <v>5232</v>
      </c>
      <c r="E893" s="4297">
        <v>4.445000000000001E-3</v>
      </c>
    </row>
    <row r="894" spans="2:5">
      <c r="B894" s="4296" t="s">
        <v>7592</v>
      </c>
      <c r="C894" s="4296" t="s">
        <v>9170</v>
      </c>
      <c r="D894" s="4296" t="s">
        <v>5232</v>
      </c>
      <c r="E894" s="4297">
        <v>2.9720000000000002E-3</v>
      </c>
    </row>
    <row r="895" spans="2:5">
      <c r="B895" s="4296" t="s">
        <v>7593</v>
      </c>
      <c r="C895" s="4296" t="s">
        <v>9171</v>
      </c>
      <c r="D895" s="4296" t="s">
        <v>5232</v>
      </c>
      <c r="E895" s="4297">
        <v>2.3629999999999996E-3</v>
      </c>
    </row>
    <row r="896" spans="2:5">
      <c r="B896" s="4296" t="s">
        <v>7594</v>
      </c>
      <c r="C896" s="4296" t="s">
        <v>9172</v>
      </c>
      <c r="D896" s="4296" t="s">
        <v>4897</v>
      </c>
      <c r="E896" s="4297">
        <v>2.359E-3</v>
      </c>
    </row>
    <row r="897" spans="2:5">
      <c r="B897" s="4296" t="s">
        <v>7596</v>
      </c>
      <c r="C897" s="4296" t="s">
        <v>9173</v>
      </c>
      <c r="D897" s="4296" t="s">
        <v>5232</v>
      </c>
      <c r="E897" s="4297">
        <v>2.2919999999999998E-3</v>
      </c>
    </row>
    <row r="898" spans="2:5">
      <c r="B898" s="4296" t="s">
        <v>7598</v>
      </c>
      <c r="C898" s="4296" t="s">
        <v>9174</v>
      </c>
      <c r="D898" s="4296" t="s">
        <v>5232</v>
      </c>
      <c r="E898" s="4297">
        <v>9.3399999999999993E-4</v>
      </c>
    </row>
    <row r="899" spans="2:5">
      <c r="B899" s="4296" t="s">
        <v>7600</v>
      </c>
      <c r="C899" s="4296" t="s">
        <v>8640</v>
      </c>
      <c r="D899" s="4296" t="s">
        <v>5232</v>
      </c>
      <c r="E899" s="4297">
        <v>7.7400000000000006E-4</v>
      </c>
    </row>
    <row r="900" spans="2:5">
      <c r="B900" s="4296" t="s">
        <v>7602</v>
      </c>
      <c r="C900" s="4296" t="s">
        <v>9175</v>
      </c>
      <c r="D900" s="4296" t="s">
        <v>5232</v>
      </c>
      <c r="E900" s="4297">
        <v>7.1999999999999994E-4</v>
      </c>
    </row>
    <row r="901" spans="2:5">
      <c r="B901" s="4296" t="s">
        <v>7604</v>
      </c>
      <c r="C901" s="4296" t="s">
        <v>9176</v>
      </c>
      <c r="D901" s="4296" t="s">
        <v>5232</v>
      </c>
      <c r="E901" s="4297">
        <v>6.4500000000000007E-4</v>
      </c>
    </row>
    <row r="902" spans="2:5">
      <c r="B902" s="4296" t="s">
        <v>7606</v>
      </c>
      <c r="C902" s="4296" t="s">
        <v>9177</v>
      </c>
      <c r="D902" s="4296" t="s">
        <v>5232</v>
      </c>
      <c r="E902" s="4297">
        <v>4.0300000000000004E-4</v>
      </c>
    </row>
    <row r="903" spans="2:5">
      <c r="B903" s="4296" t="s">
        <v>7607</v>
      </c>
      <c r="C903" s="4296" t="s">
        <v>9178</v>
      </c>
      <c r="D903" s="4296" t="s">
        <v>5232</v>
      </c>
      <c r="E903" s="4297">
        <v>2.4100000000000011E-4</v>
      </c>
    </row>
    <row r="904" spans="2:5">
      <c r="B904" s="4296" t="s">
        <v>7609</v>
      </c>
      <c r="C904" s="4296" t="s">
        <v>9179</v>
      </c>
      <c r="D904" s="4296" t="s">
        <v>5232</v>
      </c>
      <c r="E904" s="4297">
        <v>2.3000000000000003E-4</v>
      </c>
    </row>
    <row r="905" spans="2:5">
      <c r="B905" s="4296" t="s">
        <v>7610</v>
      </c>
      <c r="C905" s="4296" t="s">
        <v>9180</v>
      </c>
      <c r="D905" s="4296" t="s">
        <v>5232</v>
      </c>
      <c r="E905" s="4297">
        <v>1.6000000000000001E-4</v>
      </c>
    </row>
    <row r="906" spans="2:5">
      <c r="B906" s="4296" t="s">
        <v>7612</v>
      </c>
      <c r="C906" s="4296" t="s">
        <v>9181</v>
      </c>
      <c r="D906" s="4296" t="s">
        <v>5232</v>
      </c>
      <c r="E906" s="4297">
        <v>1.4899999999999999E-4</v>
      </c>
    </row>
    <row r="907" spans="2:5">
      <c r="B907" s="4296" t="s">
        <v>7614</v>
      </c>
      <c r="C907" s="4296" t="s">
        <v>9182</v>
      </c>
      <c r="D907" s="4296" t="s">
        <v>5232</v>
      </c>
      <c r="E907" s="4297">
        <v>1.01E-4</v>
      </c>
    </row>
    <row r="908" spans="2:5">
      <c r="B908" s="4296" t="s">
        <v>7616</v>
      </c>
      <c r="C908" s="4296" t="s">
        <v>9183</v>
      </c>
      <c r="D908" s="4296" t="s">
        <v>5232</v>
      </c>
      <c r="E908" s="4297">
        <v>9.6000000000000002E-5</v>
      </c>
    </row>
    <row r="909" spans="2:5">
      <c r="B909" s="4296" t="s">
        <v>7618</v>
      </c>
      <c r="C909" s="4296" t="s">
        <v>9184</v>
      </c>
      <c r="D909" s="4296" t="s">
        <v>5232</v>
      </c>
      <c r="E909" s="4297">
        <v>7.2000000000000002E-5</v>
      </c>
    </row>
    <row r="910" spans="2:5">
      <c r="B910" s="4296" t="s">
        <v>7619</v>
      </c>
      <c r="C910" s="4296" t="s">
        <v>9185</v>
      </c>
      <c r="D910" s="4296" t="s">
        <v>5232</v>
      </c>
      <c r="E910" s="4297">
        <v>6.3999999999999997E-5</v>
      </c>
    </row>
    <row r="911" spans="2:5">
      <c r="B911" s="4296" t="s">
        <v>7621</v>
      </c>
      <c r="C911" s="4296" t="s">
        <v>9186</v>
      </c>
      <c r="D911" s="4296" t="s">
        <v>5232</v>
      </c>
      <c r="E911" s="4297">
        <v>5.7999999999999994E-5</v>
      </c>
    </row>
    <row r="912" spans="2:5">
      <c r="B912" s="4296" t="s">
        <v>7622</v>
      </c>
      <c r="C912" s="4296" t="s">
        <v>9187</v>
      </c>
      <c r="D912" s="4296" t="s">
        <v>5232</v>
      </c>
      <c r="E912" s="4297">
        <v>4.7000000000000004E-5</v>
      </c>
    </row>
    <row r="913" spans="2:5">
      <c r="B913" s="4296" t="s">
        <v>7624</v>
      </c>
      <c r="C913" s="4296" t="s">
        <v>9188</v>
      </c>
      <c r="D913" s="4296" t="s">
        <v>5232</v>
      </c>
      <c r="E913" s="4297">
        <v>1.5999999999999999E-5</v>
      </c>
    </row>
    <row r="914" spans="2:5">
      <c r="B914" s="4296" t="s">
        <v>7626</v>
      </c>
      <c r="C914" s="4296" t="s">
        <v>9189</v>
      </c>
      <c r="D914" s="4296" t="s">
        <v>5232</v>
      </c>
      <c r="E914" s="4297">
        <v>1.5999999999999999E-5</v>
      </c>
    </row>
    <row r="915" spans="2:5">
      <c r="B915" s="4296" t="s">
        <v>7628</v>
      </c>
      <c r="C915" s="4296" t="s">
        <v>9190</v>
      </c>
      <c r="D915" s="4296" t="s">
        <v>5232</v>
      </c>
      <c r="E915" s="4297">
        <v>1.3000000000000001E-5</v>
      </c>
    </row>
    <row r="916" spans="2:5">
      <c r="B916" s="4296" t="s">
        <v>7629</v>
      </c>
      <c r="C916" s="4296" t="s">
        <v>9191</v>
      </c>
      <c r="D916" s="4296" t="s">
        <v>5232</v>
      </c>
      <c r="E916" s="4297">
        <v>1.2E-5</v>
      </c>
    </row>
    <row r="917" spans="2:5">
      <c r="B917" s="4296" t="s">
        <v>7631</v>
      </c>
      <c r="C917" s="4296" t="s">
        <v>9192</v>
      </c>
      <c r="D917" s="4296" t="s">
        <v>5232</v>
      </c>
      <c r="E917" s="4297">
        <v>7.9999999999999996E-6</v>
      </c>
    </row>
  </sheetData>
  <autoFilter ref="C2:F28" xr:uid="{00000000-0009-0000-0000-000009000000}">
    <sortState xmlns:xlrd2="http://schemas.microsoft.com/office/spreadsheetml/2017/richdata2" ref="C3:E937">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E29E2-7809-413D-BE3F-47D2F9291B33}">
  <dimension ref="B1:H914"/>
  <sheetViews>
    <sheetView workbookViewId="0">
      <pane xSplit="3" ySplit="2" topLeftCell="D3" activePane="bottomRight" state="frozen"/>
      <selection activeCell="H17" sqref="H17"/>
      <selection pane="topRight" activeCell="H17" sqref="H17"/>
      <selection pane="bottomLeft" activeCell="H17" sqref="H17"/>
      <selection pane="bottomRight" activeCell="H17" sqref="H17"/>
    </sheetView>
  </sheetViews>
  <sheetFormatPr defaultRowHeight="16.5"/>
  <cols>
    <col min="1" max="2" width="9" style="4283"/>
    <col min="3" max="4" width="26.5" style="4291" customWidth="1"/>
    <col min="5" max="5" width="14.625" style="4299" customWidth="1"/>
    <col min="6" max="7" width="9" style="4283"/>
    <col min="8" max="8" width="11.625" style="4283" bestFit="1" customWidth="1"/>
    <col min="9" max="9" width="15.5" style="4283" bestFit="1" customWidth="1"/>
    <col min="10" max="10" width="10.5" style="4283" bestFit="1" customWidth="1"/>
    <col min="11" max="16384" width="9" style="4283"/>
  </cols>
  <sheetData>
    <row r="1" spans="2:8" ht="21">
      <c r="B1" s="4764" t="s">
        <v>7019</v>
      </c>
      <c r="C1" s="4764"/>
      <c r="D1" s="4764"/>
      <c r="E1" s="4765"/>
    </row>
    <row r="2" spans="2:8" ht="15">
      <c r="B2" s="4294" t="s">
        <v>4651</v>
      </c>
      <c r="C2" s="4294" t="s">
        <v>5267</v>
      </c>
      <c r="D2" s="4294" t="s">
        <v>4652</v>
      </c>
      <c r="E2" s="4295" t="s">
        <v>5268</v>
      </c>
    </row>
    <row r="3" spans="2:8">
      <c r="B3" s="4296" t="s">
        <v>5269</v>
      </c>
      <c r="C3" s="4296" t="s">
        <v>5277</v>
      </c>
      <c r="D3" s="4296" t="s">
        <v>4657</v>
      </c>
      <c r="E3" s="4297">
        <v>613.79984100000024</v>
      </c>
      <c r="G3" s="4300" t="s">
        <v>5272</v>
      </c>
      <c r="H3" s="4301">
        <f>SUM(E3:E914)</f>
        <v>20576.18160599998</v>
      </c>
    </row>
    <row r="4" spans="2:8">
      <c r="B4" s="4296" t="s">
        <v>5273</v>
      </c>
      <c r="C4" s="4296" t="s">
        <v>7020</v>
      </c>
      <c r="D4" s="4296" t="s">
        <v>4664</v>
      </c>
      <c r="E4" s="4297">
        <v>405.5959499999999</v>
      </c>
    </row>
    <row r="5" spans="2:8">
      <c r="B5" s="4296" t="s">
        <v>5276</v>
      </c>
      <c r="C5" s="4296" t="s">
        <v>5270</v>
      </c>
      <c r="D5" s="4296" t="s">
        <v>4657</v>
      </c>
      <c r="E5" s="4297">
        <v>391.50847099999993</v>
      </c>
    </row>
    <row r="6" spans="2:8">
      <c r="B6" s="4296" t="s">
        <v>5279</v>
      </c>
      <c r="C6" s="4296" t="s">
        <v>7786</v>
      </c>
      <c r="D6" s="4296" t="s">
        <v>4674</v>
      </c>
      <c r="E6" s="4297">
        <v>222.79590700000003</v>
      </c>
    </row>
    <row r="7" spans="2:8">
      <c r="B7" s="4296" t="s">
        <v>5281</v>
      </c>
      <c r="C7" s="4296" t="s">
        <v>5341</v>
      </c>
      <c r="D7" s="4296" t="s">
        <v>4674</v>
      </c>
      <c r="E7" s="4297">
        <v>207.07719399999996</v>
      </c>
    </row>
    <row r="8" spans="2:8">
      <c r="B8" s="4296" t="s">
        <v>5283</v>
      </c>
      <c r="C8" s="4287" t="s">
        <v>5292</v>
      </c>
      <c r="D8" s="4287" t="s">
        <v>4674</v>
      </c>
      <c r="E8" s="4297">
        <v>202.90882999999999</v>
      </c>
    </row>
    <row r="9" spans="2:8">
      <c r="B9" s="4296" t="s">
        <v>5285</v>
      </c>
      <c r="C9" s="4296" t="s">
        <v>5280</v>
      </c>
      <c r="D9" s="4296" t="s">
        <v>4674</v>
      </c>
      <c r="E9" s="4297">
        <v>196.30642899999998</v>
      </c>
    </row>
    <row r="10" spans="2:8">
      <c r="B10" s="4296" t="s">
        <v>5287</v>
      </c>
      <c r="C10" s="4296" t="s">
        <v>5284</v>
      </c>
      <c r="D10" s="4296" t="s">
        <v>4674</v>
      </c>
      <c r="E10" s="4297">
        <v>188.01435099999998</v>
      </c>
    </row>
    <row r="11" spans="2:8">
      <c r="B11" s="4296" t="s">
        <v>5289</v>
      </c>
      <c r="C11" s="4296" t="s">
        <v>7021</v>
      </c>
      <c r="D11" s="4296" t="s">
        <v>4674</v>
      </c>
      <c r="E11" s="4297">
        <v>179.96162799999996</v>
      </c>
    </row>
    <row r="12" spans="2:8">
      <c r="B12" s="4296" t="s">
        <v>5291</v>
      </c>
      <c r="C12" s="4296" t="s">
        <v>5379</v>
      </c>
      <c r="D12" s="4296" t="s">
        <v>4674</v>
      </c>
      <c r="E12" s="4297">
        <v>179.27162099999993</v>
      </c>
    </row>
    <row r="13" spans="2:8">
      <c r="B13" s="4296" t="s">
        <v>5293</v>
      </c>
      <c r="C13" s="4296" t="s">
        <v>7752</v>
      </c>
      <c r="D13" s="4296" t="s">
        <v>4674</v>
      </c>
      <c r="E13" s="4297">
        <v>158.63698500000004</v>
      </c>
    </row>
    <row r="14" spans="2:8">
      <c r="B14" s="4296" t="s">
        <v>5295</v>
      </c>
      <c r="C14" s="4287" t="s">
        <v>8112</v>
      </c>
      <c r="D14" s="4287" t="s">
        <v>4674</v>
      </c>
      <c r="E14" s="4297">
        <v>158.43573099999998</v>
      </c>
    </row>
    <row r="15" spans="2:8">
      <c r="B15" s="4296" t="s">
        <v>5297</v>
      </c>
      <c r="C15" s="4296" t="s">
        <v>9193</v>
      </c>
      <c r="D15" s="4296" t="s">
        <v>9194</v>
      </c>
      <c r="E15" s="4297">
        <v>156.52890600000003</v>
      </c>
    </row>
    <row r="16" spans="2:8">
      <c r="B16" s="4296" t="s">
        <v>5299</v>
      </c>
      <c r="C16" s="4296" t="s">
        <v>7751</v>
      </c>
      <c r="D16" s="4296" t="s">
        <v>4674</v>
      </c>
      <c r="E16" s="4297">
        <v>139.98009000000005</v>
      </c>
    </row>
    <row r="17" spans="2:5">
      <c r="B17" s="4296" t="s">
        <v>5301</v>
      </c>
      <c r="C17" s="4296" t="s">
        <v>7761</v>
      </c>
      <c r="D17" s="4296" t="s">
        <v>4674</v>
      </c>
      <c r="E17" s="4297">
        <v>139.32116499999995</v>
      </c>
    </row>
    <row r="18" spans="2:5">
      <c r="B18" s="4296" t="s">
        <v>5303</v>
      </c>
      <c r="C18" s="4296" t="s">
        <v>8707</v>
      </c>
      <c r="D18" s="4296" t="s">
        <v>4674</v>
      </c>
      <c r="E18" s="4297">
        <v>138.55224200000006</v>
      </c>
    </row>
    <row r="19" spans="2:5">
      <c r="B19" s="4296" t="s">
        <v>5305</v>
      </c>
      <c r="C19" s="4296" t="s">
        <v>7750</v>
      </c>
      <c r="D19" s="4296" t="s">
        <v>4674</v>
      </c>
      <c r="E19" s="4297">
        <v>134.23085499999999</v>
      </c>
    </row>
    <row r="20" spans="2:5">
      <c r="B20" s="4296" t="s">
        <v>5307</v>
      </c>
      <c r="C20" s="4296" t="s">
        <v>7764</v>
      </c>
      <c r="D20" s="4296" t="s">
        <v>4674</v>
      </c>
      <c r="E20" s="4297">
        <v>133.04549599999999</v>
      </c>
    </row>
    <row r="21" spans="2:5">
      <c r="B21" s="4296" t="s">
        <v>5309</v>
      </c>
      <c r="C21" s="4296" t="s">
        <v>7774</v>
      </c>
      <c r="D21" s="4296" t="s">
        <v>4674</v>
      </c>
      <c r="E21" s="4297">
        <v>129.86890400000001</v>
      </c>
    </row>
    <row r="22" spans="2:5">
      <c r="B22" s="4296" t="s">
        <v>5311</v>
      </c>
      <c r="C22" s="4296" t="s">
        <v>7755</v>
      </c>
      <c r="D22" s="4296" t="s">
        <v>4674</v>
      </c>
      <c r="E22" s="4297">
        <v>128.901081</v>
      </c>
    </row>
    <row r="23" spans="2:5">
      <c r="B23" s="4296" t="s">
        <v>5313</v>
      </c>
      <c r="C23" s="4296" t="s">
        <v>7753</v>
      </c>
      <c r="D23" s="4296" t="s">
        <v>4674</v>
      </c>
      <c r="E23" s="4297">
        <v>127.61466200000001</v>
      </c>
    </row>
    <row r="24" spans="2:5">
      <c r="B24" s="4296" t="s">
        <v>5315</v>
      </c>
      <c r="C24" s="4296" t="s">
        <v>5306</v>
      </c>
      <c r="D24" s="4296" t="s">
        <v>4674</v>
      </c>
      <c r="E24" s="4297">
        <v>127.61233299999994</v>
      </c>
    </row>
    <row r="25" spans="2:5">
      <c r="B25" s="4296" t="s">
        <v>5317</v>
      </c>
      <c r="C25" s="4296" t="s">
        <v>8768</v>
      </c>
      <c r="D25" s="4296" t="s">
        <v>4674</v>
      </c>
      <c r="E25" s="4297">
        <v>125.92073099999999</v>
      </c>
    </row>
    <row r="26" spans="2:5">
      <c r="B26" s="4296" t="s">
        <v>5319</v>
      </c>
      <c r="C26" s="4296" t="s">
        <v>8657</v>
      </c>
      <c r="D26" s="4296" t="s">
        <v>4674</v>
      </c>
      <c r="E26" s="4297">
        <v>122.24411500000001</v>
      </c>
    </row>
    <row r="27" spans="2:5">
      <c r="B27" s="4296" t="s">
        <v>5321</v>
      </c>
      <c r="C27" s="4296" t="s">
        <v>7754</v>
      </c>
      <c r="D27" s="4296" t="s">
        <v>4674</v>
      </c>
      <c r="E27" s="4297">
        <v>121.87588500000001</v>
      </c>
    </row>
    <row r="28" spans="2:5">
      <c r="B28" s="4296" t="s">
        <v>5323</v>
      </c>
      <c r="C28" s="4296" t="s">
        <v>9195</v>
      </c>
      <c r="D28" s="4296" t="s">
        <v>4674</v>
      </c>
      <c r="E28" s="4297">
        <v>120.74451100000002</v>
      </c>
    </row>
    <row r="29" spans="2:5">
      <c r="B29" s="4296" t="s">
        <v>5325</v>
      </c>
      <c r="C29" s="4287" t="s">
        <v>8751</v>
      </c>
      <c r="D29" s="4287" t="s">
        <v>4674</v>
      </c>
      <c r="E29" s="4297">
        <v>119.91971099999996</v>
      </c>
    </row>
    <row r="30" spans="2:5">
      <c r="B30" s="4296" t="s">
        <v>5327</v>
      </c>
      <c r="C30" s="4296" t="s">
        <v>8653</v>
      </c>
      <c r="D30" s="4296" t="s">
        <v>4674</v>
      </c>
      <c r="E30" s="4297">
        <v>115.363933</v>
      </c>
    </row>
    <row r="31" spans="2:5">
      <c r="B31" s="4296" t="s">
        <v>5329</v>
      </c>
      <c r="C31" s="4296" t="s">
        <v>7759</v>
      </c>
      <c r="D31" s="4296" t="s">
        <v>4674</v>
      </c>
      <c r="E31" s="4297">
        <v>113.70249899999997</v>
      </c>
    </row>
    <row r="32" spans="2:5">
      <c r="B32" s="4296" t="s">
        <v>5331</v>
      </c>
      <c r="C32" s="4296" t="s">
        <v>8651</v>
      </c>
      <c r="D32" s="4296" t="s">
        <v>4674</v>
      </c>
      <c r="E32" s="4297">
        <v>107.64271300000001</v>
      </c>
    </row>
    <row r="33" spans="2:5">
      <c r="B33" s="4296" t="s">
        <v>5333</v>
      </c>
      <c r="C33" s="4296" t="s">
        <v>5433</v>
      </c>
      <c r="D33" s="4296" t="s">
        <v>4674</v>
      </c>
      <c r="E33" s="4297">
        <v>107.25383099999998</v>
      </c>
    </row>
    <row r="34" spans="2:5">
      <c r="B34" s="4296" t="s">
        <v>5335</v>
      </c>
      <c r="C34" s="4296" t="s">
        <v>7767</v>
      </c>
      <c r="D34" s="4296" t="s">
        <v>4674</v>
      </c>
      <c r="E34" s="4297">
        <v>106.86441799999997</v>
      </c>
    </row>
    <row r="35" spans="2:5">
      <c r="B35" s="4296" t="s">
        <v>5337</v>
      </c>
      <c r="C35" s="4296" t="s">
        <v>7769</v>
      </c>
      <c r="D35" s="4296" t="s">
        <v>4674</v>
      </c>
      <c r="E35" s="4297">
        <v>106.50127600000002</v>
      </c>
    </row>
    <row r="36" spans="2:5">
      <c r="B36" s="4296" t="s">
        <v>5339</v>
      </c>
      <c r="C36" s="4287" t="s">
        <v>8658</v>
      </c>
      <c r="D36" s="4287" t="s">
        <v>4674</v>
      </c>
      <c r="E36" s="4297">
        <v>105.70919700000002</v>
      </c>
    </row>
    <row r="37" spans="2:5">
      <c r="B37" s="4296" t="s">
        <v>4008</v>
      </c>
      <c r="C37" s="4296" t="s">
        <v>5771</v>
      </c>
      <c r="D37" s="4296" t="s">
        <v>4674</v>
      </c>
      <c r="E37" s="4297">
        <v>105.62063899999998</v>
      </c>
    </row>
    <row r="38" spans="2:5">
      <c r="B38" s="4296" t="s">
        <v>5342</v>
      </c>
      <c r="C38" s="4296" t="s">
        <v>5314</v>
      </c>
      <c r="D38" s="4296" t="s">
        <v>4674</v>
      </c>
      <c r="E38" s="4297">
        <v>105.49260800000006</v>
      </c>
    </row>
    <row r="39" spans="2:5">
      <c r="B39" s="4296" t="s">
        <v>5344</v>
      </c>
      <c r="C39" s="4296" t="s">
        <v>5353</v>
      </c>
      <c r="D39" s="4296" t="s">
        <v>4674</v>
      </c>
      <c r="E39" s="4297">
        <v>104.61734200000002</v>
      </c>
    </row>
    <row r="40" spans="2:5">
      <c r="B40" s="4296" t="s">
        <v>5346</v>
      </c>
      <c r="C40" s="4287" t="s">
        <v>9196</v>
      </c>
      <c r="D40" s="4287" t="s">
        <v>4674</v>
      </c>
      <c r="E40" s="4297">
        <v>102.99167100000003</v>
      </c>
    </row>
    <row r="41" spans="2:5">
      <c r="B41" s="4296" t="s">
        <v>5348</v>
      </c>
      <c r="C41" s="4287" t="s">
        <v>9197</v>
      </c>
      <c r="D41" s="4287" t="s">
        <v>4674</v>
      </c>
      <c r="E41" s="4297">
        <v>101.21427000000001</v>
      </c>
    </row>
    <row r="42" spans="2:5">
      <c r="B42" s="4296" t="s">
        <v>5350</v>
      </c>
      <c r="C42" s="4287" t="s">
        <v>7768</v>
      </c>
      <c r="D42" s="4287" t="s">
        <v>4674</v>
      </c>
      <c r="E42" s="4297">
        <v>100.775114</v>
      </c>
    </row>
    <row r="43" spans="2:5">
      <c r="B43" s="4296" t="s">
        <v>5352</v>
      </c>
      <c r="C43" s="4296" t="s">
        <v>5359</v>
      </c>
      <c r="D43" s="4296" t="s">
        <v>4674</v>
      </c>
      <c r="E43" s="4297">
        <v>100.147395</v>
      </c>
    </row>
    <row r="44" spans="2:5">
      <c r="B44" s="4296" t="s">
        <v>4000</v>
      </c>
      <c r="C44" s="4296" t="s">
        <v>5343</v>
      </c>
      <c r="D44" s="4296" t="s">
        <v>4674</v>
      </c>
      <c r="E44" s="4297">
        <v>99.505507000000009</v>
      </c>
    </row>
    <row r="45" spans="2:5">
      <c r="B45" s="4296" t="s">
        <v>5355</v>
      </c>
      <c r="C45" s="4296" t="s">
        <v>8661</v>
      </c>
      <c r="D45" s="4296" t="s">
        <v>4674</v>
      </c>
      <c r="E45" s="4297">
        <v>99.037188000000015</v>
      </c>
    </row>
    <row r="46" spans="2:5">
      <c r="B46" s="4296" t="s">
        <v>5357</v>
      </c>
      <c r="C46" s="4287" t="s">
        <v>8665</v>
      </c>
      <c r="D46" s="4287" t="s">
        <v>4674</v>
      </c>
      <c r="E46" s="4297">
        <v>98.610473999999968</v>
      </c>
    </row>
    <row r="47" spans="2:5">
      <c r="B47" s="4296" t="s">
        <v>3997</v>
      </c>
      <c r="C47" s="4296" t="s">
        <v>7772</v>
      </c>
      <c r="D47" s="4296" t="s">
        <v>4674</v>
      </c>
      <c r="E47" s="4297">
        <v>98.43261099999998</v>
      </c>
    </row>
    <row r="48" spans="2:5">
      <c r="B48" s="4296" t="s">
        <v>5360</v>
      </c>
      <c r="C48" s="4296" t="s">
        <v>9198</v>
      </c>
      <c r="D48" s="4296" t="s">
        <v>4674</v>
      </c>
      <c r="E48" s="4297">
        <v>97.181335000000047</v>
      </c>
    </row>
    <row r="49" spans="2:5">
      <c r="B49" s="4296" t="s">
        <v>5362</v>
      </c>
      <c r="C49" s="4296" t="s">
        <v>5421</v>
      </c>
      <c r="D49" s="4296" t="s">
        <v>4674</v>
      </c>
      <c r="E49" s="4297">
        <v>97.072713000000078</v>
      </c>
    </row>
    <row r="50" spans="2:5">
      <c r="B50" s="4296" t="s">
        <v>5364</v>
      </c>
      <c r="C50" s="4296" t="s">
        <v>7757</v>
      </c>
      <c r="D50" s="4296" t="s">
        <v>4674</v>
      </c>
      <c r="E50" s="4297">
        <v>96.291514000000021</v>
      </c>
    </row>
    <row r="51" spans="2:5">
      <c r="B51" s="4296" t="s">
        <v>5366</v>
      </c>
      <c r="C51" s="4296" t="s">
        <v>8678</v>
      </c>
      <c r="D51" s="4296" t="s">
        <v>4674</v>
      </c>
      <c r="E51" s="4297">
        <v>95.696496000000025</v>
      </c>
    </row>
    <row r="52" spans="2:5">
      <c r="B52" s="4296" t="s">
        <v>5368</v>
      </c>
      <c r="C52" s="4296" t="s">
        <v>8650</v>
      </c>
      <c r="D52" s="4296" t="s">
        <v>4674</v>
      </c>
      <c r="E52" s="4297">
        <v>95.665873000000005</v>
      </c>
    </row>
    <row r="53" spans="2:5">
      <c r="B53" s="4296" t="s">
        <v>5370</v>
      </c>
      <c r="C53" s="4296" t="s">
        <v>7779</v>
      </c>
      <c r="D53" s="4296" t="s">
        <v>4674</v>
      </c>
      <c r="E53" s="4297">
        <v>95.145729000000046</v>
      </c>
    </row>
    <row r="54" spans="2:5">
      <c r="B54" s="4296" t="s">
        <v>5372</v>
      </c>
      <c r="C54" s="4296" t="s">
        <v>7796</v>
      </c>
      <c r="D54" s="4296" t="s">
        <v>4674</v>
      </c>
      <c r="E54" s="4297">
        <v>94.462843000000007</v>
      </c>
    </row>
    <row r="55" spans="2:5">
      <c r="B55" s="4296" t="s">
        <v>5374</v>
      </c>
      <c r="C55" s="4296" t="s">
        <v>7029</v>
      </c>
      <c r="D55" s="4296" t="s">
        <v>4674</v>
      </c>
      <c r="E55" s="4297">
        <v>93.662504999999996</v>
      </c>
    </row>
    <row r="56" spans="2:5">
      <c r="B56" s="4296" t="s">
        <v>5376</v>
      </c>
      <c r="C56" s="4296" t="s">
        <v>8660</v>
      </c>
      <c r="D56" s="4296" t="s">
        <v>4674</v>
      </c>
      <c r="E56" s="4297">
        <v>92.791239000000019</v>
      </c>
    </row>
    <row r="57" spans="2:5">
      <c r="B57" s="4296" t="s">
        <v>5378</v>
      </c>
      <c r="C57" s="4296" t="s">
        <v>9199</v>
      </c>
      <c r="D57" s="4296" t="s">
        <v>4674</v>
      </c>
      <c r="E57" s="4297">
        <v>92.509617000000006</v>
      </c>
    </row>
    <row r="58" spans="2:5">
      <c r="B58" s="4296" t="s">
        <v>5380</v>
      </c>
      <c r="C58" s="4296" t="s">
        <v>7033</v>
      </c>
      <c r="D58" s="4296" t="s">
        <v>4674</v>
      </c>
      <c r="E58" s="4297">
        <v>92.268712000000008</v>
      </c>
    </row>
    <row r="59" spans="2:5">
      <c r="B59" s="4296" t="s">
        <v>5382</v>
      </c>
      <c r="C59" s="4296" t="s">
        <v>9200</v>
      </c>
      <c r="D59" s="4296" t="s">
        <v>4674</v>
      </c>
      <c r="E59" s="4297">
        <v>91.058003999999997</v>
      </c>
    </row>
    <row r="60" spans="2:5">
      <c r="B60" s="4296" t="s">
        <v>5384</v>
      </c>
      <c r="C60" s="4296" t="s">
        <v>5415</v>
      </c>
      <c r="D60" s="4296" t="s">
        <v>4674</v>
      </c>
      <c r="E60" s="4297">
        <v>88.841768999999999</v>
      </c>
    </row>
    <row r="61" spans="2:5">
      <c r="B61" s="4296" t="s">
        <v>5386</v>
      </c>
      <c r="C61" s="4296" t="s">
        <v>8708</v>
      </c>
      <c r="D61" s="4296" t="s">
        <v>4674</v>
      </c>
      <c r="E61" s="4297">
        <v>87.475311000000033</v>
      </c>
    </row>
    <row r="62" spans="2:5">
      <c r="B62" s="4296" t="s">
        <v>5388</v>
      </c>
      <c r="C62" s="4296" t="s">
        <v>5750</v>
      </c>
      <c r="D62" s="4296" t="s">
        <v>4674</v>
      </c>
      <c r="E62" s="4297">
        <v>87.13488000000001</v>
      </c>
    </row>
    <row r="63" spans="2:5">
      <c r="B63" s="4296" t="s">
        <v>5390</v>
      </c>
      <c r="C63" s="4296" t="s">
        <v>5389</v>
      </c>
      <c r="D63" s="4296" t="s">
        <v>4674</v>
      </c>
      <c r="E63" s="4297">
        <v>86.843601000000049</v>
      </c>
    </row>
    <row r="64" spans="2:5">
      <c r="B64" s="4296" t="s">
        <v>5392</v>
      </c>
      <c r="C64" s="4296" t="s">
        <v>9201</v>
      </c>
      <c r="D64" s="4296" t="s">
        <v>4674</v>
      </c>
      <c r="E64" s="4297">
        <v>86.072735000000009</v>
      </c>
    </row>
    <row r="65" spans="2:5">
      <c r="B65" s="4296" t="s">
        <v>5394</v>
      </c>
      <c r="C65" s="4296" t="s">
        <v>7777</v>
      </c>
      <c r="D65" s="4296" t="s">
        <v>4674</v>
      </c>
      <c r="E65" s="4297">
        <v>85.373583999999937</v>
      </c>
    </row>
    <row r="66" spans="2:5">
      <c r="B66" s="4296" t="s">
        <v>5396</v>
      </c>
      <c r="C66" s="4296" t="s">
        <v>7776</v>
      </c>
      <c r="D66" s="4296" t="s">
        <v>4674</v>
      </c>
      <c r="E66" s="4297">
        <v>85.246680000000012</v>
      </c>
    </row>
    <row r="67" spans="2:5">
      <c r="B67" s="4296" t="s">
        <v>5398</v>
      </c>
      <c r="C67" s="4296" t="s">
        <v>8775</v>
      </c>
      <c r="D67" s="4296" t="s">
        <v>4674</v>
      </c>
      <c r="E67" s="4297">
        <v>85.219178999999954</v>
      </c>
    </row>
    <row r="68" spans="2:5">
      <c r="B68" s="4296" t="s">
        <v>5400</v>
      </c>
      <c r="C68" s="4296" t="s">
        <v>8666</v>
      </c>
      <c r="D68" s="4296" t="s">
        <v>4674</v>
      </c>
      <c r="E68" s="4297">
        <v>84.473452999999992</v>
      </c>
    </row>
    <row r="69" spans="2:5">
      <c r="B69" s="4296" t="s">
        <v>5402</v>
      </c>
      <c r="C69" s="4296" t="s">
        <v>5358</v>
      </c>
      <c r="D69" s="4296" t="s">
        <v>4674</v>
      </c>
      <c r="E69" s="4297">
        <v>84.182958999999983</v>
      </c>
    </row>
    <row r="70" spans="2:5">
      <c r="B70" s="4296" t="s">
        <v>5404</v>
      </c>
      <c r="C70" s="4296" t="s">
        <v>8685</v>
      </c>
      <c r="D70" s="4296" t="s">
        <v>4674</v>
      </c>
      <c r="E70" s="4297">
        <v>84.108380999999966</v>
      </c>
    </row>
    <row r="71" spans="2:5">
      <c r="B71" s="4296" t="s">
        <v>5406</v>
      </c>
      <c r="C71" s="4296" t="s">
        <v>9202</v>
      </c>
      <c r="D71" s="4296" t="s">
        <v>4674</v>
      </c>
      <c r="E71" s="4297">
        <v>84.013871999999992</v>
      </c>
    </row>
    <row r="72" spans="2:5">
      <c r="B72" s="4296" t="s">
        <v>5408</v>
      </c>
      <c r="C72" s="4287" t="s">
        <v>8664</v>
      </c>
      <c r="D72" s="4287" t="s">
        <v>4674</v>
      </c>
      <c r="E72" s="4297">
        <v>83.307002999999966</v>
      </c>
    </row>
    <row r="73" spans="2:5">
      <c r="B73" s="4296" t="s">
        <v>5410</v>
      </c>
      <c r="C73" s="4296" t="s">
        <v>9203</v>
      </c>
      <c r="D73" s="4296" t="s">
        <v>4674</v>
      </c>
      <c r="E73" s="4297">
        <v>82.789313000000007</v>
      </c>
    </row>
    <row r="74" spans="2:5">
      <c r="B74" s="4296" t="s">
        <v>5412</v>
      </c>
      <c r="C74" s="4296" t="s">
        <v>9204</v>
      </c>
      <c r="D74" s="4296" t="s">
        <v>4674</v>
      </c>
      <c r="E74" s="4297">
        <v>82.198312000000016</v>
      </c>
    </row>
    <row r="75" spans="2:5">
      <c r="B75" s="4296" t="s">
        <v>5414</v>
      </c>
      <c r="C75" s="4296" t="s">
        <v>8769</v>
      </c>
      <c r="D75" s="4296" t="s">
        <v>4674</v>
      </c>
      <c r="E75" s="4297">
        <v>81.517732000000024</v>
      </c>
    </row>
    <row r="76" spans="2:5">
      <c r="B76" s="4296" t="s">
        <v>5416</v>
      </c>
      <c r="C76" s="4296" t="s">
        <v>8674</v>
      </c>
      <c r="D76" s="4296" t="s">
        <v>4674</v>
      </c>
      <c r="E76" s="4297">
        <v>80.072690999999963</v>
      </c>
    </row>
    <row r="77" spans="2:5">
      <c r="B77" s="4296" t="s">
        <v>5418</v>
      </c>
      <c r="C77" s="4296" t="s">
        <v>7760</v>
      </c>
      <c r="D77" s="4296" t="s">
        <v>4674</v>
      </c>
      <c r="E77" s="4297">
        <v>79.831227999999996</v>
      </c>
    </row>
    <row r="78" spans="2:5">
      <c r="B78" s="4296" t="s">
        <v>5420</v>
      </c>
      <c r="C78" s="4287" t="s">
        <v>9205</v>
      </c>
      <c r="D78" s="4287" t="s">
        <v>4674</v>
      </c>
      <c r="E78" s="4297">
        <v>79.418368000000001</v>
      </c>
    </row>
    <row r="79" spans="2:5">
      <c r="B79" s="4296" t="s">
        <v>5422</v>
      </c>
      <c r="C79" s="4296" t="s">
        <v>9206</v>
      </c>
      <c r="D79" s="4296" t="s">
        <v>4674</v>
      </c>
      <c r="E79" s="4297">
        <v>78.130223000000001</v>
      </c>
    </row>
    <row r="80" spans="2:5">
      <c r="B80" s="4296" t="s">
        <v>5424</v>
      </c>
      <c r="C80" s="4296" t="s">
        <v>9207</v>
      </c>
      <c r="D80" s="4296" t="s">
        <v>4674</v>
      </c>
      <c r="E80" s="4297">
        <v>76.93908900000001</v>
      </c>
    </row>
    <row r="81" spans="2:5">
      <c r="B81" s="4296" t="s">
        <v>5426</v>
      </c>
      <c r="C81" s="4287" t="s">
        <v>9208</v>
      </c>
      <c r="D81" s="4287" t="s">
        <v>4674</v>
      </c>
      <c r="E81" s="4297">
        <v>73.324422000000013</v>
      </c>
    </row>
    <row r="82" spans="2:5">
      <c r="B82" s="4296" t="s">
        <v>5428</v>
      </c>
      <c r="C82" s="4296" t="s">
        <v>9209</v>
      </c>
      <c r="D82" s="4296" t="s">
        <v>4674</v>
      </c>
      <c r="E82" s="4297">
        <v>72.724609000000015</v>
      </c>
    </row>
    <row r="83" spans="2:5">
      <c r="B83" s="4296" t="s">
        <v>5430</v>
      </c>
      <c r="C83" s="4296" t="s">
        <v>7051</v>
      </c>
      <c r="D83" s="4296" t="s">
        <v>4674</v>
      </c>
      <c r="E83" s="4297">
        <v>71.733275000000006</v>
      </c>
    </row>
    <row r="84" spans="2:5">
      <c r="B84" s="4296" t="s">
        <v>5432</v>
      </c>
      <c r="C84" s="4296" t="s">
        <v>8706</v>
      </c>
      <c r="D84" s="4296" t="s">
        <v>4674</v>
      </c>
      <c r="E84" s="4297">
        <v>69.942592999999988</v>
      </c>
    </row>
    <row r="85" spans="2:5">
      <c r="B85" s="4296" t="s">
        <v>5434</v>
      </c>
      <c r="C85" s="4296" t="s">
        <v>5471</v>
      </c>
      <c r="D85" s="4296" t="s">
        <v>4674</v>
      </c>
      <c r="E85" s="4297">
        <v>69.923182999999995</v>
      </c>
    </row>
    <row r="86" spans="2:5">
      <c r="B86" s="4296" t="s">
        <v>5436</v>
      </c>
      <c r="C86" s="4296" t="s">
        <v>7888</v>
      </c>
      <c r="D86" s="4296" t="s">
        <v>4674</v>
      </c>
      <c r="E86" s="4297">
        <v>66.256040999999968</v>
      </c>
    </row>
    <row r="87" spans="2:5">
      <c r="B87" s="4296" t="s">
        <v>5438</v>
      </c>
      <c r="C87" s="4296" t="s">
        <v>7799</v>
      </c>
      <c r="D87" s="4296" t="s">
        <v>4674</v>
      </c>
      <c r="E87" s="4297">
        <v>65.720292000000001</v>
      </c>
    </row>
    <row r="88" spans="2:5">
      <c r="B88" s="4296" t="s">
        <v>5440</v>
      </c>
      <c r="C88" s="4296" t="s">
        <v>9210</v>
      </c>
      <c r="D88" s="4296" t="s">
        <v>4674</v>
      </c>
      <c r="E88" s="4297">
        <v>65.553334000000007</v>
      </c>
    </row>
    <row r="89" spans="2:5">
      <c r="B89" s="4296" t="s">
        <v>5442</v>
      </c>
      <c r="C89" s="4287" t="s">
        <v>9211</v>
      </c>
      <c r="D89" s="4287" t="s">
        <v>4674</v>
      </c>
      <c r="E89" s="4297">
        <v>65.064746999999983</v>
      </c>
    </row>
    <row r="90" spans="2:5">
      <c r="B90" s="4296" t="s">
        <v>5444</v>
      </c>
      <c r="C90" s="4296" t="s">
        <v>7817</v>
      </c>
      <c r="D90" s="4296" t="s">
        <v>4674</v>
      </c>
      <c r="E90" s="4297">
        <v>65.018569999999997</v>
      </c>
    </row>
    <row r="91" spans="2:5">
      <c r="B91" s="4296" t="s">
        <v>5446</v>
      </c>
      <c r="C91" s="4287" t="s">
        <v>9212</v>
      </c>
      <c r="D91" s="4287" t="s">
        <v>4674</v>
      </c>
      <c r="E91" s="4297">
        <v>64.856714000000011</v>
      </c>
    </row>
    <row r="92" spans="2:5">
      <c r="B92" s="4296" t="s">
        <v>5448</v>
      </c>
      <c r="C92" s="4296" t="s">
        <v>7778</v>
      </c>
      <c r="D92" s="4296" t="s">
        <v>4674</v>
      </c>
      <c r="E92" s="4297">
        <v>64.611004999999992</v>
      </c>
    </row>
    <row r="93" spans="2:5">
      <c r="B93" s="4296" t="s">
        <v>5450</v>
      </c>
      <c r="C93" s="4296" t="s">
        <v>7808</v>
      </c>
      <c r="D93" s="4296" t="s">
        <v>4674</v>
      </c>
      <c r="E93" s="4297">
        <v>64.504819999999995</v>
      </c>
    </row>
    <row r="94" spans="2:5">
      <c r="B94" s="4296" t="s">
        <v>5452</v>
      </c>
      <c r="C94" s="4296" t="s">
        <v>9213</v>
      </c>
      <c r="D94" s="4296" t="s">
        <v>4674</v>
      </c>
      <c r="E94" s="4297">
        <v>64.009147000000013</v>
      </c>
    </row>
    <row r="95" spans="2:5">
      <c r="B95" s="4296" t="s">
        <v>5454</v>
      </c>
      <c r="C95" s="4296" t="s">
        <v>9214</v>
      </c>
      <c r="D95" s="4296" t="s">
        <v>4674</v>
      </c>
      <c r="E95" s="4297">
        <v>63.138493999999994</v>
      </c>
    </row>
    <row r="96" spans="2:5">
      <c r="B96" s="4296" t="s">
        <v>5456</v>
      </c>
      <c r="C96" s="4296" t="s">
        <v>9155</v>
      </c>
      <c r="D96" s="4296" t="s">
        <v>4674</v>
      </c>
      <c r="E96" s="4297">
        <v>63.077826000000016</v>
      </c>
    </row>
    <row r="97" spans="2:5">
      <c r="B97" s="4296" t="s">
        <v>5458</v>
      </c>
      <c r="C97" s="4296" t="s">
        <v>7797</v>
      </c>
      <c r="D97" s="4296" t="s">
        <v>4674</v>
      </c>
      <c r="E97" s="4297">
        <v>62.619566000000006</v>
      </c>
    </row>
    <row r="98" spans="2:5">
      <c r="B98" s="4296" t="s">
        <v>5460</v>
      </c>
      <c r="C98" s="4296" t="s">
        <v>7793</v>
      </c>
      <c r="D98" s="4296" t="s">
        <v>4674</v>
      </c>
      <c r="E98" s="4297">
        <v>60.983216000000006</v>
      </c>
    </row>
    <row r="99" spans="2:5">
      <c r="B99" s="4296" t="s">
        <v>5462</v>
      </c>
      <c r="C99" s="4296" t="s">
        <v>9215</v>
      </c>
      <c r="D99" s="4296" t="s">
        <v>4674</v>
      </c>
      <c r="E99" s="4297">
        <v>60.543089999999999</v>
      </c>
    </row>
    <row r="100" spans="2:5">
      <c r="B100" s="4296" t="s">
        <v>5464</v>
      </c>
      <c r="C100" s="4296" t="s">
        <v>9216</v>
      </c>
      <c r="D100" s="4296" t="s">
        <v>4674</v>
      </c>
      <c r="E100" s="4297">
        <v>59.894519000000003</v>
      </c>
    </row>
    <row r="101" spans="2:5">
      <c r="B101" s="4296" t="s">
        <v>5466</v>
      </c>
      <c r="C101" s="4296" t="s">
        <v>7812</v>
      </c>
      <c r="D101" s="4296" t="s">
        <v>4674</v>
      </c>
      <c r="E101" s="4297">
        <v>59.632114999999999</v>
      </c>
    </row>
    <row r="102" spans="2:5">
      <c r="B102" s="4296" t="s">
        <v>5468</v>
      </c>
      <c r="C102" s="4296" t="s">
        <v>7791</v>
      </c>
      <c r="D102" s="4296" t="s">
        <v>4674</v>
      </c>
      <c r="E102" s="4297">
        <v>59.356069999999981</v>
      </c>
    </row>
    <row r="103" spans="2:5">
      <c r="B103" s="4296" t="s">
        <v>5470</v>
      </c>
      <c r="C103" s="4296" t="s">
        <v>8728</v>
      </c>
      <c r="D103" s="4296" t="s">
        <v>4674</v>
      </c>
      <c r="E103" s="4297">
        <v>59.244973000000002</v>
      </c>
    </row>
    <row r="104" spans="2:5">
      <c r="B104" s="4296" t="s">
        <v>5472</v>
      </c>
      <c r="C104" s="4287" t="s">
        <v>9217</v>
      </c>
      <c r="D104" s="4287" t="s">
        <v>4674</v>
      </c>
      <c r="E104" s="4297">
        <v>59.063866000000004</v>
      </c>
    </row>
    <row r="105" spans="2:5">
      <c r="B105" s="4296" t="s">
        <v>5474</v>
      </c>
      <c r="C105" s="4296" t="s">
        <v>9218</v>
      </c>
      <c r="D105" s="4296" t="s">
        <v>4674</v>
      </c>
      <c r="E105" s="4297">
        <v>58.440059999999995</v>
      </c>
    </row>
    <row r="106" spans="2:5">
      <c r="B106" s="4296" t="s">
        <v>5476</v>
      </c>
      <c r="C106" s="4296" t="s">
        <v>9219</v>
      </c>
      <c r="D106" s="4296" t="s">
        <v>4674</v>
      </c>
      <c r="E106" s="4297">
        <v>57.441302999999991</v>
      </c>
    </row>
    <row r="107" spans="2:5">
      <c r="B107" s="4296" t="s">
        <v>5478</v>
      </c>
      <c r="C107" s="4296" t="s">
        <v>9220</v>
      </c>
      <c r="D107" s="4296" t="s">
        <v>4674</v>
      </c>
      <c r="E107" s="4297">
        <v>57.294427000000013</v>
      </c>
    </row>
    <row r="108" spans="2:5">
      <c r="B108" s="4296" t="s">
        <v>5480</v>
      </c>
      <c r="C108" s="4296" t="s">
        <v>9221</v>
      </c>
      <c r="D108" s="4296" t="s">
        <v>4674</v>
      </c>
      <c r="E108" s="4297">
        <v>57.195298000000001</v>
      </c>
    </row>
    <row r="109" spans="2:5">
      <c r="B109" s="4296" t="s">
        <v>5482</v>
      </c>
      <c r="C109" s="4287" t="s">
        <v>9222</v>
      </c>
      <c r="D109" s="4287" t="s">
        <v>4674</v>
      </c>
      <c r="E109" s="4297">
        <v>57.035073000000033</v>
      </c>
    </row>
    <row r="110" spans="2:5">
      <c r="B110" s="4296" t="s">
        <v>5484</v>
      </c>
      <c r="C110" s="4296" t="s">
        <v>9223</v>
      </c>
      <c r="D110" s="4296" t="s">
        <v>4674</v>
      </c>
      <c r="E110" s="4297">
        <v>56.414562000000011</v>
      </c>
    </row>
    <row r="111" spans="2:5">
      <c r="B111" s="4296" t="s">
        <v>5486</v>
      </c>
      <c r="C111" s="4296" t="s">
        <v>9224</v>
      </c>
      <c r="D111" s="4296" t="s">
        <v>4674</v>
      </c>
      <c r="E111" s="4297">
        <v>56.373049000000023</v>
      </c>
    </row>
    <row r="112" spans="2:5">
      <c r="B112" s="4296" t="s">
        <v>5488</v>
      </c>
      <c r="C112" s="4296" t="s">
        <v>9225</v>
      </c>
      <c r="D112" s="4296" t="s">
        <v>4674</v>
      </c>
      <c r="E112" s="4297">
        <v>55.951291000000005</v>
      </c>
    </row>
    <row r="113" spans="2:5">
      <c r="B113" s="4296" t="s">
        <v>5490</v>
      </c>
      <c r="C113" s="4296" t="s">
        <v>9226</v>
      </c>
      <c r="D113" s="4296" t="s">
        <v>4674</v>
      </c>
      <c r="E113" s="4297">
        <v>55.926805999999992</v>
      </c>
    </row>
    <row r="114" spans="2:5">
      <c r="B114" s="4296" t="s">
        <v>5492</v>
      </c>
      <c r="C114" s="4296" t="s">
        <v>7833</v>
      </c>
      <c r="D114" s="4296" t="s">
        <v>4674</v>
      </c>
      <c r="E114" s="4297">
        <v>55.863140999999978</v>
      </c>
    </row>
    <row r="115" spans="2:5">
      <c r="B115" s="4296" t="s">
        <v>5494</v>
      </c>
      <c r="C115" s="4296" t="s">
        <v>9227</v>
      </c>
      <c r="D115" s="4296" t="s">
        <v>4674</v>
      </c>
      <c r="E115" s="4297">
        <v>55.846954000000004</v>
      </c>
    </row>
    <row r="116" spans="2:5">
      <c r="B116" s="4296" t="s">
        <v>5496</v>
      </c>
      <c r="C116" s="4296" t="s">
        <v>8691</v>
      </c>
      <c r="D116" s="4296" t="s">
        <v>4674</v>
      </c>
      <c r="E116" s="4297">
        <v>55.777136000000013</v>
      </c>
    </row>
    <row r="117" spans="2:5">
      <c r="B117" s="4296" t="s">
        <v>5498</v>
      </c>
      <c r="C117" s="4296" t="s">
        <v>8670</v>
      </c>
      <c r="D117" s="4296" t="s">
        <v>4674</v>
      </c>
      <c r="E117" s="4297">
        <v>55.278429000000003</v>
      </c>
    </row>
    <row r="118" spans="2:5">
      <c r="B118" s="4296" t="s">
        <v>5500</v>
      </c>
      <c r="C118" s="4287" t="s">
        <v>9228</v>
      </c>
      <c r="D118" s="4287" t="s">
        <v>4674</v>
      </c>
      <c r="E118" s="4297">
        <v>55.263551000000021</v>
      </c>
    </row>
    <row r="119" spans="2:5">
      <c r="B119" s="4296" t="s">
        <v>5502</v>
      </c>
      <c r="C119" s="4296" t="s">
        <v>8686</v>
      </c>
      <c r="D119" s="4296" t="s">
        <v>4674</v>
      </c>
      <c r="E119" s="4297">
        <v>54.587841000000012</v>
      </c>
    </row>
    <row r="120" spans="2:5">
      <c r="B120" s="4296" t="s">
        <v>5504</v>
      </c>
      <c r="C120" s="4287" t="s">
        <v>8711</v>
      </c>
      <c r="D120" s="4287" t="s">
        <v>4674</v>
      </c>
      <c r="E120" s="4297">
        <v>53.876491999999992</v>
      </c>
    </row>
    <row r="121" spans="2:5">
      <c r="B121" s="4296" t="s">
        <v>5506</v>
      </c>
      <c r="C121" s="4296" t="s">
        <v>8780</v>
      </c>
      <c r="D121" s="4296" t="s">
        <v>4674</v>
      </c>
      <c r="E121" s="4297">
        <v>52.97617000000001</v>
      </c>
    </row>
    <row r="122" spans="2:5">
      <c r="B122" s="4296" t="s">
        <v>5508</v>
      </c>
      <c r="C122" s="4296" t="s">
        <v>7815</v>
      </c>
      <c r="D122" s="4296" t="s">
        <v>4674</v>
      </c>
      <c r="E122" s="4297">
        <v>52.256422000000022</v>
      </c>
    </row>
    <row r="123" spans="2:5">
      <c r="B123" s="4296" t="s">
        <v>5510</v>
      </c>
      <c r="C123" s="4296" t="s">
        <v>9229</v>
      </c>
      <c r="D123" s="4296" t="s">
        <v>4674</v>
      </c>
      <c r="E123" s="4297">
        <v>51.88741000000001</v>
      </c>
    </row>
    <row r="124" spans="2:5">
      <c r="B124" s="4296" t="s">
        <v>5512</v>
      </c>
      <c r="C124" s="4296" t="s">
        <v>9230</v>
      </c>
      <c r="D124" s="4296" t="s">
        <v>4674</v>
      </c>
      <c r="E124" s="4297">
        <v>51.724643999999991</v>
      </c>
    </row>
    <row r="125" spans="2:5">
      <c r="B125" s="4296" t="s">
        <v>5514</v>
      </c>
      <c r="C125" s="4296" t="s">
        <v>9231</v>
      </c>
      <c r="D125" s="4296" t="s">
        <v>4674</v>
      </c>
      <c r="E125" s="4297">
        <v>51.720293000000005</v>
      </c>
    </row>
    <row r="126" spans="2:5">
      <c r="B126" s="4296" t="s">
        <v>5516</v>
      </c>
      <c r="C126" s="4296" t="s">
        <v>5451</v>
      </c>
      <c r="D126" s="4296" t="s">
        <v>4674</v>
      </c>
      <c r="E126" s="4297">
        <v>51.702937999999982</v>
      </c>
    </row>
    <row r="127" spans="2:5">
      <c r="B127" s="4296" t="s">
        <v>5518</v>
      </c>
      <c r="C127" s="4296" t="s">
        <v>7072</v>
      </c>
      <c r="D127" s="4296" t="s">
        <v>4674</v>
      </c>
      <c r="E127" s="4297">
        <v>51.197033000000005</v>
      </c>
    </row>
    <row r="128" spans="2:5">
      <c r="B128" s="4296" t="s">
        <v>5520</v>
      </c>
      <c r="C128" s="4296" t="s">
        <v>9232</v>
      </c>
      <c r="D128" s="4296" t="s">
        <v>4674</v>
      </c>
      <c r="E128" s="4297">
        <v>50.794902999999977</v>
      </c>
    </row>
    <row r="129" spans="2:5">
      <c r="B129" s="4296" t="s">
        <v>5522</v>
      </c>
      <c r="C129" s="4296" t="s">
        <v>7814</v>
      </c>
      <c r="D129" s="4296" t="s">
        <v>4674</v>
      </c>
      <c r="E129" s="4297">
        <v>50.400395999999994</v>
      </c>
    </row>
    <row r="130" spans="2:5">
      <c r="B130" s="4296" t="s">
        <v>5524</v>
      </c>
      <c r="C130" s="4296" t="s">
        <v>7856</v>
      </c>
      <c r="D130" s="4296" t="s">
        <v>4674</v>
      </c>
      <c r="E130" s="4297">
        <v>49.825695999999958</v>
      </c>
    </row>
    <row r="131" spans="2:5">
      <c r="B131" s="4296" t="s">
        <v>5526</v>
      </c>
      <c r="C131" s="4296" t="s">
        <v>9233</v>
      </c>
      <c r="D131" s="4296" t="s">
        <v>4674</v>
      </c>
      <c r="E131" s="4297">
        <v>48.981561999999997</v>
      </c>
    </row>
    <row r="132" spans="2:5">
      <c r="B132" s="4296" t="s">
        <v>5528</v>
      </c>
      <c r="C132" s="4296" t="s">
        <v>9234</v>
      </c>
      <c r="D132" s="4296" t="s">
        <v>4674</v>
      </c>
      <c r="E132" s="4297">
        <v>48.575695999999986</v>
      </c>
    </row>
    <row r="133" spans="2:5">
      <c r="B133" s="4296" t="s">
        <v>5530</v>
      </c>
      <c r="C133" s="4296" t="s">
        <v>9235</v>
      </c>
      <c r="D133" s="4296" t="s">
        <v>4674</v>
      </c>
      <c r="E133" s="4297">
        <v>47.173446999999989</v>
      </c>
    </row>
    <row r="134" spans="2:5">
      <c r="B134" s="4296" t="s">
        <v>5532</v>
      </c>
      <c r="C134" s="4296" t="s">
        <v>9236</v>
      </c>
      <c r="D134" s="4296" t="s">
        <v>4674</v>
      </c>
      <c r="E134" s="4297">
        <v>47.109953999999995</v>
      </c>
    </row>
    <row r="135" spans="2:5">
      <c r="B135" s="4296" t="s">
        <v>5534</v>
      </c>
      <c r="C135" s="4296" t="s">
        <v>9237</v>
      </c>
      <c r="D135" s="4296" t="s">
        <v>4674</v>
      </c>
      <c r="E135" s="4297">
        <v>46.731185999999994</v>
      </c>
    </row>
    <row r="136" spans="2:5">
      <c r="B136" s="4296" t="s">
        <v>5536</v>
      </c>
      <c r="C136" s="4296" t="s">
        <v>9238</v>
      </c>
      <c r="D136" s="4296" t="s">
        <v>4674</v>
      </c>
      <c r="E136" s="4297">
        <v>46.730071000000002</v>
      </c>
    </row>
    <row r="137" spans="2:5">
      <c r="B137" s="4296" t="s">
        <v>5538</v>
      </c>
      <c r="C137" s="4296" t="s">
        <v>9239</v>
      </c>
      <c r="D137" s="4296" t="s">
        <v>4674</v>
      </c>
      <c r="E137" s="4297">
        <v>46.581350999999998</v>
      </c>
    </row>
    <row r="138" spans="2:5">
      <c r="B138" s="4296" t="s">
        <v>5540</v>
      </c>
      <c r="C138" s="4296" t="s">
        <v>9240</v>
      </c>
      <c r="D138" s="4296" t="s">
        <v>4674</v>
      </c>
      <c r="E138" s="4297">
        <v>46.561607999999993</v>
      </c>
    </row>
    <row r="139" spans="2:5">
      <c r="B139" s="4296" t="s">
        <v>5542</v>
      </c>
      <c r="C139" s="4296" t="s">
        <v>9241</v>
      </c>
      <c r="D139" s="4296" t="s">
        <v>4674</v>
      </c>
      <c r="E139" s="4297">
        <v>46.555745000000016</v>
      </c>
    </row>
    <row r="140" spans="2:5">
      <c r="B140" s="4296" t="s">
        <v>5544</v>
      </c>
      <c r="C140" s="4296" t="s">
        <v>9242</v>
      </c>
      <c r="D140" s="4296" t="s">
        <v>4674</v>
      </c>
      <c r="E140" s="4297">
        <v>46.518716999999981</v>
      </c>
    </row>
    <row r="141" spans="2:5">
      <c r="B141" s="4296" t="s">
        <v>5546</v>
      </c>
      <c r="C141" s="4296" t="s">
        <v>9243</v>
      </c>
      <c r="D141" s="4296" t="s">
        <v>4674</v>
      </c>
      <c r="E141" s="4297">
        <v>46.222062999999999</v>
      </c>
    </row>
    <row r="142" spans="2:5">
      <c r="B142" s="4296" t="s">
        <v>5548</v>
      </c>
      <c r="C142" s="4296" t="s">
        <v>9244</v>
      </c>
      <c r="D142" s="4296" t="s">
        <v>4674</v>
      </c>
      <c r="E142" s="4297">
        <v>45.938620000000014</v>
      </c>
    </row>
    <row r="143" spans="2:5">
      <c r="B143" s="4296" t="s">
        <v>5550</v>
      </c>
      <c r="C143" s="4287" t="s">
        <v>7877</v>
      </c>
      <c r="D143" s="4287" t="s">
        <v>4674</v>
      </c>
      <c r="E143" s="4297">
        <v>45.361943999999994</v>
      </c>
    </row>
    <row r="144" spans="2:5">
      <c r="B144" s="4296" t="s">
        <v>5552</v>
      </c>
      <c r="C144" s="4296" t="s">
        <v>8654</v>
      </c>
      <c r="D144" s="4296" t="s">
        <v>4674</v>
      </c>
      <c r="E144" s="4297">
        <v>45.323576000000003</v>
      </c>
    </row>
    <row r="145" spans="2:5">
      <c r="B145" s="4296" t="s">
        <v>5554</v>
      </c>
      <c r="C145" s="4296" t="s">
        <v>9245</v>
      </c>
      <c r="D145" s="4296" t="s">
        <v>4674</v>
      </c>
      <c r="E145" s="4297">
        <v>45.232005999999991</v>
      </c>
    </row>
    <row r="146" spans="2:5">
      <c r="B146" s="4296" t="s">
        <v>5556</v>
      </c>
      <c r="C146" s="4296" t="s">
        <v>9246</v>
      </c>
      <c r="D146" s="4296" t="s">
        <v>4674</v>
      </c>
      <c r="E146" s="4297">
        <v>44.762574999999984</v>
      </c>
    </row>
    <row r="147" spans="2:5">
      <c r="B147" s="4296" t="s">
        <v>5558</v>
      </c>
      <c r="C147" s="4296" t="s">
        <v>9247</v>
      </c>
      <c r="D147" s="4296" t="s">
        <v>4674</v>
      </c>
      <c r="E147" s="4297">
        <v>44.650975999999993</v>
      </c>
    </row>
    <row r="148" spans="2:5">
      <c r="B148" s="4296" t="s">
        <v>5560</v>
      </c>
      <c r="C148" s="4296" t="s">
        <v>9248</v>
      </c>
      <c r="D148" s="4296" t="s">
        <v>4674</v>
      </c>
      <c r="E148" s="4297">
        <v>44.514082999999992</v>
      </c>
    </row>
    <row r="149" spans="2:5">
      <c r="B149" s="4296" t="s">
        <v>5562</v>
      </c>
      <c r="C149" s="4296" t="s">
        <v>5861</v>
      </c>
      <c r="D149" s="4296" t="s">
        <v>4674</v>
      </c>
      <c r="E149" s="4297">
        <v>44.426984000000012</v>
      </c>
    </row>
    <row r="150" spans="2:5">
      <c r="B150" s="4296" t="s">
        <v>5564</v>
      </c>
      <c r="C150" s="4296" t="s">
        <v>9249</v>
      </c>
      <c r="D150" s="4296" t="s">
        <v>4674</v>
      </c>
      <c r="E150" s="4297">
        <v>43.953197999999993</v>
      </c>
    </row>
    <row r="151" spans="2:5">
      <c r="B151" s="4296" t="s">
        <v>5566</v>
      </c>
      <c r="C151" s="4296" t="s">
        <v>9250</v>
      </c>
      <c r="D151" s="4296" t="s">
        <v>4674</v>
      </c>
      <c r="E151" s="4297">
        <v>43.218334999999996</v>
      </c>
    </row>
    <row r="152" spans="2:5">
      <c r="B152" s="4296" t="s">
        <v>5568</v>
      </c>
      <c r="C152" s="4296" t="s">
        <v>5752</v>
      </c>
      <c r="D152" s="4296" t="s">
        <v>5753</v>
      </c>
      <c r="E152" s="4297">
        <v>43.185484000000002</v>
      </c>
    </row>
    <row r="153" spans="2:5">
      <c r="B153" s="4296" t="s">
        <v>5570</v>
      </c>
      <c r="C153" s="4296" t="s">
        <v>9251</v>
      </c>
      <c r="D153" s="4296" t="s">
        <v>4674</v>
      </c>
      <c r="E153" s="4297">
        <v>43.184517999999997</v>
      </c>
    </row>
    <row r="154" spans="2:5">
      <c r="B154" s="4296" t="s">
        <v>5572</v>
      </c>
      <c r="C154" s="4296" t="s">
        <v>7749</v>
      </c>
      <c r="D154" s="4296" t="s">
        <v>4674</v>
      </c>
      <c r="E154" s="4297">
        <v>42.640984000000003</v>
      </c>
    </row>
    <row r="155" spans="2:5">
      <c r="B155" s="4296" t="s">
        <v>5574</v>
      </c>
      <c r="C155" s="4296" t="s">
        <v>8790</v>
      </c>
      <c r="D155" s="4296" t="s">
        <v>4674</v>
      </c>
      <c r="E155" s="4297">
        <v>42.418939999999985</v>
      </c>
    </row>
    <row r="156" spans="2:5">
      <c r="B156" s="4296" t="s">
        <v>5576</v>
      </c>
      <c r="C156" s="4296" t="s">
        <v>8718</v>
      </c>
      <c r="D156" s="4296" t="s">
        <v>4674</v>
      </c>
      <c r="E156" s="4297">
        <v>42.259793000000002</v>
      </c>
    </row>
    <row r="157" spans="2:5">
      <c r="B157" s="4296" t="s">
        <v>5578</v>
      </c>
      <c r="C157" s="4296" t="s">
        <v>9252</v>
      </c>
      <c r="D157" s="4296" t="s">
        <v>4674</v>
      </c>
      <c r="E157" s="4297">
        <v>42.200350000000014</v>
      </c>
    </row>
    <row r="158" spans="2:5">
      <c r="B158" s="4296" t="s">
        <v>5580</v>
      </c>
      <c r="C158" s="4296" t="s">
        <v>8667</v>
      </c>
      <c r="D158" s="4296" t="s">
        <v>4674</v>
      </c>
      <c r="E158" s="4297">
        <v>40.894298000000006</v>
      </c>
    </row>
    <row r="159" spans="2:5">
      <c r="B159" s="4296" t="s">
        <v>5582</v>
      </c>
      <c r="C159" s="4296" t="s">
        <v>8701</v>
      </c>
      <c r="D159" s="4296" t="s">
        <v>4674</v>
      </c>
      <c r="E159" s="4297">
        <v>40.883274999999998</v>
      </c>
    </row>
    <row r="160" spans="2:5">
      <c r="B160" s="4296" t="s">
        <v>5584</v>
      </c>
      <c r="C160" s="4296" t="s">
        <v>9253</v>
      </c>
      <c r="D160" s="4296" t="s">
        <v>4674</v>
      </c>
      <c r="E160" s="4297">
        <v>40.496935999999984</v>
      </c>
    </row>
    <row r="161" spans="2:5">
      <c r="B161" s="4296" t="s">
        <v>5586</v>
      </c>
      <c r="C161" s="4296" t="s">
        <v>7766</v>
      </c>
      <c r="D161" s="4296" t="s">
        <v>4674</v>
      </c>
      <c r="E161" s="4297">
        <v>40.482922000000002</v>
      </c>
    </row>
    <row r="162" spans="2:5">
      <c r="B162" s="4296" t="s">
        <v>5588</v>
      </c>
      <c r="C162" s="4296" t="s">
        <v>9254</v>
      </c>
      <c r="D162" s="4296" t="s">
        <v>4674</v>
      </c>
      <c r="E162" s="4297">
        <v>40.15935799999999</v>
      </c>
    </row>
    <row r="163" spans="2:5">
      <c r="B163" s="4296" t="s">
        <v>5590</v>
      </c>
      <c r="C163" s="4296" t="s">
        <v>8700</v>
      </c>
      <c r="D163" s="4296" t="s">
        <v>4897</v>
      </c>
      <c r="E163" s="4297">
        <v>39.65</v>
      </c>
    </row>
    <row r="164" spans="2:5">
      <c r="B164" s="4296" t="s">
        <v>5592</v>
      </c>
      <c r="C164" s="4296" t="s">
        <v>8655</v>
      </c>
      <c r="D164" s="4296" t="s">
        <v>4674</v>
      </c>
      <c r="E164" s="4297">
        <v>39.526126999999995</v>
      </c>
    </row>
    <row r="165" spans="2:5">
      <c r="B165" s="4296" t="s">
        <v>5594</v>
      </c>
      <c r="C165" s="4296" t="s">
        <v>9255</v>
      </c>
      <c r="D165" s="4296" t="s">
        <v>4674</v>
      </c>
      <c r="E165" s="4297">
        <v>38.975452999999995</v>
      </c>
    </row>
    <row r="166" spans="2:5">
      <c r="B166" s="4296" t="s">
        <v>5596</v>
      </c>
      <c r="C166" s="4296" t="s">
        <v>9256</v>
      </c>
      <c r="D166" s="4296" t="s">
        <v>4674</v>
      </c>
      <c r="E166" s="4297">
        <v>38.647672000000014</v>
      </c>
    </row>
    <row r="167" spans="2:5">
      <c r="B167" s="4296" t="s">
        <v>5598</v>
      </c>
      <c r="C167" s="4296" t="s">
        <v>9257</v>
      </c>
      <c r="D167" s="4296" t="s">
        <v>4674</v>
      </c>
      <c r="E167" s="4297">
        <v>38.63218599999999</v>
      </c>
    </row>
    <row r="168" spans="2:5">
      <c r="B168" s="4296" t="s">
        <v>5600</v>
      </c>
      <c r="C168" s="4296" t="s">
        <v>9258</v>
      </c>
      <c r="D168" s="4296" t="s">
        <v>4674</v>
      </c>
      <c r="E168" s="4297">
        <v>38.574124000000005</v>
      </c>
    </row>
    <row r="169" spans="2:5">
      <c r="B169" s="4296" t="s">
        <v>5602</v>
      </c>
      <c r="C169" s="4296" t="s">
        <v>7789</v>
      </c>
      <c r="D169" s="4296" t="s">
        <v>4674</v>
      </c>
      <c r="E169" s="4297">
        <v>38.253619</v>
      </c>
    </row>
    <row r="170" spans="2:5">
      <c r="B170" s="4296" t="s">
        <v>5604</v>
      </c>
      <c r="C170" s="4296" t="s">
        <v>5549</v>
      </c>
      <c r="D170" s="4296" t="s">
        <v>4674</v>
      </c>
      <c r="E170" s="4297">
        <v>38.183044000000002</v>
      </c>
    </row>
    <row r="171" spans="2:5">
      <c r="B171" s="4296" t="s">
        <v>5606</v>
      </c>
      <c r="C171" s="4296" t="s">
        <v>8739</v>
      </c>
      <c r="D171" s="4296" t="s">
        <v>4674</v>
      </c>
      <c r="E171" s="4297">
        <v>37.994184999999995</v>
      </c>
    </row>
    <row r="172" spans="2:5">
      <c r="B172" s="4296" t="s">
        <v>5608</v>
      </c>
      <c r="C172" s="4287" t="s">
        <v>8740</v>
      </c>
      <c r="D172" s="4287" t="s">
        <v>4674</v>
      </c>
      <c r="E172" s="4297">
        <v>37.935147000000022</v>
      </c>
    </row>
    <row r="173" spans="2:5">
      <c r="B173" s="4296" t="s">
        <v>5610</v>
      </c>
      <c r="C173" s="4287" t="s">
        <v>9259</v>
      </c>
      <c r="D173" s="4287" t="s">
        <v>4674</v>
      </c>
      <c r="E173" s="4297">
        <v>37.840161999999999</v>
      </c>
    </row>
    <row r="174" spans="2:5">
      <c r="B174" s="4296" t="s">
        <v>5612</v>
      </c>
      <c r="C174" s="4296" t="s">
        <v>9260</v>
      </c>
      <c r="D174" s="4296" t="s">
        <v>4674</v>
      </c>
      <c r="E174" s="4297">
        <v>37.264321999999993</v>
      </c>
    </row>
    <row r="175" spans="2:5">
      <c r="B175" s="4296" t="s">
        <v>5614</v>
      </c>
      <c r="C175" s="4287" t="s">
        <v>9261</v>
      </c>
      <c r="D175" s="4287" t="s">
        <v>4674</v>
      </c>
      <c r="E175" s="4297">
        <v>37.253857000000004</v>
      </c>
    </row>
    <row r="176" spans="2:5">
      <c r="B176" s="4296" t="s">
        <v>5616</v>
      </c>
      <c r="C176" s="4287" t="s">
        <v>8652</v>
      </c>
      <c r="D176" s="4287" t="s">
        <v>4674</v>
      </c>
      <c r="E176" s="4297">
        <v>36.805250000000001</v>
      </c>
    </row>
    <row r="177" spans="2:5">
      <c r="B177" s="4296" t="s">
        <v>5618</v>
      </c>
      <c r="C177" s="4296" t="s">
        <v>9262</v>
      </c>
      <c r="D177" s="4296" t="s">
        <v>4674</v>
      </c>
      <c r="E177" s="4297">
        <v>36.78009500000001</v>
      </c>
    </row>
    <row r="178" spans="2:5">
      <c r="B178" s="4296" t="s">
        <v>5620</v>
      </c>
      <c r="C178" s="4296" t="s">
        <v>7954</v>
      </c>
      <c r="D178" s="4296" t="s">
        <v>4674</v>
      </c>
      <c r="E178" s="4297">
        <v>36.083756999999999</v>
      </c>
    </row>
    <row r="179" spans="2:5">
      <c r="B179" s="4296" t="s">
        <v>5622</v>
      </c>
      <c r="C179" s="4296" t="s">
        <v>7851</v>
      </c>
      <c r="D179" s="4296" t="s">
        <v>4674</v>
      </c>
      <c r="E179" s="4297">
        <v>35.936470999999997</v>
      </c>
    </row>
    <row r="180" spans="2:5">
      <c r="B180" s="4296" t="s">
        <v>5624</v>
      </c>
      <c r="C180" s="4296" t="s">
        <v>9263</v>
      </c>
      <c r="D180" s="4296" t="s">
        <v>4674</v>
      </c>
      <c r="E180" s="4297">
        <v>35.877767000000013</v>
      </c>
    </row>
    <row r="181" spans="2:5">
      <c r="B181" s="4296" t="s">
        <v>5626</v>
      </c>
      <c r="C181" s="4296" t="s">
        <v>8734</v>
      </c>
      <c r="D181" s="4296" t="s">
        <v>4674</v>
      </c>
      <c r="E181" s="4297">
        <v>35.745289</v>
      </c>
    </row>
    <row r="182" spans="2:5">
      <c r="B182" s="4296" t="s">
        <v>5628</v>
      </c>
      <c r="C182" s="4296" t="s">
        <v>9264</v>
      </c>
      <c r="D182" s="4296" t="s">
        <v>4674</v>
      </c>
      <c r="E182" s="4297">
        <v>35.729149000000007</v>
      </c>
    </row>
    <row r="183" spans="2:5">
      <c r="B183" s="4296" t="s">
        <v>5630</v>
      </c>
      <c r="C183" s="4296" t="s">
        <v>7064</v>
      </c>
      <c r="D183" s="4296" t="s">
        <v>4674</v>
      </c>
      <c r="E183" s="4297">
        <v>34.689075999999993</v>
      </c>
    </row>
    <row r="184" spans="2:5">
      <c r="B184" s="4296" t="s">
        <v>5632</v>
      </c>
      <c r="C184" s="4296" t="s">
        <v>9265</v>
      </c>
      <c r="D184" s="4296" t="s">
        <v>4674</v>
      </c>
      <c r="E184" s="4297">
        <v>34.662599999999998</v>
      </c>
    </row>
    <row r="185" spans="2:5">
      <c r="B185" s="4296" t="s">
        <v>5634</v>
      </c>
      <c r="C185" s="4296" t="s">
        <v>5763</v>
      </c>
      <c r="D185" s="4296" t="s">
        <v>4674</v>
      </c>
      <c r="E185" s="4297">
        <v>34.265805000000007</v>
      </c>
    </row>
    <row r="186" spans="2:5">
      <c r="B186" s="4296" t="s">
        <v>5636</v>
      </c>
      <c r="C186" s="4296" t="s">
        <v>9266</v>
      </c>
      <c r="D186" s="4296" t="s">
        <v>4674</v>
      </c>
      <c r="E186" s="4297">
        <v>34.064694000000003</v>
      </c>
    </row>
    <row r="187" spans="2:5">
      <c r="B187" s="4296" t="s">
        <v>5638</v>
      </c>
      <c r="C187" s="4296" t="s">
        <v>9267</v>
      </c>
      <c r="D187" s="4296" t="s">
        <v>4674</v>
      </c>
      <c r="E187" s="4297">
        <v>33.60971</v>
      </c>
    </row>
    <row r="188" spans="2:5">
      <c r="B188" s="4296" t="s">
        <v>5640</v>
      </c>
      <c r="C188" s="4296" t="s">
        <v>9268</v>
      </c>
      <c r="D188" s="4296" t="s">
        <v>4674</v>
      </c>
      <c r="E188" s="4297">
        <v>32.451197000000001</v>
      </c>
    </row>
    <row r="189" spans="2:5">
      <c r="B189" s="4296" t="s">
        <v>5642</v>
      </c>
      <c r="C189" s="4296" t="s">
        <v>8755</v>
      </c>
      <c r="D189" s="4296" t="s">
        <v>4674</v>
      </c>
      <c r="E189" s="4297">
        <v>32.072530999999998</v>
      </c>
    </row>
    <row r="190" spans="2:5">
      <c r="B190" s="4296" t="s">
        <v>5644</v>
      </c>
      <c r="C190" s="4296" t="s">
        <v>8659</v>
      </c>
      <c r="D190" s="4296" t="s">
        <v>4674</v>
      </c>
      <c r="E190" s="4297">
        <v>31.894291000000003</v>
      </c>
    </row>
    <row r="191" spans="2:5">
      <c r="B191" s="4296" t="s">
        <v>5646</v>
      </c>
      <c r="C191" s="4296" t="s">
        <v>9269</v>
      </c>
      <c r="D191" s="4296" t="s">
        <v>4674</v>
      </c>
      <c r="E191" s="4297">
        <v>31.711511000000005</v>
      </c>
    </row>
    <row r="192" spans="2:5">
      <c r="B192" s="4296" t="s">
        <v>5648</v>
      </c>
      <c r="C192" s="4296" t="s">
        <v>9270</v>
      </c>
      <c r="D192" s="4296" t="s">
        <v>4674</v>
      </c>
      <c r="E192" s="4297">
        <v>31.637899000000004</v>
      </c>
    </row>
    <row r="193" spans="2:5">
      <c r="B193" s="4296" t="s">
        <v>5650</v>
      </c>
      <c r="C193" s="4296" t="s">
        <v>8741</v>
      </c>
      <c r="D193" s="4296" t="s">
        <v>4674</v>
      </c>
      <c r="E193" s="4297">
        <v>30.589919000000005</v>
      </c>
    </row>
    <row r="194" spans="2:5">
      <c r="B194" s="4296" t="s">
        <v>5652</v>
      </c>
      <c r="C194" s="4296" t="s">
        <v>9271</v>
      </c>
      <c r="D194" s="4296" t="s">
        <v>4674</v>
      </c>
      <c r="E194" s="4297">
        <v>29.964559999999992</v>
      </c>
    </row>
    <row r="195" spans="2:5">
      <c r="B195" s="4296" t="s">
        <v>5654</v>
      </c>
      <c r="C195" s="4296" t="s">
        <v>9272</v>
      </c>
      <c r="D195" s="4296" t="s">
        <v>4674</v>
      </c>
      <c r="E195" s="4297">
        <v>29.540434000000001</v>
      </c>
    </row>
    <row r="196" spans="2:5">
      <c r="B196" s="4296" t="s">
        <v>5656</v>
      </c>
      <c r="C196" s="4296" t="s">
        <v>7894</v>
      </c>
      <c r="D196" s="4296" t="s">
        <v>4674</v>
      </c>
      <c r="E196" s="4297">
        <v>29.425924999999999</v>
      </c>
    </row>
    <row r="197" spans="2:5">
      <c r="B197" s="4296" t="s">
        <v>5658</v>
      </c>
      <c r="C197" s="4296" t="s">
        <v>8662</v>
      </c>
      <c r="D197" s="4296" t="s">
        <v>4674</v>
      </c>
      <c r="E197" s="4297">
        <v>29.086200000000005</v>
      </c>
    </row>
    <row r="198" spans="2:5">
      <c r="B198" s="4296" t="s">
        <v>5660</v>
      </c>
      <c r="C198" s="4296" t="s">
        <v>8807</v>
      </c>
      <c r="D198" s="4296" t="s">
        <v>4674</v>
      </c>
      <c r="E198" s="4297">
        <v>28.83322699999999</v>
      </c>
    </row>
    <row r="199" spans="2:5">
      <c r="B199" s="4296" t="s">
        <v>5662</v>
      </c>
      <c r="C199" s="4287" t="s">
        <v>9273</v>
      </c>
      <c r="D199" s="4287" t="s">
        <v>4674</v>
      </c>
      <c r="E199" s="4297">
        <v>28.747423999999999</v>
      </c>
    </row>
    <row r="200" spans="2:5">
      <c r="B200" s="4296" t="s">
        <v>5664</v>
      </c>
      <c r="C200" s="4296" t="s">
        <v>7831</v>
      </c>
      <c r="D200" s="4296" t="s">
        <v>4674</v>
      </c>
      <c r="E200" s="4297">
        <v>28.620924000000006</v>
      </c>
    </row>
    <row r="201" spans="2:5">
      <c r="B201" s="4296" t="s">
        <v>5666</v>
      </c>
      <c r="C201" s="4296" t="s">
        <v>7871</v>
      </c>
      <c r="D201" s="4296" t="s">
        <v>4674</v>
      </c>
      <c r="E201" s="4297">
        <v>28.304489</v>
      </c>
    </row>
    <row r="202" spans="2:5">
      <c r="B202" s="4296" t="s">
        <v>5668</v>
      </c>
      <c r="C202" s="4296" t="s">
        <v>9274</v>
      </c>
      <c r="D202" s="4296" t="s">
        <v>4674</v>
      </c>
      <c r="E202" s="4297">
        <v>28.240257000000007</v>
      </c>
    </row>
    <row r="203" spans="2:5">
      <c r="B203" s="4296" t="s">
        <v>5670</v>
      </c>
      <c r="C203" s="4296" t="s">
        <v>8798</v>
      </c>
      <c r="D203" s="4296" t="s">
        <v>4674</v>
      </c>
      <c r="E203" s="4297">
        <v>28.212731999999995</v>
      </c>
    </row>
    <row r="204" spans="2:5">
      <c r="B204" s="4296" t="s">
        <v>5672</v>
      </c>
      <c r="C204" s="4296" t="s">
        <v>8733</v>
      </c>
      <c r="D204" s="4296" t="s">
        <v>4674</v>
      </c>
      <c r="E204" s="4297">
        <v>27.861388999999996</v>
      </c>
    </row>
    <row r="205" spans="2:5">
      <c r="B205" s="4296" t="s">
        <v>5674</v>
      </c>
      <c r="C205" s="4296" t="s">
        <v>8743</v>
      </c>
      <c r="D205" s="4296" t="s">
        <v>4674</v>
      </c>
      <c r="E205" s="4297">
        <v>27.646873000000003</v>
      </c>
    </row>
    <row r="206" spans="2:5">
      <c r="B206" s="4296" t="s">
        <v>5676</v>
      </c>
      <c r="C206" s="4287" t="s">
        <v>9275</v>
      </c>
      <c r="D206" s="4287" t="s">
        <v>4674</v>
      </c>
      <c r="E206" s="4297">
        <v>27.599954999999994</v>
      </c>
    </row>
    <row r="207" spans="2:5">
      <c r="B207" s="4296" t="s">
        <v>5678</v>
      </c>
      <c r="C207" s="4296" t="s">
        <v>8758</v>
      </c>
      <c r="D207" s="4296" t="s">
        <v>4674</v>
      </c>
      <c r="E207" s="4297">
        <v>27.558167999999988</v>
      </c>
    </row>
    <row r="208" spans="2:5">
      <c r="B208" s="4296" t="s">
        <v>5680</v>
      </c>
      <c r="C208" s="4296" t="s">
        <v>9276</v>
      </c>
      <c r="D208" s="4296" t="s">
        <v>4674</v>
      </c>
      <c r="E208" s="4297">
        <v>27.229904000000008</v>
      </c>
    </row>
    <row r="209" spans="2:5">
      <c r="B209" s="4296" t="s">
        <v>5682</v>
      </c>
      <c r="C209" s="4296" t="s">
        <v>8770</v>
      </c>
      <c r="D209" s="4296" t="s">
        <v>4674</v>
      </c>
      <c r="E209" s="4297">
        <v>27.1052</v>
      </c>
    </row>
    <row r="210" spans="2:5">
      <c r="B210" s="4296" t="s">
        <v>5684</v>
      </c>
      <c r="C210" s="4296" t="s">
        <v>8663</v>
      </c>
      <c r="D210" s="4296" t="s">
        <v>4674</v>
      </c>
      <c r="E210" s="4297">
        <v>27.042400000000001</v>
      </c>
    </row>
    <row r="211" spans="2:5">
      <c r="B211" s="4296" t="s">
        <v>5686</v>
      </c>
      <c r="C211" s="4296" t="s">
        <v>7087</v>
      </c>
      <c r="D211" s="4296" t="s">
        <v>4674</v>
      </c>
      <c r="E211" s="4297">
        <v>26.795209000000003</v>
      </c>
    </row>
    <row r="212" spans="2:5">
      <c r="B212" s="4296" t="s">
        <v>5688</v>
      </c>
      <c r="C212" s="4296" t="s">
        <v>8672</v>
      </c>
      <c r="D212" s="4296" t="s">
        <v>4674</v>
      </c>
      <c r="E212" s="4297">
        <v>26.430533</v>
      </c>
    </row>
    <row r="213" spans="2:5">
      <c r="B213" s="4296" t="s">
        <v>5690</v>
      </c>
      <c r="C213" s="4296" t="s">
        <v>8723</v>
      </c>
      <c r="D213" s="4296" t="s">
        <v>4674</v>
      </c>
      <c r="E213" s="4297">
        <v>26.413205999999999</v>
      </c>
    </row>
    <row r="214" spans="2:5">
      <c r="B214" s="4296" t="s">
        <v>5692</v>
      </c>
      <c r="C214" s="4296" t="s">
        <v>8720</v>
      </c>
      <c r="D214" s="4296" t="s">
        <v>4674</v>
      </c>
      <c r="E214" s="4297">
        <v>26.325502</v>
      </c>
    </row>
    <row r="215" spans="2:5">
      <c r="B215" s="4296" t="s">
        <v>5694</v>
      </c>
      <c r="C215" s="4296" t="s">
        <v>7748</v>
      </c>
      <c r="D215" s="4296" t="s">
        <v>4674</v>
      </c>
      <c r="E215" s="4297">
        <v>26.087669000000002</v>
      </c>
    </row>
    <row r="216" spans="2:5">
      <c r="B216" s="4296" t="s">
        <v>5696</v>
      </c>
      <c r="C216" s="4296" t="s">
        <v>9277</v>
      </c>
      <c r="D216" s="4296" t="s">
        <v>4897</v>
      </c>
      <c r="E216" s="4297">
        <v>26</v>
      </c>
    </row>
    <row r="217" spans="2:5">
      <c r="B217" s="4296" t="s">
        <v>5698</v>
      </c>
      <c r="C217" s="4296" t="s">
        <v>7110</v>
      </c>
      <c r="D217" s="4296" t="s">
        <v>4674</v>
      </c>
      <c r="E217" s="4297">
        <v>25.776510999999989</v>
      </c>
    </row>
    <row r="218" spans="2:5">
      <c r="B218" s="4296" t="s">
        <v>5700</v>
      </c>
      <c r="C218" s="4296" t="s">
        <v>8680</v>
      </c>
      <c r="D218" s="4296" t="s">
        <v>4674</v>
      </c>
      <c r="E218" s="4297">
        <v>25.578296999999999</v>
      </c>
    </row>
    <row r="219" spans="2:5">
      <c r="B219" s="4296" t="s">
        <v>5702</v>
      </c>
      <c r="C219" s="4296" t="s">
        <v>8717</v>
      </c>
      <c r="D219" s="4296" t="s">
        <v>4674</v>
      </c>
      <c r="E219" s="4297">
        <v>25.556940999999998</v>
      </c>
    </row>
    <row r="220" spans="2:5">
      <c r="B220" s="4296" t="s">
        <v>5704</v>
      </c>
      <c r="C220" s="4296" t="s">
        <v>7917</v>
      </c>
      <c r="D220" s="4296" t="s">
        <v>4674</v>
      </c>
      <c r="E220" s="4297">
        <v>25.479835000000001</v>
      </c>
    </row>
    <row r="221" spans="2:5">
      <c r="B221" s="4296" t="s">
        <v>5706</v>
      </c>
      <c r="C221" s="4296" t="s">
        <v>9278</v>
      </c>
      <c r="D221" s="4296" t="s">
        <v>4674</v>
      </c>
      <c r="E221" s="4297">
        <v>25.475186000000001</v>
      </c>
    </row>
    <row r="222" spans="2:5">
      <c r="B222" s="4296" t="s">
        <v>5708</v>
      </c>
      <c r="C222" s="4296" t="s">
        <v>8676</v>
      </c>
      <c r="D222" s="4296" t="s">
        <v>4674</v>
      </c>
      <c r="E222" s="4297">
        <v>25.460142000000001</v>
      </c>
    </row>
    <row r="223" spans="2:5">
      <c r="B223" s="4296" t="s">
        <v>5710</v>
      </c>
      <c r="C223" s="4296" t="s">
        <v>9279</v>
      </c>
      <c r="D223" s="4296" t="s">
        <v>4897</v>
      </c>
      <c r="E223" s="4297">
        <v>25</v>
      </c>
    </row>
    <row r="224" spans="2:5">
      <c r="B224" s="4296" t="s">
        <v>5712</v>
      </c>
      <c r="C224" s="4296" t="s">
        <v>9280</v>
      </c>
      <c r="D224" s="4296" t="s">
        <v>5753</v>
      </c>
      <c r="E224" s="4297">
        <v>25</v>
      </c>
    </row>
    <row r="225" spans="2:5">
      <c r="B225" s="4296" t="s">
        <v>5714</v>
      </c>
      <c r="C225" s="4296" t="s">
        <v>9281</v>
      </c>
      <c r="D225" s="4296" t="s">
        <v>5753</v>
      </c>
      <c r="E225" s="4297">
        <v>25</v>
      </c>
    </row>
    <row r="226" spans="2:5">
      <c r="B226" s="4296" t="s">
        <v>5716</v>
      </c>
      <c r="C226" s="4296" t="s">
        <v>8808</v>
      </c>
      <c r="D226" s="4296" t="s">
        <v>4897</v>
      </c>
      <c r="E226" s="4297">
        <v>24.57</v>
      </c>
    </row>
    <row r="227" spans="2:5">
      <c r="B227" s="4296" t="s">
        <v>5718</v>
      </c>
      <c r="C227" s="4296" t="s">
        <v>8761</v>
      </c>
      <c r="D227" s="4296" t="s">
        <v>4674</v>
      </c>
      <c r="E227" s="4297">
        <v>24.533713999999993</v>
      </c>
    </row>
    <row r="228" spans="2:5">
      <c r="B228" s="4296" t="s">
        <v>5720</v>
      </c>
      <c r="C228" s="4296" t="s">
        <v>8737</v>
      </c>
      <c r="D228" s="4296" t="s">
        <v>4674</v>
      </c>
      <c r="E228" s="4297">
        <v>24.453555999999999</v>
      </c>
    </row>
    <row r="229" spans="2:5">
      <c r="B229" s="4296" t="s">
        <v>5722</v>
      </c>
      <c r="C229" s="4296" t="s">
        <v>8703</v>
      </c>
      <c r="D229" s="4296" t="s">
        <v>4674</v>
      </c>
      <c r="E229" s="4297">
        <v>24.388264000000003</v>
      </c>
    </row>
    <row r="230" spans="2:5">
      <c r="B230" s="4296" t="s">
        <v>5724</v>
      </c>
      <c r="C230" s="4296" t="s">
        <v>8888</v>
      </c>
      <c r="D230" s="4296" t="s">
        <v>4674</v>
      </c>
      <c r="E230" s="4297">
        <v>24.290220999999999</v>
      </c>
    </row>
    <row r="231" spans="2:5">
      <c r="B231" s="4296" t="s">
        <v>5725</v>
      </c>
      <c r="C231" s="4296" t="s">
        <v>8731</v>
      </c>
      <c r="D231" s="4296" t="s">
        <v>4674</v>
      </c>
      <c r="E231" s="4297">
        <v>24.203975999999997</v>
      </c>
    </row>
    <row r="232" spans="2:5">
      <c r="B232" s="4296" t="s">
        <v>5727</v>
      </c>
      <c r="C232" s="4296" t="s">
        <v>9282</v>
      </c>
      <c r="D232" s="4296" t="s">
        <v>4674</v>
      </c>
      <c r="E232" s="4297">
        <v>23.81983</v>
      </c>
    </row>
    <row r="233" spans="2:5">
      <c r="B233" s="4296" t="s">
        <v>5729</v>
      </c>
      <c r="C233" s="4296" t="s">
        <v>8668</v>
      </c>
      <c r="D233" s="4296" t="s">
        <v>4674</v>
      </c>
      <c r="E233" s="4297">
        <v>23.756585000000005</v>
      </c>
    </row>
    <row r="234" spans="2:5">
      <c r="B234" s="4296" t="s">
        <v>5731</v>
      </c>
      <c r="C234" s="4296" t="s">
        <v>9283</v>
      </c>
      <c r="D234" s="4296" t="s">
        <v>4674</v>
      </c>
      <c r="E234" s="4297">
        <v>23.577917000000006</v>
      </c>
    </row>
    <row r="235" spans="2:5">
      <c r="B235" s="4296" t="s">
        <v>5733</v>
      </c>
      <c r="C235" s="4296" t="s">
        <v>9284</v>
      </c>
      <c r="D235" s="4296" t="s">
        <v>4674</v>
      </c>
      <c r="E235" s="4297">
        <v>23.557931999999997</v>
      </c>
    </row>
    <row r="236" spans="2:5">
      <c r="B236" s="4296" t="s">
        <v>5735</v>
      </c>
      <c r="C236" s="4296" t="s">
        <v>9285</v>
      </c>
      <c r="D236" s="4296" t="s">
        <v>4674</v>
      </c>
      <c r="E236" s="4297">
        <v>23.365498999999993</v>
      </c>
    </row>
    <row r="237" spans="2:5">
      <c r="B237" s="4296" t="s">
        <v>5737</v>
      </c>
      <c r="C237" s="4296" t="s">
        <v>9286</v>
      </c>
      <c r="D237" s="4296" t="s">
        <v>4674</v>
      </c>
      <c r="E237" s="4297">
        <v>23.300916000000001</v>
      </c>
    </row>
    <row r="238" spans="2:5">
      <c r="B238" s="4296" t="s">
        <v>5739</v>
      </c>
      <c r="C238" s="4296" t="s">
        <v>9287</v>
      </c>
      <c r="D238" s="4296" t="s">
        <v>4674</v>
      </c>
      <c r="E238" s="4297">
        <v>23.27149</v>
      </c>
    </row>
    <row r="239" spans="2:5">
      <c r="B239" s="4296" t="s">
        <v>5741</v>
      </c>
      <c r="C239" s="4296" t="s">
        <v>9288</v>
      </c>
      <c r="D239" s="4296" t="s">
        <v>4674</v>
      </c>
      <c r="E239" s="4297">
        <v>23.241365999999999</v>
      </c>
    </row>
    <row r="240" spans="2:5">
      <c r="B240" s="4296" t="s">
        <v>5743</v>
      </c>
      <c r="C240" s="4296" t="s">
        <v>8712</v>
      </c>
      <c r="D240" s="4296" t="s">
        <v>4674</v>
      </c>
      <c r="E240" s="4297">
        <v>23.189624999999999</v>
      </c>
    </row>
    <row r="241" spans="2:5">
      <c r="B241" s="4296" t="s">
        <v>5745</v>
      </c>
      <c r="C241" s="4296" t="s">
        <v>8714</v>
      </c>
      <c r="D241" s="4296" t="s">
        <v>4674</v>
      </c>
      <c r="E241" s="4297">
        <v>23.017222000000004</v>
      </c>
    </row>
    <row r="242" spans="2:5">
      <c r="B242" s="4296" t="s">
        <v>5747</v>
      </c>
      <c r="C242" s="4296" t="s">
        <v>7781</v>
      </c>
      <c r="D242" s="4296" t="s">
        <v>4674</v>
      </c>
      <c r="E242" s="4297">
        <v>22.891381999999997</v>
      </c>
    </row>
    <row r="243" spans="2:5">
      <c r="B243" s="4296" t="s">
        <v>5749</v>
      </c>
      <c r="C243" s="4296" t="s">
        <v>7167</v>
      </c>
      <c r="D243" s="4296" t="s">
        <v>4674</v>
      </c>
      <c r="E243" s="4297">
        <v>22.88823</v>
      </c>
    </row>
    <row r="244" spans="2:5">
      <c r="B244" s="4296" t="s">
        <v>5751</v>
      </c>
      <c r="C244" s="4296" t="s">
        <v>7573</v>
      </c>
      <c r="D244" s="4296" t="s">
        <v>4674</v>
      </c>
      <c r="E244" s="4297">
        <v>22.830947999999999</v>
      </c>
    </row>
    <row r="245" spans="2:5">
      <c r="B245" s="4296" t="s">
        <v>5754</v>
      </c>
      <c r="C245" s="4296" t="s">
        <v>9289</v>
      </c>
      <c r="D245" s="4296" t="s">
        <v>4674</v>
      </c>
      <c r="E245" s="4297">
        <v>22.828502000000004</v>
      </c>
    </row>
    <row r="246" spans="2:5">
      <c r="B246" s="4296" t="s">
        <v>5756</v>
      </c>
      <c r="C246" s="4296" t="s">
        <v>8698</v>
      </c>
      <c r="D246" s="4296" t="s">
        <v>4674</v>
      </c>
      <c r="E246" s="4297">
        <v>22.712</v>
      </c>
    </row>
    <row r="247" spans="2:5">
      <c r="B247" s="4296" t="s">
        <v>5758</v>
      </c>
      <c r="C247" s="4296" t="s">
        <v>8767</v>
      </c>
      <c r="D247" s="4296" t="s">
        <v>4674</v>
      </c>
      <c r="E247" s="4297">
        <v>22.648498999999997</v>
      </c>
    </row>
    <row r="248" spans="2:5">
      <c r="B248" s="4296" t="s">
        <v>5760</v>
      </c>
      <c r="C248" s="4296" t="s">
        <v>9290</v>
      </c>
      <c r="D248" s="4296" t="s">
        <v>9194</v>
      </c>
      <c r="E248" s="4297">
        <v>22.636137999999999</v>
      </c>
    </row>
    <row r="249" spans="2:5">
      <c r="B249" s="4296" t="s">
        <v>5762</v>
      </c>
      <c r="C249" s="4296" t="s">
        <v>8694</v>
      </c>
      <c r="D249" s="4296" t="s">
        <v>4674</v>
      </c>
      <c r="E249" s="4297">
        <v>22.364172999999997</v>
      </c>
    </row>
    <row r="250" spans="2:5">
      <c r="B250" s="4296" t="s">
        <v>5764</v>
      </c>
      <c r="C250" s="4296" t="s">
        <v>9291</v>
      </c>
      <c r="D250" s="4296" t="s">
        <v>4674</v>
      </c>
      <c r="E250" s="4297">
        <v>22.310664999999993</v>
      </c>
    </row>
    <row r="251" spans="2:5">
      <c r="B251" s="4296" t="s">
        <v>5766</v>
      </c>
      <c r="C251" s="4296" t="s">
        <v>8727</v>
      </c>
      <c r="D251" s="4296" t="s">
        <v>4674</v>
      </c>
      <c r="E251" s="4297">
        <v>22.23</v>
      </c>
    </row>
    <row r="252" spans="2:5">
      <c r="B252" s="4296" t="s">
        <v>5768</v>
      </c>
      <c r="C252" s="4296" t="s">
        <v>8764</v>
      </c>
      <c r="D252" s="4296" t="s">
        <v>4674</v>
      </c>
      <c r="E252" s="4297">
        <v>22.2288</v>
      </c>
    </row>
    <row r="253" spans="2:5">
      <c r="B253" s="4296" t="s">
        <v>5770</v>
      </c>
      <c r="C253" s="4296" t="s">
        <v>7795</v>
      </c>
      <c r="D253" s="4296" t="s">
        <v>4674</v>
      </c>
      <c r="E253" s="4297">
        <v>22.125738000000002</v>
      </c>
    </row>
    <row r="254" spans="2:5">
      <c r="B254" s="4296" t="s">
        <v>5772</v>
      </c>
      <c r="C254" s="4296" t="s">
        <v>8687</v>
      </c>
      <c r="D254" s="4296" t="s">
        <v>4674</v>
      </c>
      <c r="E254" s="4297">
        <v>22.085312999999999</v>
      </c>
    </row>
    <row r="255" spans="2:5">
      <c r="B255" s="4296" t="s">
        <v>5774</v>
      </c>
      <c r="C255" s="4296" t="s">
        <v>8669</v>
      </c>
      <c r="D255" s="4296" t="s">
        <v>4674</v>
      </c>
      <c r="E255" s="4297">
        <v>22.065165999999998</v>
      </c>
    </row>
    <row r="256" spans="2:5">
      <c r="B256" s="4296" t="s">
        <v>5776</v>
      </c>
      <c r="C256" s="4296" t="s">
        <v>8883</v>
      </c>
      <c r="D256" s="4296" t="s">
        <v>4674</v>
      </c>
      <c r="E256" s="4297">
        <v>21.957193000000004</v>
      </c>
    </row>
    <row r="257" spans="2:5">
      <c r="B257" s="4296" t="s">
        <v>5778</v>
      </c>
      <c r="C257" s="4296" t="s">
        <v>8825</v>
      </c>
      <c r="D257" s="4296" t="s">
        <v>4674</v>
      </c>
      <c r="E257" s="4297">
        <v>21.866499999999998</v>
      </c>
    </row>
    <row r="258" spans="2:5">
      <c r="B258" s="4296" t="s">
        <v>5780</v>
      </c>
      <c r="C258" s="4296" t="s">
        <v>8671</v>
      </c>
      <c r="D258" s="4296" t="s">
        <v>4674</v>
      </c>
      <c r="E258" s="4297">
        <v>21.785299999999996</v>
      </c>
    </row>
    <row r="259" spans="2:5">
      <c r="B259" s="4296" t="s">
        <v>5782</v>
      </c>
      <c r="C259" s="4296" t="s">
        <v>9292</v>
      </c>
      <c r="D259" s="4296" t="s">
        <v>4674</v>
      </c>
      <c r="E259" s="4297">
        <v>21.763805999999999</v>
      </c>
    </row>
    <row r="260" spans="2:5">
      <c r="B260" s="4296" t="s">
        <v>5784</v>
      </c>
      <c r="C260" s="4296" t="s">
        <v>9293</v>
      </c>
      <c r="D260" s="4296" t="s">
        <v>4674</v>
      </c>
      <c r="E260" s="4297">
        <v>21.714017999999992</v>
      </c>
    </row>
    <row r="261" spans="2:5">
      <c r="B261" s="4296" t="s">
        <v>5786</v>
      </c>
      <c r="C261" s="4296" t="s">
        <v>9294</v>
      </c>
      <c r="D261" s="4296" t="s">
        <v>4897</v>
      </c>
      <c r="E261" s="4297">
        <v>21.6</v>
      </c>
    </row>
    <row r="262" spans="2:5">
      <c r="B262" s="4296" t="s">
        <v>5788</v>
      </c>
      <c r="C262" s="4296" t="s">
        <v>7879</v>
      </c>
      <c r="D262" s="4296" t="s">
        <v>4674</v>
      </c>
      <c r="E262" s="4297">
        <v>21.554794999999999</v>
      </c>
    </row>
    <row r="263" spans="2:5">
      <c r="B263" s="4296" t="s">
        <v>5790</v>
      </c>
      <c r="C263" s="4296" t="s">
        <v>9295</v>
      </c>
      <c r="D263" s="4296" t="s">
        <v>4674</v>
      </c>
      <c r="E263" s="4297">
        <v>21.52787</v>
      </c>
    </row>
    <row r="264" spans="2:5">
      <c r="B264" s="4296" t="s">
        <v>5792</v>
      </c>
      <c r="C264" s="4296" t="s">
        <v>8696</v>
      </c>
      <c r="D264" s="4296" t="s">
        <v>4674</v>
      </c>
      <c r="E264" s="4297">
        <v>21.360085000000002</v>
      </c>
    </row>
    <row r="265" spans="2:5">
      <c r="B265" s="4296" t="s">
        <v>5794</v>
      </c>
      <c r="C265" s="4296" t="s">
        <v>8679</v>
      </c>
      <c r="D265" s="4296" t="s">
        <v>4674</v>
      </c>
      <c r="E265" s="4297">
        <v>20.554801999999999</v>
      </c>
    </row>
    <row r="266" spans="2:5">
      <c r="B266" s="4296" t="s">
        <v>5796</v>
      </c>
      <c r="C266" s="4296" t="s">
        <v>9296</v>
      </c>
      <c r="D266" s="4296" t="s">
        <v>4674</v>
      </c>
      <c r="E266" s="4297">
        <v>20.502509999999994</v>
      </c>
    </row>
    <row r="267" spans="2:5">
      <c r="B267" s="4296" t="s">
        <v>5798</v>
      </c>
      <c r="C267" s="4296" t="s">
        <v>5697</v>
      </c>
      <c r="D267" s="4296" t="s">
        <v>4674</v>
      </c>
      <c r="E267" s="4297">
        <v>20.005448999999995</v>
      </c>
    </row>
    <row r="268" spans="2:5">
      <c r="B268" s="4296" t="s">
        <v>5800</v>
      </c>
      <c r="C268" s="4296" t="s">
        <v>9297</v>
      </c>
      <c r="D268" s="4296" t="s">
        <v>5753</v>
      </c>
      <c r="E268" s="4297">
        <v>19.999999999999996</v>
      </c>
    </row>
    <row r="269" spans="2:5">
      <c r="B269" s="4296" t="s">
        <v>5802</v>
      </c>
      <c r="C269" s="4296" t="s">
        <v>8677</v>
      </c>
      <c r="D269" s="4296" t="s">
        <v>4674</v>
      </c>
      <c r="E269" s="4297">
        <v>19.77309</v>
      </c>
    </row>
    <row r="270" spans="2:5">
      <c r="B270" s="4296" t="s">
        <v>5804</v>
      </c>
      <c r="C270" s="4296" t="s">
        <v>8695</v>
      </c>
      <c r="D270" s="4296" t="s">
        <v>4674</v>
      </c>
      <c r="E270" s="4297">
        <v>19.493388999999997</v>
      </c>
    </row>
    <row r="271" spans="2:5">
      <c r="B271" s="4296" t="s">
        <v>5806</v>
      </c>
      <c r="C271" s="4296" t="s">
        <v>7919</v>
      </c>
      <c r="D271" s="4296" t="s">
        <v>4674</v>
      </c>
      <c r="E271" s="4297">
        <v>19.442880000000002</v>
      </c>
    </row>
    <row r="272" spans="2:5">
      <c r="B272" s="4296" t="s">
        <v>5808</v>
      </c>
      <c r="C272" s="4296" t="s">
        <v>9298</v>
      </c>
      <c r="D272" s="4296" t="s">
        <v>4674</v>
      </c>
      <c r="E272" s="4297">
        <v>19.415149000000007</v>
      </c>
    </row>
    <row r="273" spans="2:5">
      <c r="B273" s="4296" t="s">
        <v>5810</v>
      </c>
      <c r="C273" s="4296" t="s">
        <v>9299</v>
      </c>
      <c r="D273" s="4296" t="s">
        <v>4674</v>
      </c>
      <c r="E273" s="4297">
        <v>19.353764999999999</v>
      </c>
    </row>
    <row r="274" spans="2:5">
      <c r="B274" s="4296" t="s">
        <v>5812</v>
      </c>
      <c r="C274" s="4287" t="s">
        <v>7960</v>
      </c>
      <c r="D274" s="4287" t="s">
        <v>4674</v>
      </c>
      <c r="E274" s="4297">
        <v>19.349122000000001</v>
      </c>
    </row>
    <row r="275" spans="2:5">
      <c r="B275" s="4296" t="s">
        <v>5814</v>
      </c>
      <c r="C275" s="4296" t="s">
        <v>9300</v>
      </c>
      <c r="D275" s="4296" t="s">
        <v>4674</v>
      </c>
      <c r="E275" s="4297">
        <v>19.320299000000002</v>
      </c>
    </row>
    <row r="276" spans="2:5">
      <c r="B276" s="4296" t="s">
        <v>5816</v>
      </c>
      <c r="C276" s="4296" t="s">
        <v>9301</v>
      </c>
      <c r="D276" s="4296" t="s">
        <v>4674</v>
      </c>
      <c r="E276" s="4297">
        <v>19.112368999999997</v>
      </c>
    </row>
    <row r="277" spans="2:5">
      <c r="B277" s="4296" t="s">
        <v>5818</v>
      </c>
      <c r="C277" s="4296" t="s">
        <v>7518</v>
      </c>
      <c r="D277" s="4296" t="s">
        <v>7519</v>
      </c>
      <c r="E277" s="4297">
        <v>18.997532999999997</v>
      </c>
    </row>
    <row r="278" spans="2:5">
      <c r="B278" s="4296" t="s">
        <v>5820</v>
      </c>
      <c r="C278" s="4296" t="s">
        <v>8693</v>
      </c>
      <c r="D278" s="4296" t="s">
        <v>4674</v>
      </c>
      <c r="E278" s="4297">
        <v>18.953850000000003</v>
      </c>
    </row>
    <row r="279" spans="2:5">
      <c r="B279" s="4296" t="s">
        <v>5822</v>
      </c>
      <c r="C279" s="4296" t="s">
        <v>9302</v>
      </c>
      <c r="D279" s="4296" t="s">
        <v>4674</v>
      </c>
      <c r="E279" s="4297">
        <v>18.946820000000002</v>
      </c>
    </row>
    <row r="280" spans="2:5">
      <c r="B280" s="4296" t="s">
        <v>5824</v>
      </c>
      <c r="C280" s="4296" t="s">
        <v>7867</v>
      </c>
      <c r="D280" s="4296" t="s">
        <v>4674</v>
      </c>
      <c r="E280" s="4297">
        <v>18.941607000000001</v>
      </c>
    </row>
    <row r="281" spans="2:5">
      <c r="B281" s="4296" t="s">
        <v>5826</v>
      </c>
      <c r="C281" s="4296" t="s">
        <v>9303</v>
      </c>
      <c r="D281" s="4296" t="s">
        <v>4674</v>
      </c>
      <c r="E281" s="4297">
        <v>18.810967999999999</v>
      </c>
    </row>
    <row r="282" spans="2:5">
      <c r="B282" s="4296" t="s">
        <v>5828</v>
      </c>
      <c r="C282" s="4296" t="s">
        <v>8681</v>
      </c>
      <c r="D282" s="4296" t="s">
        <v>4674</v>
      </c>
      <c r="E282" s="4297">
        <v>18.705450000000003</v>
      </c>
    </row>
    <row r="283" spans="2:5">
      <c r="B283" s="4296" t="s">
        <v>5830</v>
      </c>
      <c r="C283" s="4296" t="s">
        <v>9304</v>
      </c>
      <c r="D283" s="4296" t="s">
        <v>4674</v>
      </c>
      <c r="E283" s="4297">
        <v>18.572338000000002</v>
      </c>
    </row>
    <row r="284" spans="2:5">
      <c r="B284" s="4296" t="s">
        <v>5832</v>
      </c>
      <c r="C284" s="4296" t="s">
        <v>7958</v>
      </c>
      <c r="D284" s="4296" t="s">
        <v>4674</v>
      </c>
      <c r="E284" s="4297">
        <v>18.500850000000003</v>
      </c>
    </row>
    <row r="285" spans="2:5">
      <c r="B285" s="4296" t="s">
        <v>5834</v>
      </c>
      <c r="C285" s="4296" t="s">
        <v>8683</v>
      </c>
      <c r="D285" s="4296" t="s">
        <v>4674</v>
      </c>
      <c r="E285" s="4297">
        <v>18.369200000000003</v>
      </c>
    </row>
    <row r="286" spans="2:5">
      <c r="B286" s="4296" t="s">
        <v>5836</v>
      </c>
      <c r="C286" s="4296" t="s">
        <v>7787</v>
      </c>
      <c r="D286" s="4296" t="s">
        <v>4674</v>
      </c>
      <c r="E286" s="4297">
        <v>18.260277999999996</v>
      </c>
    </row>
    <row r="287" spans="2:5">
      <c r="B287" s="4296" t="s">
        <v>5838</v>
      </c>
      <c r="C287" s="4296" t="s">
        <v>9305</v>
      </c>
      <c r="D287" s="4296" t="s">
        <v>4674</v>
      </c>
      <c r="E287" s="4297">
        <v>18.234000000000002</v>
      </c>
    </row>
    <row r="288" spans="2:5">
      <c r="B288" s="4296" t="s">
        <v>5840</v>
      </c>
      <c r="C288" s="4296" t="s">
        <v>9306</v>
      </c>
      <c r="D288" s="4296" t="s">
        <v>4674</v>
      </c>
      <c r="E288" s="4297">
        <v>18.220413999999998</v>
      </c>
    </row>
    <row r="289" spans="2:5">
      <c r="B289" s="4296" t="s">
        <v>5842</v>
      </c>
      <c r="C289" s="4287" t="s">
        <v>9307</v>
      </c>
      <c r="D289" s="4287" t="s">
        <v>4674</v>
      </c>
      <c r="E289" s="4297">
        <v>18.168251000000001</v>
      </c>
    </row>
    <row r="290" spans="2:5">
      <c r="B290" s="4296" t="s">
        <v>5844</v>
      </c>
      <c r="C290" s="4296" t="s">
        <v>9308</v>
      </c>
      <c r="D290" s="4296" t="s">
        <v>4674</v>
      </c>
      <c r="E290" s="4297">
        <v>18.157893999999999</v>
      </c>
    </row>
    <row r="291" spans="2:5">
      <c r="B291" s="4296" t="s">
        <v>5846</v>
      </c>
      <c r="C291" s="4296" t="s">
        <v>8692</v>
      </c>
      <c r="D291" s="4296" t="s">
        <v>4674</v>
      </c>
      <c r="E291" s="4297">
        <v>18.005379999999999</v>
      </c>
    </row>
    <row r="292" spans="2:5">
      <c r="B292" s="4296" t="s">
        <v>5848</v>
      </c>
      <c r="C292" s="4296" t="s">
        <v>9309</v>
      </c>
      <c r="D292" s="4296" t="s">
        <v>4674</v>
      </c>
      <c r="E292" s="4297">
        <v>17.881979999999995</v>
      </c>
    </row>
    <row r="293" spans="2:5">
      <c r="B293" s="4296" t="s">
        <v>5850</v>
      </c>
      <c r="C293" s="4296" t="s">
        <v>9310</v>
      </c>
      <c r="D293" s="4296" t="s">
        <v>4674</v>
      </c>
      <c r="E293" s="4297">
        <v>17.847733999999999</v>
      </c>
    </row>
    <row r="294" spans="2:5">
      <c r="B294" s="4296" t="s">
        <v>5852</v>
      </c>
      <c r="C294" s="4296" t="s">
        <v>9311</v>
      </c>
      <c r="D294" s="4296" t="s">
        <v>4674</v>
      </c>
      <c r="E294" s="4297">
        <v>17.779870000000003</v>
      </c>
    </row>
    <row r="295" spans="2:5">
      <c r="B295" s="4296" t="s">
        <v>5854</v>
      </c>
      <c r="C295" s="4296" t="s">
        <v>7770</v>
      </c>
      <c r="D295" s="4296" t="s">
        <v>4674</v>
      </c>
      <c r="E295" s="4297">
        <v>17.535937000000001</v>
      </c>
    </row>
    <row r="296" spans="2:5">
      <c r="B296" s="4296" t="s">
        <v>5856</v>
      </c>
      <c r="C296" s="4296" t="s">
        <v>8690</v>
      </c>
      <c r="D296" s="4296" t="s">
        <v>4674</v>
      </c>
      <c r="E296" s="4297">
        <v>17.494433000000001</v>
      </c>
    </row>
    <row r="297" spans="2:5">
      <c r="B297" s="4296" t="s">
        <v>5858</v>
      </c>
      <c r="C297" s="4296" t="s">
        <v>9312</v>
      </c>
      <c r="D297" s="4296" t="s">
        <v>4674</v>
      </c>
      <c r="E297" s="4297">
        <v>17.449963000000004</v>
      </c>
    </row>
    <row r="298" spans="2:5">
      <c r="B298" s="4296" t="s">
        <v>5860</v>
      </c>
      <c r="C298" s="4296" t="s">
        <v>7801</v>
      </c>
      <c r="D298" s="4296" t="s">
        <v>4674</v>
      </c>
      <c r="E298" s="4297">
        <v>17.419951999999999</v>
      </c>
    </row>
    <row r="299" spans="2:5">
      <c r="B299" s="4296" t="s">
        <v>5862</v>
      </c>
      <c r="C299" s="4296" t="s">
        <v>8853</v>
      </c>
      <c r="D299" s="4296" t="s">
        <v>4674</v>
      </c>
      <c r="E299" s="4297">
        <v>17.258057999999998</v>
      </c>
    </row>
    <row r="300" spans="2:5">
      <c r="B300" s="4296" t="s">
        <v>5864</v>
      </c>
      <c r="C300" s="4296" t="s">
        <v>8688</v>
      </c>
      <c r="D300" s="4296" t="s">
        <v>4674</v>
      </c>
      <c r="E300" s="4297">
        <v>17.211572999999998</v>
      </c>
    </row>
    <row r="301" spans="2:5">
      <c r="B301" s="4296" t="s">
        <v>5866</v>
      </c>
      <c r="C301" s="4296" t="s">
        <v>8699</v>
      </c>
      <c r="D301" s="4296" t="s">
        <v>4674</v>
      </c>
      <c r="E301" s="4297">
        <v>17.074615000000001</v>
      </c>
    </row>
    <row r="302" spans="2:5">
      <c r="B302" s="4296" t="s">
        <v>5868</v>
      </c>
      <c r="C302" s="4296" t="s">
        <v>7857</v>
      </c>
      <c r="D302" s="4296" t="s">
        <v>4674</v>
      </c>
      <c r="E302" s="4297">
        <v>17.063775</v>
      </c>
    </row>
    <row r="303" spans="2:5">
      <c r="B303" s="4296" t="s">
        <v>5870</v>
      </c>
      <c r="C303" s="4296" t="s">
        <v>9313</v>
      </c>
      <c r="D303" s="4296" t="s">
        <v>4674</v>
      </c>
      <c r="E303" s="4297">
        <v>17.055976000000001</v>
      </c>
    </row>
    <row r="304" spans="2:5">
      <c r="B304" s="4296" t="s">
        <v>5872</v>
      </c>
      <c r="C304" s="4287" t="s">
        <v>8716</v>
      </c>
      <c r="D304" s="4287" t="s">
        <v>4674</v>
      </c>
      <c r="E304" s="4297">
        <v>16.877482999999994</v>
      </c>
    </row>
    <row r="305" spans="2:5">
      <c r="B305" s="4296" t="s">
        <v>5874</v>
      </c>
      <c r="C305" s="4296" t="s">
        <v>9314</v>
      </c>
      <c r="D305" s="4296" t="s">
        <v>4897</v>
      </c>
      <c r="E305" s="4297">
        <v>16.829999999999998</v>
      </c>
    </row>
    <row r="306" spans="2:5">
      <c r="B306" s="4296" t="s">
        <v>5876</v>
      </c>
      <c r="C306" s="4296" t="s">
        <v>8689</v>
      </c>
      <c r="D306" s="4296" t="s">
        <v>4674</v>
      </c>
      <c r="E306" s="4297">
        <v>16.647794999999999</v>
      </c>
    </row>
    <row r="307" spans="2:5">
      <c r="B307" s="4296" t="s">
        <v>5878</v>
      </c>
      <c r="C307" s="4296" t="s">
        <v>7883</v>
      </c>
      <c r="D307" s="4296" t="s">
        <v>4674</v>
      </c>
      <c r="E307" s="4297">
        <v>16.628396000000002</v>
      </c>
    </row>
    <row r="308" spans="2:5">
      <c r="B308" s="4296" t="s">
        <v>5880</v>
      </c>
      <c r="C308" s="4296" t="s">
        <v>9315</v>
      </c>
      <c r="D308" s="4296" t="s">
        <v>4674</v>
      </c>
      <c r="E308" s="4297">
        <v>16.620361000000003</v>
      </c>
    </row>
    <row r="309" spans="2:5">
      <c r="B309" s="4296" t="s">
        <v>5882</v>
      </c>
      <c r="C309" s="4296" t="s">
        <v>7952</v>
      </c>
      <c r="D309" s="4296" t="s">
        <v>4674</v>
      </c>
      <c r="E309" s="4297">
        <v>16.563221000000002</v>
      </c>
    </row>
    <row r="310" spans="2:5">
      <c r="B310" s="4296" t="s">
        <v>5884</v>
      </c>
      <c r="C310" s="4296" t="s">
        <v>9316</v>
      </c>
      <c r="D310" s="4296" t="s">
        <v>4674</v>
      </c>
      <c r="E310" s="4297">
        <v>16.559442999999998</v>
      </c>
    </row>
    <row r="311" spans="2:5">
      <c r="B311" s="4296" t="s">
        <v>5886</v>
      </c>
      <c r="C311" s="4296" t="s">
        <v>9317</v>
      </c>
      <c r="D311" s="4296" t="s">
        <v>4674</v>
      </c>
      <c r="E311" s="4297">
        <v>16.523361999999999</v>
      </c>
    </row>
    <row r="312" spans="2:5">
      <c r="B312" s="4296" t="s">
        <v>5888</v>
      </c>
      <c r="C312" s="4296" t="s">
        <v>7887</v>
      </c>
      <c r="D312" s="4296" t="s">
        <v>4674</v>
      </c>
      <c r="E312" s="4297">
        <v>16.492152999999998</v>
      </c>
    </row>
    <row r="313" spans="2:5">
      <c r="B313" s="4296" t="s">
        <v>5890</v>
      </c>
      <c r="C313" s="4296" t="s">
        <v>8704</v>
      </c>
      <c r="D313" s="4296" t="s">
        <v>4674</v>
      </c>
      <c r="E313" s="4297">
        <v>16.375220000000002</v>
      </c>
    </row>
    <row r="314" spans="2:5">
      <c r="B314" s="4296" t="s">
        <v>5892</v>
      </c>
      <c r="C314" s="4296" t="s">
        <v>8684</v>
      </c>
      <c r="D314" s="4296" t="s">
        <v>4674</v>
      </c>
      <c r="E314" s="4297">
        <v>16.368077</v>
      </c>
    </row>
    <row r="315" spans="2:5">
      <c r="B315" s="4296" t="s">
        <v>5894</v>
      </c>
      <c r="C315" s="4296" t="s">
        <v>9318</v>
      </c>
      <c r="D315" s="4296" t="s">
        <v>4674</v>
      </c>
      <c r="E315" s="4297">
        <v>16.328786999999998</v>
      </c>
    </row>
    <row r="316" spans="2:5">
      <c r="B316" s="4296" t="s">
        <v>5896</v>
      </c>
      <c r="C316" s="4296" t="s">
        <v>5286</v>
      </c>
      <c r="D316" s="4296" t="s">
        <v>4674</v>
      </c>
      <c r="E316" s="4297">
        <v>16.320134000000003</v>
      </c>
    </row>
    <row r="317" spans="2:5">
      <c r="B317" s="4296" t="s">
        <v>5898</v>
      </c>
      <c r="C317" s="4296" t="s">
        <v>8656</v>
      </c>
      <c r="D317" s="4296" t="s">
        <v>4674</v>
      </c>
      <c r="E317" s="4297">
        <v>16.264600000000002</v>
      </c>
    </row>
    <row r="318" spans="2:5">
      <c r="B318" s="4296" t="s">
        <v>5900</v>
      </c>
      <c r="C318" s="4296" t="s">
        <v>9319</v>
      </c>
      <c r="D318" s="4296" t="s">
        <v>4674</v>
      </c>
      <c r="E318" s="4297">
        <v>16.261982999999997</v>
      </c>
    </row>
    <row r="319" spans="2:5">
      <c r="B319" s="4296" t="s">
        <v>5902</v>
      </c>
      <c r="C319" s="4296" t="s">
        <v>9320</v>
      </c>
      <c r="D319" s="4296" t="s">
        <v>4674</v>
      </c>
      <c r="E319" s="4297">
        <v>16.093998999999997</v>
      </c>
    </row>
    <row r="320" spans="2:5">
      <c r="B320" s="4296" t="s">
        <v>5904</v>
      </c>
      <c r="C320" s="4296" t="s">
        <v>9321</v>
      </c>
      <c r="D320" s="4296" t="s">
        <v>4674</v>
      </c>
      <c r="E320" s="4297">
        <v>15.956478000000002</v>
      </c>
    </row>
    <row r="321" spans="2:5">
      <c r="B321" s="4296" t="s">
        <v>5906</v>
      </c>
      <c r="C321" s="4296" t="s">
        <v>7836</v>
      </c>
      <c r="D321" s="4296" t="s">
        <v>4674</v>
      </c>
      <c r="E321" s="4297">
        <v>15.710001999999999</v>
      </c>
    </row>
    <row r="322" spans="2:5">
      <c r="B322" s="4296" t="s">
        <v>5908</v>
      </c>
      <c r="C322" s="4296" t="s">
        <v>9322</v>
      </c>
      <c r="D322" s="4296" t="s">
        <v>4674</v>
      </c>
      <c r="E322" s="4297">
        <v>15.533845000000001</v>
      </c>
    </row>
    <row r="323" spans="2:5">
      <c r="B323" s="4296" t="s">
        <v>5910</v>
      </c>
      <c r="C323" s="4296" t="s">
        <v>8702</v>
      </c>
      <c r="D323" s="4296" t="s">
        <v>4674</v>
      </c>
      <c r="E323" s="4297">
        <v>15.512499999999999</v>
      </c>
    </row>
    <row r="324" spans="2:5">
      <c r="B324" s="4296" t="s">
        <v>5912</v>
      </c>
      <c r="C324" s="4296" t="s">
        <v>8705</v>
      </c>
      <c r="D324" s="4296" t="s">
        <v>4674</v>
      </c>
      <c r="E324" s="4297">
        <v>15.505216000000001</v>
      </c>
    </row>
    <row r="325" spans="2:5">
      <c r="B325" s="4296" t="s">
        <v>5914</v>
      </c>
      <c r="C325" s="4296" t="s">
        <v>8832</v>
      </c>
      <c r="D325" s="4296" t="s">
        <v>4674</v>
      </c>
      <c r="E325" s="4297">
        <v>15.162364000000002</v>
      </c>
    </row>
    <row r="326" spans="2:5">
      <c r="B326" s="4296" t="s">
        <v>5916</v>
      </c>
      <c r="C326" s="4296" t="s">
        <v>9323</v>
      </c>
      <c r="D326" s="4296" t="s">
        <v>4897</v>
      </c>
      <c r="E326" s="4297">
        <v>15</v>
      </c>
    </row>
    <row r="327" spans="2:5">
      <c r="B327" s="4296" t="s">
        <v>5918</v>
      </c>
      <c r="C327" s="4296" t="s">
        <v>9324</v>
      </c>
      <c r="D327" s="4296" t="s">
        <v>4897</v>
      </c>
      <c r="E327" s="4297">
        <v>14.999999999999996</v>
      </c>
    </row>
    <row r="328" spans="2:5">
      <c r="B328" s="4296" t="s">
        <v>5920</v>
      </c>
      <c r="C328" s="4296" t="s">
        <v>8746</v>
      </c>
      <c r="D328" s="4296" t="s">
        <v>4674</v>
      </c>
      <c r="E328" s="4297">
        <v>14.843744999999998</v>
      </c>
    </row>
    <row r="329" spans="2:5">
      <c r="B329" s="4296" t="s">
        <v>5922</v>
      </c>
      <c r="C329" s="4296" t="s">
        <v>8709</v>
      </c>
      <c r="D329" s="4296" t="s">
        <v>4674</v>
      </c>
      <c r="E329" s="4297">
        <v>14.781499999999999</v>
      </c>
    </row>
    <row r="330" spans="2:5">
      <c r="B330" s="4296" t="s">
        <v>5924</v>
      </c>
      <c r="C330" s="4296" t="s">
        <v>9325</v>
      </c>
      <c r="D330" s="4296" t="s">
        <v>4897</v>
      </c>
      <c r="E330" s="4297">
        <v>14.7</v>
      </c>
    </row>
    <row r="331" spans="2:5">
      <c r="B331" s="4296" t="s">
        <v>5926</v>
      </c>
      <c r="C331" s="4296" t="s">
        <v>8724</v>
      </c>
      <c r="D331" s="4296" t="s">
        <v>4674</v>
      </c>
      <c r="E331" s="4297">
        <v>14.575733</v>
      </c>
    </row>
    <row r="332" spans="2:5">
      <c r="B332" s="4296" t="s">
        <v>5928</v>
      </c>
      <c r="C332" s="4296" t="s">
        <v>7914</v>
      </c>
      <c r="D332" s="4296" t="s">
        <v>4674</v>
      </c>
      <c r="E332" s="4297">
        <v>14.497661000000001</v>
      </c>
    </row>
    <row r="333" spans="2:5">
      <c r="B333" s="4296" t="s">
        <v>5930</v>
      </c>
      <c r="C333" s="4296" t="s">
        <v>9326</v>
      </c>
      <c r="D333" s="4296" t="s">
        <v>4674</v>
      </c>
      <c r="E333" s="4297">
        <v>14.453773999999999</v>
      </c>
    </row>
    <row r="334" spans="2:5">
      <c r="B334" s="4296" t="s">
        <v>5932</v>
      </c>
      <c r="C334" s="4296" t="s">
        <v>8719</v>
      </c>
      <c r="D334" s="4296" t="s">
        <v>4674</v>
      </c>
      <c r="E334" s="4297">
        <v>14.2272</v>
      </c>
    </row>
    <row r="335" spans="2:5">
      <c r="B335" s="4296" t="s">
        <v>5934</v>
      </c>
      <c r="C335" s="4296" t="s">
        <v>9327</v>
      </c>
      <c r="D335" s="4296" t="s">
        <v>4674</v>
      </c>
      <c r="E335" s="4297">
        <v>14.110886000000001</v>
      </c>
    </row>
    <row r="336" spans="2:5">
      <c r="B336" s="4296" t="s">
        <v>5936</v>
      </c>
      <c r="C336" s="4296" t="s">
        <v>9328</v>
      </c>
      <c r="D336" s="4296" t="s">
        <v>4674</v>
      </c>
      <c r="E336" s="4297">
        <v>14.052664000000002</v>
      </c>
    </row>
    <row r="337" spans="2:5">
      <c r="B337" s="4296" t="s">
        <v>5938</v>
      </c>
      <c r="C337" s="4296" t="s">
        <v>9329</v>
      </c>
      <c r="D337" s="4296" t="s">
        <v>4897</v>
      </c>
      <c r="E337" s="4297">
        <v>14</v>
      </c>
    </row>
    <row r="338" spans="2:5">
      <c r="B338" s="4296" t="s">
        <v>5940</v>
      </c>
      <c r="C338" s="4287" t="s">
        <v>8697</v>
      </c>
      <c r="D338" s="4287" t="s">
        <v>4674</v>
      </c>
      <c r="E338" s="4297">
        <v>13.852186999999999</v>
      </c>
    </row>
    <row r="339" spans="2:5">
      <c r="B339" s="4296" t="s">
        <v>5942</v>
      </c>
      <c r="C339" s="4296" t="s">
        <v>8710</v>
      </c>
      <c r="D339" s="4296" t="s">
        <v>4674</v>
      </c>
      <c r="E339" s="4297">
        <v>13.85201</v>
      </c>
    </row>
    <row r="340" spans="2:5">
      <c r="B340" s="4296" t="s">
        <v>5944</v>
      </c>
      <c r="C340" s="4296" t="s">
        <v>7823</v>
      </c>
      <c r="D340" s="4296" t="s">
        <v>4674</v>
      </c>
      <c r="E340" s="4297">
        <v>13.737183999999999</v>
      </c>
    </row>
    <row r="341" spans="2:5">
      <c r="B341" s="4296" t="s">
        <v>5946</v>
      </c>
      <c r="C341" s="4296" t="s">
        <v>9330</v>
      </c>
      <c r="D341" s="4296" t="s">
        <v>4897</v>
      </c>
      <c r="E341" s="4297">
        <v>13.68</v>
      </c>
    </row>
    <row r="342" spans="2:5">
      <c r="B342" s="4296" t="s">
        <v>5948</v>
      </c>
      <c r="C342" s="4296" t="s">
        <v>8884</v>
      </c>
      <c r="D342" s="4296" t="s">
        <v>4674</v>
      </c>
      <c r="E342" s="4297">
        <v>13.592327000000003</v>
      </c>
    </row>
    <row r="343" spans="2:5">
      <c r="B343" s="4296" t="s">
        <v>5950</v>
      </c>
      <c r="C343" s="4296" t="s">
        <v>7992</v>
      </c>
      <c r="D343" s="4296" t="s">
        <v>4674</v>
      </c>
      <c r="E343" s="4297">
        <v>13.560896000000001</v>
      </c>
    </row>
    <row r="344" spans="2:5">
      <c r="B344" s="4296" t="s">
        <v>5952</v>
      </c>
      <c r="C344" s="4296" t="s">
        <v>9331</v>
      </c>
      <c r="D344" s="4296" t="s">
        <v>4897</v>
      </c>
      <c r="E344" s="4297">
        <v>13.5</v>
      </c>
    </row>
    <row r="345" spans="2:5">
      <c r="B345" s="4296" t="s">
        <v>5954</v>
      </c>
      <c r="C345" s="4296" t="s">
        <v>9332</v>
      </c>
      <c r="D345" s="4296" t="s">
        <v>4674</v>
      </c>
      <c r="E345" s="4297">
        <v>13.369053000000003</v>
      </c>
    </row>
    <row r="346" spans="2:5">
      <c r="B346" s="4296" t="s">
        <v>5956</v>
      </c>
      <c r="C346" s="4296" t="s">
        <v>9333</v>
      </c>
      <c r="D346" s="4296" t="s">
        <v>4674</v>
      </c>
      <c r="E346" s="4297">
        <v>13.230916000000001</v>
      </c>
    </row>
    <row r="347" spans="2:5">
      <c r="B347" s="4296" t="s">
        <v>5958</v>
      </c>
      <c r="C347" s="4296" t="s">
        <v>9334</v>
      </c>
      <c r="D347" s="4296" t="s">
        <v>5222</v>
      </c>
      <c r="E347" s="4297">
        <v>13.2</v>
      </c>
    </row>
    <row r="348" spans="2:5">
      <c r="B348" s="4296" t="s">
        <v>5960</v>
      </c>
      <c r="C348" s="4296" t="s">
        <v>7854</v>
      </c>
      <c r="D348" s="4296" t="s">
        <v>4674</v>
      </c>
      <c r="E348" s="4297">
        <v>13.132842000000002</v>
      </c>
    </row>
    <row r="349" spans="2:5">
      <c r="B349" s="4296" t="s">
        <v>5962</v>
      </c>
      <c r="C349" s="4296" t="s">
        <v>9335</v>
      </c>
      <c r="D349" s="4296" t="s">
        <v>4674</v>
      </c>
      <c r="E349" s="4297">
        <v>13.090604999999998</v>
      </c>
    </row>
    <row r="350" spans="2:5">
      <c r="B350" s="4296" t="s">
        <v>5964</v>
      </c>
      <c r="C350" s="4296" t="s">
        <v>8796</v>
      </c>
      <c r="D350" s="4296" t="s">
        <v>4674</v>
      </c>
      <c r="E350" s="4297">
        <v>12.895093999999999</v>
      </c>
    </row>
    <row r="351" spans="2:5">
      <c r="B351" s="4296" t="s">
        <v>5966</v>
      </c>
      <c r="C351" s="4296" t="s">
        <v>7876</v>
      </c>
      <c r="D351" s="4296" t="s">
        <v>4674</v>
      </c>
      <c r="E351" s="4297">
        <v>12.681037</v>
      </c>
    </row>
    <row r="352" spans="2:5">
      <c r="B352" s="4296" t="s">
        <v>5968</v>
      </c>
      <c r="C352" s="4296" t="s">
        <v>7881</v>
      </c>
      <c r="D352" s="4296" t="s">
        <v>4674</v>
      </c>
      <c r="E352" s="4297">
        <v>12.625017999999999</v>
      </c>
    </row>
    <row r="353" spans="2:5">
      <c r="B353" s="4296" t="s">
        <v>5970</v>
      </c>
      <c r="C353" s="4296" t="s">
        <v>8862</v>
      </c>
      <c r="D353" s="4296" t="s">
        <v>4674</v>
      </c>
      <c r="E353" s="4297">
        <v>12.460331</v>
      </c>
    </row>
    <row r="354" spans="2:5">
      <c r="B354" s="4296" t="s">
        <v>5972</v>
      </c>
      <c r="C354" s="4296" t="s">
        <v>8744</v>
      </c>
      <c r="D354" s="4296" t="s">
        <v>4674</v>
      </c>
      <c r="E354" s="4297">
        <v>12.395196000000002</v>
      </c>
    </row>
    <row r="355" spans="2:5">
      <c r="B355" s="4296" t="s">
        <v>5974</v>
      </c>
      <c r="C355" s="4296" t="s">
        <v>9336</v>
      </c>
      <c r="D355" s="4296" t="s">
        <v>4674</v>
      </c>
      <c r="E355" s="4297">
        <v>12.306139999999999</v>
      </c>
    </row>
    <row r="356" spans="2:5">
      <c r="B356" s="4296" t="s">
        <v>5976</v>
      </c>
      <c r="C356" s="4296" t="s">
        <v>8736</v>
      </c>
      <c r="D356" s="4296" t="s">
        <v>4674</v>
      </c>
      <c r="E356" s="4297">
        <v>12.23184</v>
      </c>
    </row>
    <row r="357" spans="2:5">
      <c r="B357" s="4296" t="s">
        <v>5978</v>
      </c>
      <c r="C357" s="4296" t="s">
        <v>9337</v>
      </c>
      <c r="D357" s="4296" t="s">
        <v>4674</v>
      </c>
      <c r="E357" s="4297">
        <v>12.119949999999994</v>
      </c>
    </row>
    <row r="358" spans="2:5">
      <c r="B358" s="4296" t="s">
        <v>5980</v>
      </c>
      <c r="C358" s="4296" t="s">
        <v>8722</v>
      </c>
      <c r="D358" s="4296" t="s">
        <v>4674</v>
      </c>
      <c r="E358" s="4297">
        <v>12.099464999999999</v>
      </c>
    </row>
    <row r="359" spans="2:5">
      <c r="B359" s="4296" t="s">
        <v>5982</v>
      </c>
      <c r="C359" s="4296" t="s">
        <v>9338</v>
      </c>
      <c r="D359" s="4296" t="s">
        <v>4897</v>
      </c>
      <c r="E359" s="4297">
        <v>12</v>
      </c>
    </row>
    <row r="360" spans="2:5">
      <c r="B360" s="4296" t="s">
        <v>5984</v>
      </c>
      <c r="C360" s="4296" t="s">
        <v>9339</v>
      </c>
      <c r="D360" s="4296" t="s">
        <v>4897</v>
      </c>
      <c r="E360" s="4297">
        <v>12</v>
      </c>
    </row>
    <row r="361" spans="2:5">
      <c r="B361" s="4296" t="s">
        <v>5986</v>
      </c>
      <c r="C361" s="4296" t="s">
        <v>9340</v>
      </c>
      <c r="D361" s="4296" t="s">
        <v>4897</v>
      </c>
      <c r="E361" s="4297">
        <v>12</v>
      </c>
    </row>
    <row r="362" spans="2:5">
      <c r="B362" s="4296" t="s">
        <v>5988</v>
      </c>
      <c r="C362" s="4296" t="s">
        <v>9341</v>
      </c>
      <c r="D362" s="4296" t="s">
        <v>4897</v>
      </c>
      <c r="E362" s="4297">
        <v>12</v>
      </c>
    </row>
    <row r="363" spans="2:5">
      <c r="B363" s="4296" t="s">
        <v>5990</v>
      </c>
      <c r="C363" s="4296" t="s">
        <v>9342</v>
      </c>
      <c r="D363" s="4296" t="s">
        <v>4897</v>
      </c>
      <c r="E363" s="4297">
        <v>12</v>
      </c>
    </row>
    <row r="364" spans="2:5">
      <c r="B364" s="4296" t="s">
        <v>5992</v>
      </c>
      <c r="C364" s="4296" t="s">
        <v>8729</v>
      </c>
      <c r="D364" s="4296" t="s">
        <v>4674</v>
      </c>
      <c r="E364" s="4297">
        <v>11.867538</v>
      </c>
    </row>
    <row r="365" spans="2:5">
      <c r="B365" s="4296" t="s">
        <v>5994</v>
      </c>
      <c r="C365" s="4296" t="s">
        <v>8787</v>
      </c>
      <c r="D365" s="4296" t="s">
        <v>4674</v>
      </c>
      <c r="E365" s="4297">
        <v>11.815982999999999</v>
      </c>
    </row>
    <row r="366" spans="2:5">
      <c r="B366" s="4296" t="s">
        <v>5996</v>
      </c>
      <c r="C366" s="4287" t="s">
        <v>8850</v>
      </c>
      <c r="D366" s="4287" t="s">
        <v>4674</v>
      </c>
      <c r="E366" s="4297">
        <v>11.686080000000002</v>
      </c>
    </row>
    <row r="367" spans="2:5">
      <c r="B367" s="4296" t="s">
        <v>5998</v>
      </c>
      <c r="C367" s="4296" t="s">
        <v>8721</v>
      </c>
      <c r="D367" s="4296" t="s">
        <v>4674</v>
      </c>
      <c r="E367" s="4297">
        <v>11.650166</v>
      </c>
    </row>
    <row r="368" spans="2:5">
      <c r="B368" s="4296" t="s">
        <v>6000</v>
      </c>
      <c r="C368" s="4296" t="s">
        <v>5925</v>
      </c>
      <c r="D368" s="4296" t="s">
        <v>4674</v>
      </c>
      <c r="E368" s="4297">
        <v>11.648</v>
      </c>
    </row>
    <row r="369" spans="2:5">
      <c r="B369" s="4296" t="s">
        <v>6002</v>
      </c>
      <c r="C369" s="4296" t="s">
        <v>9343</v>
      </c>
      <c r="D369" s="4296" t="s">
        <v>4674</v>
      </c>
      <c r="E369" s="4297">
        <v>11.635553000000003</v>
      </c>
    </row>
    <row r="370" spans="2:5">
      <c r="B370" s="4296" t="s">
        <v>6004</v>
      </c>
      <c r="C370" s="4296" t="s">
        <v>8732</v>
      </c>
      <c r="D370" s="4296" t="s">
        <v>4674</v>
      </c>
      <c r="E370" s="4297">
        <v>11.58648</v>
      </c>
    </row>
    <row r="371" spans="2:5">
      <c r="B371" s="4296" t="s">
        <v>6006</v>
      </c>
      <c r="C371" s="4296" t="s">
        <v>8851</v>
      </c>
      <c r="D371" s="4296" t="s">
        <v>4674</v>
      </c>
      <c r="E371" s="4297">
        <v>11.5344</v>
      </c>
    </row>
    <row r="372" spans="2:5">
      <c r="B372" s="4296" t="s">
        <v>6008</v>
      </c>
      <c r="C372" s="4287" t="s">
        <v>9344</v>
      </c>
      <c r="D372" s="4287" t="s">
        <v>4674</v>
      </c>
      <c r="E372" s="4297">
        <v>11.352731</v>
      </c>
    </row>
    <row r="373" spans="2:5">
      <c r="B373" s="4296" t="s">
        <v>6010</v>
      </c>
      <c r="C373" s="4296" t="s">
        <v>8892</v>
      </c>
      <c r="D373" s="4296" t="s">
        <v>4674</v>
      </c>
      <c r="E373" s="4297">
        <v>11.352687</v>
      </c>
    </row>
    <row r="374" spans="2:5">
      <c r="B374" s="4296" t="s">
        <v>6012</v>
      </c>
      <c r="C374" s="4296" t="s">
        <v>8738</v>
      </c>
      <c r="D374" s="4296" t="s">
        <v>4674</v>
      </c>
      <c r="E374" s="4297">
        <v>11.306201000000001</v>
      </c>
    </row>
    <row r="375" spans="2:5">
      <c r="B375" s="4296" t="s">
        <v>6014</v>
      </c>
      <c r="C375" s="4296" t="s">
        <v>9345</v>
      </c>
      <c r="D375" s="4296" t="s">
        <v>5222</v>
      </c>
      <c r="E375" s="4297">
        <v>11.3</v>
      </c>
    </row>
    <row r="376" spans="2:5">
      <c r="B376" s="4296" t="s">
        <v>6016</v>
      </c>
      <c r="C376" s="4296" t="s">
        <v>8854</v>
      </c>
      <c r="D376" s="4296" t="s">
        <v>4674</v>
      </c>
      <c r="E376" s="4297">
        <v>11.061093</v>
      </c>
    </row>
    <row r="377" spans="2:5">
      <c r="B377" s="4296" t="s">
        <v>6018</v>
      </c>
      <c r="C377" s="4296" t="s">
        <v>9346</v>
      </c>
      <c r="D377" s="4296" t="s">
        <v>4897</v>
      </c>
      <c r="E377" s="4297">
        <v>10.85</v>
      </c>
    </row>
    <row r="378" spans="2:5">
      <c r="B378" s="4296" t="s">
        <v>6020</v>
      </c>
      <c r="C378" s="4296" t="s">
        <v>9347</v>
      </c>
      <c r="D378" s="4296" t="s">
        <v>4897</v>
      </c>
      <c r="E378" s="4297">
        <v>10.8</v>
      </c>
    </row>
    <row r="379" spans="2:5">
      <c r="B379" s="4296" t="s">
        <v>6022</v>
      </c>
      <c r="C379" s="4296" t="s">
        <v>9348</v>
      </c>
      <c r="D379" s="4296" t="s">
        <v>4987</v>
      </c>
      <c r="E379" s="4297">
        <v>10.767685</v>
      </c>
    </row>
    <row r="380" spans="2:5">
      <c r="B380" s="4296" t="s">
        <v>6024</v>
      </c>
      <c r="C380" s="4296" t="s">
        <v>8745</v>
      </c>
      <c r="D380" s="4296" t="s">
        <v>4674</v>
      </c>
      <c r="E380" s="4297">
        <v>10.54252</v>
      </c>
    </row>
    <row r="381" spans="2:5">
      <c r="B381" s="4296" t="s">
        <v>6026</v>
      </c>
      <c r="C381" s="4296" t="s">
        <v>8866</v>
      </c>
      <c r="D381" s="4296" t="s">
        <v>4674</v>
      </c>
      <c r="E381" s="4297">
        <v>10.525274000000001</v>
      </c>
    </row>
    <row r="382" spans="2:5">
      <c r="B382" s="4296" t="s">
        <v>6028</v>
      </c>
      <c r="C382" s="4296" t="s">
        <v>9349</v>
      </c>
      <c r="D382" s="4296" t="s">
        <v>4897</v>
      </c>
      <c r="E382" s="4297">
        <v>10.5</v>
      </c>
    </row>
    <row r="383" spans="2:5">
      <c r="B383" s="4296" t="s">
        <v>6030</v>
      </c>
      <c r="C383" s="4296" t="s">
        <v>9350</v>
      </c>
      <c r="D383" s="4296" t="s">
        <v>4897</v>
      </c>
      <c r="E383" s="4297">
        <v>10.5</v>
      </c>
    </row>
    <row r="384" spans="2:5">
      <c r="B384" s="4296" t="s">
        <v>6032</v>
      </c>
      <c r="C384" s="4296" t="s">
        <v>9351</v>
      </c>
      <c r="D384" s="4296" t="s">
        <v>4674</v>
      </c>
      <c r="E384" s="4297">
        <v>10.436507999999998</v>
      </c>
    </row>
    <row r="385" spans="2:5">
      <c r="B385" s="4296" t="s">
        <v>6034</v>
      </c>
      <c r="C385" s="4296" t="s">
        <v>8868</v>
      </c>
      <c r="D385" s="4296" t="s">
        <v>4674</v>
      </c>
      <c r="E385" s="4297">
        <v>10.434956999999997</v>
      </c>
    </row>
    <row r="386" spans="2:5">
      <c r="B386" s="4296" t="s">
        <v>6036</v>
      </c>
      <c r="C386" s="4296" t="s">
        <v>8750</v>
      </c>
      <c r="D386" s="4296" t="s">
        <v>4674</v>
      </c>
      <c r="E386" s="4297">
        <v>10.395799999999999</v>
      </c>
    </row>
    <row r="387" spans="2:5">
      <c r="B387" s="4296" t="s">
        <v>6038</v>
      </c>
      <c r="C387" s="4296" t="s">
        <v>9352</v>
      </c>
      <c r="D387" s="4296" t="s">
        <v>5222</v>
      </c>
      <c r="E387" s="4297">
        <v>10.272</v>
      </c>
    </row>
    <row r="388" spans="2:5">
      <c r="B388" s="4296" t="s">
        <v>6040</v>
      </c>
      <c r="C388" s="4296" t="s">
        <v>8948</v>
      </c>
      <c r="D388" s="4296" t="s">
        <v>4674</v>
      </c>
      <c r="E388" s="4297">
        <v>10.147058999999999</v>
      </c>
    </row>
    <row r="389" spans="2:5">
      <c r="B389" s="4296" t="s">
        <v>6042</v>
      </c>
      <c r="C389" s="4296" t="s">
        <v>9353</v>
      </c>
      <c r="D389" s="4296" t="s">
        <v>4674</v>
      </c>
      <c r="E389" s="4297">
        <v>10.121532999999999</v>
      </c>
    </row>
    <row r="390" spans="2:5">
      <c r="B390" s="4296" t="s">
        <v>6045</v>
      </c>
      <c r="C390" s="4296" t="s">
        <v>8754</v>
      </c>
      <c r="D390" s="4296" t="s">
        <v>4674</v>
      </c>
      <c r="E390" s="4297">
        <v>10.083119999999999</v>
      </c>
    </row>
    <row r="391" spans="2:5">
      <c r="B391" s="4296" t="s">
        <v>6047</v>
      </c>
      <c r="C391" s="4296" t="s">
        <v>6043</v>
      </c>
      <c r="D391" s="4296" t="s">
        <v>6044</v>
      </c>
      <c r="E391" s="4297">
        <v>10.08</v>
      </c>
    </row>
    <row r="392" spans="2:5">
      <c r="B392" s="4296" t="s">
        <v>6049</v>
      </c>
      <c r="C392" s="4296" t="s">
        <v>9354</v>
      </c>
      <c r="D392" s="4296" t="s">
        <v>4674</v>
      </c>
      <c r="E392" s="4297">
        <v>10.023010999999999</v>
      </c>
    </row>
    <row r="393" spans="2:5">
      <c r="B393" s="4296" t="s">
        <v>6051</v>
      </c>
      <c r="C393" s="4287" t="s">
        <v>9355</v>
      </c>
      <c r="D393" s="4287" t="s">
        <v>7519</v>
      </c>
      <c r="E393" s="4297">
        <v>10</v>
      </c>
    </row>
    <row r="394" spans="2:5">
      <c r="B394" s="4296" t="s">
        <v>6053</v>
      </c>
      <c r="C394" s="4296" t="s">
        <v>9356</v>
      </c>
      <c r="D394" s="4296" t="s">
        <v>4897</v>
      </c>
      <c r="E394" s="4297">
        <v>10</v>
      </c>
    </row>
    <row r="395" spans="2:5">
      <c r="B395" s="4296" t="s">
        <v>6055</v>
      </c>
      <c r="C395" s="4296" t="s">
        <v>8881</v>
      </c>
      <c r="D395" s="4296" t="s">
        <v>4674</v>
      </c>
      <c r="E395" s="4297">
        <v>9.9835640000000012</v>
      </c>
    </row>
    <row r="396" spans="2:5">
      <c r="B396" s="4296" t="s">
        <v>6057</v>
      </c>
      <c r="C396" s="4296" t="s">
        <v>8849</v>
      </c>
      <c r="D396" s="4296" t="s">
        <v>5753</v>
      </c>
      <c r="E396" s="4297">
        <v>9.9379729999999977</v>
      </c>
    </row>
    <row r="397" spans="2:5">
      <c r="B397" s="4296" t="s">
        <v>6059</v>
      </c>
      <c r="C397" s="4296" t="s">
        <v>9357</v>
      </c>
      <c r="D397" s="4296" t="s">
        <v>5222</v>
      </c>
      <c r="E397" s="4297">
        <v>9.8827400000000001</v>
      </c>
    </row>
    <row r="398" spans="2:5">
      <c r="B398" s="4296" t="s">
        <v>6061</v>
      </c>
      <c r="C398" s="4296" t="s">
        <v>9358</v>
      </c>
      <c r="D398" s="4296" t="s">
        <v>4674</v>
      </c>
      <c r="E398" s="4297">
        <v>9.8565200000000015</v>
      </c>
    </row>
    <row r="399" spans="2:5">
      <c r="B399" s="4296" t="s">
        <v>6063</v>
      </c>
      <c r="C399" s="4296" t="s">
        <v>9359</v>
      </c>
      <c r="D399" s="4296" t="s">
        <v>4674</v>
      </c>
      <c r="E399" s="4297">
        <v>9.8046190000000006</v>
      </c>
    </row>
    <row r="400" spans="2:5">
      <c r="B400" s="4296" t="s">
        <v>6065</v>
      </c>
      <c r="C400" s="4296" t="s">
        <v>8752</v>
      </c>
      <c r="D400" s="4296" t="s">
        <v>4674</v>
      </c>
      <c r="E400" s="4297">
        <v>9.7888399999999987</v>
      </c>
    </row>
    <row r="401" spans="2:5">
      <c r="B401" s="4296" t="s">
        <v>6067</v>
      </c>
      <c r="C401" s="4296" t="s">
        <v>9360</v>
      </c>
      <c r="D401" s="4296" t="s">
        <v>5222</v>
      </c>
      <c r="E401" s="4297">
        <v>9.6</v>
      </c>
    </row>
    <row r="402" spans="2:5">
      <c r="B402" s="4296" t="s">
        <v>6069</v>
      </c>
      <c r="C402" s="4296" t="s">
        <v>9361</v>
      </c>
      <c r="D402" s="4296" t="s">
        <v>4897</v>
      </c>
      <c r="E402" s="4297">
        <v>9.6</v>
      </c>
    </row>
    <row r="403" spans="2:5">
      <c r="B403" s="4296" t="s">
        <v>6071</v>
      </c>
      <c r="C403" s="4296" t="s">
        <v>9362</v>
      </c>
      <c r="D403" s="4296" t="s">
        <v>4897</v>
      </c>
      <c r="E403" s="4297">
        <v>9.6</v>
      </c>
    </row>
    <row r="404" spans="2:5">
      <c r="B404" s="4296" t="s">
        <v>6073</v>
      </c>
      <c r="C404" s="4296" t="s">
        <v>8802</v>
      </c>
      <c r="D404" s="4296" t="s">
        <v>4674</v>
      </c>
      <c r="E404" s="4297">
        <v>9.5981630000000013</v>
      </c>
    </row>
    <row r="405" spans="2:5">
      <c r="B405" s="4296" t="s">
        <v>6075</v>
      </c>
      <c r="C405" s="4296" t="s">
        <v>9363</v>
      </c>
      <c r="D405" s="4296" t="s">
        <v>4674</v>
      </c>
      <c r="E405" s="4297">
        <v>9.516195999999999</v>
      </c>
    </row>
    <row r="406" spans="2:5">
      <c r="B406" s="4296" t="s">
        <v>6077</v>
      </c>
      <c r="C406" s="4296" t="s">
        <v>8760</v>
      </c>
      <c r="D406" s="4296" t="s">
        <v>4674</v>
      </c>
      <c r="E406" s="4297">
        <v>9.4787520000000001</v>
      </c>
    </row>
    <row r="407" spans="2:5">
      <c r="B407" s="4296" t="s">
        <v>6079</v>
      </c>
      <c r="C407" s="4296" t="s">
        <v>8765</v>
      </c>
      <c r="D407" s="4296" t="s">
        <v>4674</v>
      </c>
      <c r="E407" s="4297">
        <v>9.4524600000000003</v>
      </c>
    </row>
    <row r="408" spans="2:5">
      <c r="B408" s="4296" t="s">
        <v>6081</v>
      </c>
      <c r="C408" s="4296" t="s">
        <v>9364</v>
      </c>
      <c r="D408" s="4296" t="s">
        <v>4674</v>
      </c>
      <c r="E408" s="4297">
        <v>9.4104270000000003</v>
      </c>
    </row>
    <row r="409" spans="2:5">
      <c r="B409" s="4296" t="s">
        <v>6083</v>
      </c>
      <c r="C409" s="4296" t="s">
        <v>9365</v>
      </c>
      <c r="D409" s="4296" t="s">
        <v>4897</v>
      </c>
      <c r="E409" s="4297">
        <v>9.3000000000000007</v>
      </c>
    </row>
    <row r="410" spans="2:5">
      <c r="B410" s="4296" t="s">
        <v>6085</v>
      </c>
      <c r="C410" s="4296" t="s">
        <v>9366</v>
      </c>
      <c r="D410" s="4296" t="s">
        <v>4897</v>
      </c>
      <c r="E410" s="4297">
        <v>9.3000000000000007</v>
      </c>
    </row>
    <row r="411" spans="2:5">
      <c r="B411" s="4296" t="s">
        <v>6087</v>
      </c>
      <c r="C411" s="4296" t="s">
        <v>9367</v>
      </c>
      <c r="D411" s="4296" t="s">
        <v>4674</v>
      </c>
      <c r="E411" s="4297">
        <v>9.187339999999999</v>
      </c>
    </row>
    <row r="412" spans="2:5">
      <c r="B412" s="4296" t="s">
        <v>6089</v>
      </c>
      <c r="C412" s="4296" t="s">
        <v>9368</v>
      </c>
      <c r="D412" s="4296" t="s">
        <v>4674</v>
      </c>
      <c r="E412" s="4297">
        <v>9.0963909999999988</v>
      </c>
    </row>
    <row r="413" spans="2:5">
      <c r="B413" s="4296" t="s">
        <v>6091</v>
      </c>
      <c r="C413" s="4296" t="s">
        <v>9369</v>
      </c>
      <c r="D413" s="4296" t="s">
        <v>4674</v>
      </c>
      <c r="E413" s="4297">
        <v>9.0385260000000009</v>
      </c>
    </row>
    <row r="414" spans="2:5">
      <c r="B414" s="4296" t="s">
        <v>6093</v>
      </c>
      <c r="C414" s="4296" t="s">
        <v>9370</v>
      </c>
      <c r="D414" s="4296" t="s">
        <v>4897</v>
      </c>
      <c r="E414" s="4297">
        <v>9</v>
      </c>
    </row>
    <row r="415" spans="2:5">
      <c r="B415" s="4296" t="s">
        <v>6095</v>
      </c>
      <c r="C415" s="4296" t="s">
        <v>8762</v>
      </c>
      <c r="D415" s="4296" t="s">
        <v>4674</v>
      </c>
      <c r="E415" s="4297">
        <v>8.9927080000000004</v>
      </c>
    </row>
    <row r="416" spans="2:5">
      <c r="B416" s="4296" t="s">
        <v>6097</v>
      </c>
      <c r="C416" s="4296" t="s">
        <v>9371</v>
      </c>
      <c r="D416" s="4296" t="s">
        <v>4674</v>
      </c>
      <c r="E416" s="4297">
        <v>8.9691480000000006</v>
      </c>
    </row>
    <row r="417" spans="2:5">
      <c r="B417" s="4296" t="s">
        <v>6099</v>
      </c>
      <c r="C417" s="4296" t="s">
        <v>7052</v>
      </c>
      <c r="D417" s="4296" t="s">
        <v>4674</v>
      </c>
      <c r="E417" s="4297">
        <v>8.9276459999999993</v>
      </c>
    </row>
    <row r="418" spans="2:5">
      <c r="B418" s="4296" t="s">
        <v>6101</v>
      </c>
      <c r="C418" s="4296" t="s">
        <v>9372</v>
      </c>
      <c r="D418" s="4296" t="s">
        <v>4674</v>
      </c>
      <c r="E418" s="4297">
        <v>8.9033610000000021</v>
      </c>
    </row>
    <row r="419" spans="2:5">
      <c r="B419" s="4296" t="s">
        <v>6103</v>
      </c>
      <c r="C419" s="4296" t="s">
        <v>8771</v>
      </c>
      <c r="D419" s="4296" t="s">
        <v>4897</v>
      </c>
      <c r="E419" s="4297">
        <v>8.9021429999999988</v>
      </c>
    </row>
    <row r="420" spans="2:5">
      <c r="B420" s="4296" t="s">
        <v>6105</v>
      </c>
      <c r="C420" s="4296" t="s">
        <v>7122</v>
      </c>
      <c r="D420" s="4296" t="s">
        <v>4674</v>
      </c>
      <c r="E420" s="4297">
        <v>8.8809759999999986</v>
      </c>
    </row>
    <row r="421" spans="2:5">
      <c r="B421" s="4296" t="s">
        <v>6107</v>
      </c>
      <c r="C421" s="4287" t="s">
        <v>9373</v>
      </c>
      <c r="D421" s="4287" t="s">
        <v>4674</v>
      </c>
      <c r="E421" s="4297">
        <v>8.8743269999999992</v>
      </c>
    </row>
    <row r="422" spans="2:5">
      <c r="B422" s="4296" t="s">
        <v>6109</v>
      </c>
      <c r="C422" s="4296" t="s">
        <v>9374</v>
      </c>
      <c r="D422" s="4296" t="s">
        <v>4897</v>
      </c>
      <c r="E422" s="4297">
        <v>8.68</v>
      </c>
    </row>
    <row r="423" spans="2:5">
      <c r="B423" s="4296" t="s">
        <v>6111</v>
      </c>
      <c r="C423" s="4296" t="s">
        <v>9375</v>
      </c>
      <c r="D423" s="4296" t="s">
        <v>4897</v>
      </c>
      <c r="E423" s="4297">
        <v>8.68</v>
      </c>
    </row>
    <row r="424" spans="2:5">
      <c r="B424" s="4296" t="s">
        <v>6113</v>
      </c>
      <c r="C424" s="4296" t="s">
        <v>9376</v>
      </c>
      <c r="D424" s="4296" t="s">
        <v>9194</v>
      </c>
      <c r="E424" s="4297">
        <v>8.5318400000000008</v>
      </c>
    </row>
    <row r="425" spans="2:5">
      <c r="B425" s="4296" t="s">
        <v>6115</v>
      </c>
      <c r="C425" s="4296" t="s">
        <v>9019</v>
      </c>
      <c r="D425" s="4296" t="s">
        <v>4674</v>
      </c>
      <c r="E425" s="4297">
        <v>8.5096779999999992</v>
      </c>
    </row>
    <row r="426" spans="2:5">
      <c r="B426" s="4296" t="s">
        <v>6117</v>
      </c>
      <c r="C426" s="4296" t="s">
        <v>8837</v>
      </c>
      <c r="D426" s="4296" t="s">
        <v>4674</v>
      </c>
      <c r="E426" s="4297">
        <v>8.4344399999999986</v>
      </c>
    </row>
    <row r="427" spans="2:5">
      <c r="B427" s="4296" t="s">
        <v>6119</v>
      </c>
      <c r="C427" s="4287" t="s">
        <v>9377</v>
      </c>
      <c r="D427" s="4287" t="s">
        <v>4897</v>
      </c>
      <c r="E427" s="4297">
        <v>8.4</v>
      </c>
    </row>
    <row r="428" spans="2:5">
      <c r="B428" s="4296" t="s">
        <v>6121</v>
      </c>
      <c r="C428" s="4296" t="s">
        <v>9378</v>
      </c>
      <c r="D428" s="4296" t="s">
        <v>4897</v>
      </c>
      <c r="E428" s="4297">
        <v>8.3699999999999992</v>
      </c>
    </row>
    <row r="429" spans="2:5">
      <c r="B429" s="4296" t="s">
        <v>6123</v>
      </c>
      <c r="C429" s="4296" t="s">
        <v>9379</v>
      </c>
      <c r="D429" s="4296" t="s">
        <v>4897</v>
      </c>
      <c r="E429" s="4297">
        <v>8.3699999999999992</v>
      </c>
    </row>
    <row r="430" spans="2:5">
      <c r="B430" s="4296" t="s">
        <v>6125</v>
      </c>
      <c r="C430" s="4296" t="s">
        <v>7030</v>
      </c>
      <c r="D430" s="4296" t="s">
        <v>4674</v>
      </c>
      <c r="E430" s="4297">
        <v>8.2809600000000003</v>
      </c>
    </row>
    <row r="431" spans="2:5">
      <c r="B431" s="4296" t="s">
        <v>6127</v>
      </c>
      <c r="C431" s="4296" t="s">
        <v>9380</v>
      </c>
      <c r="D431" s="4296" t="s">
        <v>5753</v>
      </c>
      <c r="E431" s="4297">
        <v>8.0357140000000005</v>
      </c>
    </row>
    <row r="432" spans="2:5">
      <c r="B432" s="4296" t="s">
        <v>6129</v>
      </c>
      <c r="C432" s="4296" t="s">
        <v>8801</v>
      </c>
      <c r="D432" s="4296" t="s">
        <v>4674</v>
      </c>
      <c r="E432" s="4297">
        <v>8.0095080000000003</v>
      </c>
    </row>
    <row r="433" spans="2:5">
      <c r="B433" s="4296" t="s">
        <v>6131</v>
      </c>
      <c r="C433" s="4296" t="s">
        <v>8894</v>
      </c>
      <c r="D433" s="4296" t="s">
        <v>5753</v>
      </c>
      <c r="E433" s="4297">
        <v>8</v>
      </c>
    </row>
    <row r="434" spans="2:5">
      <c r="B434" s="4296" t="s">
        <v>6133</v>
      </c>
      <c r="C434" s="4296" t="s">
        <v>8860</v>
      </c>
      <c r="D434" s="4296" t="s">
        <v>4674</v>
      </c>
      <c r="E434" s="4297">
        <v>7.8587389999999999</v>
      </c>
    </row>
    <row r="435" spans="2:5">
      <c r="B435" s="4296" t="s">
        <v>6135</v>
      </c>
      <c r="C435" s="4296" t="s">
        <v>8773</v>
      </c>
      <c r="D435" s="4296" t="s">
        <v>4674</v>
      </c>
      <c r="E435" s="4297">
        <v>7.8472</v>
      </c>
    </row>
    <row r="436" spans="2:5">
      <c r="B436" s="4296" t="s">
        <v>6137</v>
      </c>
      <c r="C436" s="4296" t="s">
        <v>9381</v>
      </c>
      <c r="D436" s="4296" t="s">
        <v>4674</v>
      </c>
      <c r="E436" s="4297">
        <v>7.8362240000000005</v>
      </c>
    </row>
    <row r="437" spans="2:5">
      <c r="B437" s="4296" t="s">
        <v>6139</v>
      </c>
      <c r="C437" s="4296" t="s">
        <v>8766</v>
      </c>
      <c r="D437" s="4296" t="s">
        <v>4674</v>
      </c>
      <c r="E437" s="4297">
        <v>7.8070120000000012</v>
      </c>
    </row>
    <row r="438" spans="2:5">
      <c r="B438" s="4296" t="s">
        <v>6141</v>
      </c>
      <c r="C438" s="4296" t="s">
        <v>9382</v>
      </c>
      <c r="D438" s="4296" t="s">
        <v>9194</v>
      </c>
      <c r="E438" s="4297">
        <v>7.6966520000000003</v>
      </c>
    </row>
    <row r="439" spans="2:5">
      <c r="B439" s="4296" t="s">
        <v>6143</v>
      </c>
      <c r="C439" s="4296" t="s">
        <v>8834</v>
      </c>
      <c r="D439" s="4296" t="s">
        <v>4674</v>
      </c>
      <c r="E439" s="4297">
        <v>7.661173999999999</v>
      </c>
    </row>
    <row r="440" spans="2:5">
      <c r="B440" s="4296" t="s">
        <v>6145</v>
      </c>
      <c r="C440" s="4296" t="s">
        <v>9383</v>
      </c>
      <c r="D440" s="4296" t="s">
        <v>4897</v>
      </c>
      <c r="E440" s="4297">
        <v>7.6</v>
      </c>
    </row>
    <row r="441" spans="2:5">
      <c r="B441" s="4296" t="s">
        <v>6147</v>
      </c>
      <c r="C441" s="4296" t="s">
        <v>9384</v>
      </c>
      <c r="D441" s="4296" t="s">
        <v>4897</v>
      </c>
      <c r="E441" s="4297">
        <v>7.56</v>
      </c>
    </row>
    <row r="442" spans="2:5">
      <c r="B442" s="4296" t="s">
        <v>6149</v>
      </c>
      <c r="C442" s="4296" t="s">
        <v>9385</v>
      </c>
      <c r="D442" s="4296" t="s">
        <v>4897</v>
      </c>
      <c r="E442" s="4297">
        <v>7.56</v>
      </c>
    </row>
    <row r="443" spans="2:5">
      <c r="B443" s="4296" t="s">
        <v>6151</v>
      </c>
      <c r="C443" s="4296" t="s">
        <v>9386</v>
      </c>
      <c r="D443" s="4296" t="s">
        <v>4897</v>
      </c>
      <c r="E443" s="4297">
        <v>7.56</v>
      </c>
    </row>
    <row r="444" spans="2:5">
      <c r="B444" s="4296" t="s">
        <v>6153</v>
      </c>
      <c r="C444" s="4296" t="s">
        <v>9387</v>
      </c>
      <c r="D444" s="4296" t="s">
        <v>6044</v>
      </c>
      <c r="E444" s="4297">
        <v>7.444528</v>
      </c>
    </row>
    <row r="445" spans="2:5">
      <c r="B445" s="4296" t="s">
        <v>6155</v>
      </c>
      <c r="C445" s="4296" t="s">
        <v>9388</v>
      </c>
      <c r="D445" s="4296" t="s">
        <v>5753</v>
      </c>
      <c r="E445" s="4297">
        <v>7.4360660000000003</v>
      </c>
    </row>
    <row r="446" spans="2:5">
      <c r="B446" s="4296" t="s">
        <v>6157</v>
      </c>
      <c r="C446" s="4296" t="s">
        <v>7896</v>
      </c>
      <c r="D446" s="4296" t="s">
        <v>4674</v>
      </c>
      <c r="E446" s="4297">
        <v>7.4150300000000007</v>
      </c>
    </row>
    <row r="447" spans="2:5">
      <c r="B447" s="4296" t="s">
        <v>6159</v>
      </c>
      <c r="C447" s="4296" t="s">
        <v>9389</v>
      </c>
      <c r="D447" s="4296" t="s">
        <v>4674</v>
      </c>
      <c r="E447" s="4297">
        <v>7.3964950000000016</v>
      </c>
    </row>
    <row r="448" spans="2:5">
      <c r="B448" s="4296" t="s">
        <v>6161</v>
      </c>
      <c r="C448" s="4296" t="s">
        <v>8806</v>
      </c>
      <c r="D448" s="4296" t="s">
        <v>4674</v>
      </c>
      <c r="E448" s="4297">
        <v>7.3671860000000002</v>
      </c>
    </row>
    <row r="449" spans="2:5">
      <c r="B449" s="4296" t="s">
        <v>6163</v>
      </c>
      <c r="C449" s="4296" t="s">
        <v>9390</v>
      </c>
      <c r="D449" s="4296" t="s">
        <v>5753</v>
      </c>
      <c r="E449" s="4297">
        <v>7.3364520000000004</v>
      </c>
    </row>
    <row r="450" spans="2:5">
      <c r="B450" s="4296" t="s">
        <v>6165</v>
      </c>
      <c r="C450" s="4296" t="s">
        <v>8776</v>
      </c>
      <c r="D450" s="4296" t="s">
        <v>4674</v>
      </c>
      <c r="E450" s="4297">
        <v>7.3259360000000004</v>
      </c>
    </row>
    <row r="451" spans="2:5">
      <c r="B451" s="4296" t="s">
        <v>6167</v>
      </c>
      <c r="C451" s="4296" t="s">
        <v>8360</v>
      </c>
      <c r="D451" s="4296" t="s">
        <v>4674</v>
      </c>
      <c r="E451" s="4297">
        <v>7.2986889999999995</v>
      </c>
    </row>
    <row r="452" spans="2:5">
      <c r="B452" s="4296" t="s">
        <v>6169</v>
      </c>
      <c r="C452" s="4296" t="s">
        <v>7026</v>
      </c>
      <c r="D452" s="4296" t="s">
        <v>4674</v>
      </c>
      <c r="E452" s="4297">
        <v>7.1449999999999996</v>
      </c>
    </row>
    <row r="453" spans="2:5">
      <c r="B453" s="4296" t="s">
        <v>6171</v>
      </c>
      <c r="C453" s="4296" t="s">
        <v>8911</v>
      </c>
      <c r="D453" s="4296" t="s">
        <v>4674</v>
      </c>
      <c r="E453" s="4297">
        <v>7.0928000000000004</v>
      </c>
    </row>
    <row r="454" spans="2:5">
      <c r="B454" s="4296" t="s">
        <v>6173</v>
      </c>
      <c r="C454" s="4296" t="s">
        <v>9391</v>
      </c>
      <c r="D454" s="4296" t="s">
        <v>5753</v>
      </c>
      <c r="E454" s="4297">
        <v>7.08</v>
      </c>
    </row>
    <row r="455" spans="2:5">
      <c r="B455" s="4296" t="s">
        <v>6175</v>
      </c>
      <c r="C455" s="4296" t="s">
        <v>9392</v>
      </c>
      <c r="D455" s="4296" t="s">
        <v>4674</v>
      </c>
      <c r="E455" s="4297">
        <v>7.0308999999999999</v>
      </c>
    </row>
    <row r="456" spans="2:5">
      <c r="B456" s="4296" t="s">
        <v>6177</v>
      </c>
      <c r="C456" s="4296" t="s">
        <v>9393</v>
      </c>
      <c r="D456" s="4296" t="s">
        <v>4674</v>
      </c>
      <c r="E456" s="4297">
        <v>7.0277229999999999</v>
      </c>
    </row>
    <row r="457" spans="2:5">
      <c r="B457" s="4296" t="s">
        <v>6179</v>
      </c>
      <c r="C457" s="4296" t="s">
        <v>9394</v>
      </c>
      <c r="D457" s="4296" t="s">
        <v>4897</v>
      </c>
      <c r="E457" s="4297">
        <v>7</v>
      </c>
    </row>
    <row r="458" spans="2:5">
      <c r="B458" s="4296" t="s">
        <v>6181</v>
      </c>
      <c r="C458" s="4296" t="s">
        <v>9395</v>
      </c>
      <c r="D458" s="4296" t="s">
        <v>5222</v>
      </c>
      <c r="E458" s="4297">
        <v>6.9333330000000002</v>
      </c>
    </row>
    <row r="459" spans="2:5">
      <c r="B459" s="4296" t="s">
        <v>6183</v>
      </c>
      <c r="C459" s="4296" t="s">
        <v>5419</v>
      </c>
      <c r="D459" s="4296" t="s">
        <v>4674</v>
      </c>
      <c r="E459" s="4297">
        <v>6.9082680000000005</v>
      </c>
    </row>
    <row r="460" spans="2:5">
      <c r="B460" s="4296" t="s">
        <v>6185</v>
      </c>
      <c r="C460" s="4296" t="s">
        <v>8779</v>
      </c>
      <c r="D460" s="4296" t="s">
        <v>4674</v>
      </c>
      <c r="E460" s="4297">
        <v>6.8575999999999997</v>
      </c>
    </row>
    <row r="461" spans="2:5">
      <c r="B461" s="4296" t="s">
        <v>6187</v>
      </c>
      <c r="C461" s="4296" t="s">
        <v>9396</v>
      </c>
      <c r="D461" s="4296" t="s">
        <v>4674</v>
      </c>
      <c r="E461" s="4297">
        <v>6.842823000000001</v>
      </c>
    </row>
    <row r="462" spans="2:5">
      <c r="B462" s="4296" t="s">
        <v>6189</v>
      </c>
      <c r="C462" s="4296" t="s">
        <v>8827</v>
      </c>
      <c r="D462" s="4296" t="s">
        <v>4674</v>
      </c>
      <c r="E462" s="4297">
        <v>6.84</v>
      </c>
    </row>
    <row r="463" spans="2:5">
      <c r="B463" s="4296" t="s">
        <v>6191</v>
      </c>
      <c r="C463" s="4296" t="s">
        <v>8820</v>
      </c>
      <c r="D463" s="4296" t="s">
        <v>4674</v>
      </c>
      <c r="E463" s="4297">
        <v>6.8173889999999986</v>
      </c>
    </row>
    <row r="464" spans="2:5">
      <c r="B464" s="4296" t="s">
        <v>6193</v>
      </c>
      <c r="C464" s="4296" t="s">
        <v>9397</v>
      </c>
      <c r="D464" s="4296" t="s">
        <v>5222</v>
      </c>
      <c r="E464" s="4297">
        <v>6.8009999999999984</v>
      </c>
    </row>
    <row r="465" spans="2:5">
      <c r="B465" s="4296" t="s">
        <v>6195</v>
      </c>
      <c r="C465" s="4296" t="s">
        <v>9398</v>
      </c>
      <c r="D465" s="4296" t="s">
        <v>4897</v>
      </c>
      <c r="E465" s="4297">
        <v>6.8</v>
      </c>
    </row>
    <row r="466" spans="2:5">
      <c r="B466" s="4296" t="s">
        <v>6197</v>
      </c>
      <c r="C466" s="4296" t="s">
        <v>9399</v>
      </c>
      <c r="D466" s="4296" t="s">
        <v>5222</v>
      </c>
      <c r="E466" s="4297">
        <v>6.75</v>
      </c>
    </row>
    <row r="467" spans="2:5">
      <c r="B467" s="4296" t="s">
        <v>6199</v>
      </c>
      <c r="C467" s="4296" t="s">
        <v>8925</v>
      </c>
      <c r="D467" s="4296" t="s">
        <v>4674</v>
      </c>
      <c r="E467" s="4297">
        <v>6.6468070000000008</v>
      </c>
    </row>
    <row r="468" spans="2:5">
      <c r="B468" s="4296" t="s">
        <v>6201</v>
      </c>
      <c r="C468" s="4296" t="s">
        <v>9400</v>
      </c>
      <c r="D468" s="4296" t="s">
        <v>4674</v>
      </c>
      <c r="E468" s="4297">
        <v>6.6340009999999978</v>
      </c>
    </row>
    <row r="469" spans="2:5">
      <c r="B469" s="4296" t="s">
        <v>6203</v>
      </c>
      <c r="C469" s="4296" t="s">
        <v>9401</v>
      </c>
      <c r="D469" s="4296" t="s">
        <v>4897</v>
      </c>
      <c r="E469" s="4297">
        <v>6.6</v>
      </c>
    </row>
    <row r="470" spans="2:5">
      <c r="B470" s="4296" t="s">
        <v>6205</v>
      </c>
      <c r="C470" s="4296" t="s">
        <v>7820</v>
      </c>
      <c r="D470" s="4296" t="s">
        <v>4674</v>
      </c>
      <c r="E470" s="4297">
        <v>6.5880800000000006</v>
      </c>
    </row>
    <row r="471" spans="2:5">
      <c r="B471" s="4296" t="s">
        <v>6207</v>
      </c>
      <c r="C471" s="4296" t="s">
        <v>7056</v>
      </c>
      <c r="D471" s="4296" t="s">
        <v>4674</v>
      </c>
      <c r="E471" s="4297">
        <v>6.5838350000000005</v>
      </c>
    </row>
    <row r="472" spans="2:5">
      <c r="B472" s="4296" t="s">
        <v>6209</v>
      </c>
      <c r="C472" s="4296" t="s">
        <v>9402</v>
      </c>
      <c r="D472" s="4296" t="s">
        <v>4897</v>
      </c>
      <c r="E472" s="4297">
        <v>6.56</v>
      </c>
    </row>
    <row r="473" spans="2:5">
      <c r="B473" s="4296" t="s">
        <v>6211</v>
      </c>
      <c r="C473" s="4296" t="s">
        <v>7780</v>
      </c>
      <c r="D473" s="4296" t="s">
        <v>4674</v>
      </c>
      <c r="E473" s="4297">
        <v>6.5521349999999998</v>
      </c>
    </row>
    <row r="474" spans="2:5">
      <c r="B474" s="4296" t="s">
        <v>6213</v>
      </c>
      <c r="C474" s="4287" t="s">
        <v>7819</v>
      </c>
      <c r="D474" s="4287" t="s">
        <v>4674</v>
      </c>
      <c r="E474" s="4297">
        <v>6.5431599999999994</v>
      </c>
    </row>
    <row r="475" spans="2:5">
      <c r="B475" s="4296" t="s">
        <v>6215</v>
      </c>
      <c r="C475" s="4296" t="s">
        <v>9403</v>
      </c>
      <c r="D475" s="4296" t="s">
        <v>4674</v>
      </c>
      <c r="E475" s="4297">
        <v>6.5075859999999999</v>
      </c>
    </row>
    <row r="476" spans="2:5">
      <c r="B476" s="4296" t="s">
        <v>6217</v>
      </c>
      <c r="C476" s="4296" t="s">
        <v>9404</v>
      </c>
      <c r="D476" s="4296" t="s">
        <v>5222</v>
      </c>
      <c r="E476" s="4297">
        <v>6.5</v>
      </c>
    </row>
    <row r="477" spans="2:5">
      <c r="B477" s="4296" t="s">
        <v>6219</v>
      </c>
      <c r="C477" s="4296" t="s">
        <v>9405</v>
      </c>
      <c r="D477" s="4296" t="s">
        <v>4674</v>
      </c>
      <c r="E477" s="4297">
        <v>6.484496</v>
      </c>
    </row>
    <row r="478" spans="2:5">
      <c r="B478" s="4296" t="s">
        <v>6221</v>
      </c>
      <c r="C478" s="4296" t="s">
        <v>8887</v>
      </c>
      <c r="D478" s="4296" t="s">
        <v>4897</v>
      </c>
      <c r="E478" s="4297">
        <v>6.3320559999999988</v>
      </c>
    </row>
    <row r="479" spans="2:5">
      <c r="B479" s="4296" t="s">
        <v>6223</v>
      </c>
      <c r="C479" s="4296" t="s">
        <v>9406</v>
      </c>
      <c r="D479" s="4296" t="s">
        <v>4897</v>
      </c>
      <c r="E479" s="4297">
        <v>6.3</v>
      </c>
    </row>
    <row r="480" spans="2:5">
      <c r="B480" s="4296" t="s">
        <v>6225</v>
      </c>
      <c r="C480" s="4296" t="s">
        <v>9407</v>
      </c>
      <c r="D480" s="4296" t="s">
        <v>5753</v>
      </c>
      <c r="E480" s="4297">
        <v>6.2</v>
      </c>
    </row>
    <row r="481" spans="2:5">
      <c r="B481" s="4296" t="s">
        <v>6227</v>
      </c>
      <c r="C481" s="4296" t="s">
        <v>9408</v>
      </c>
      <c r="D481" s="4296" t="s">
        <v>4897</v>
      </c>
      <c r="E481" s="4297">
        <v>6.12</v>
      </c>
    </row>
    <row r="482" spans="2:5">
      <c r="B482" s="4296" t="s">
        <v>6229</v>
      </c>
      <c r="C482" s="4296" t="s">
        <v>8921</v>
      </c>
      <c r="D482" s="4296" t="s">
        <v>4897</v>
      </c>
      <c r="E482" s="4297">
        <v>6.1</v>
      </c>
    </row>
    <row r="483" spans="2:5">
      <c r="B483" s="4296" t="s">
        <v>6231</v>
      </c>
      <c r="C483" s="4296" t="s">
        <v>9409</v>
      </c>
      <c r="D483" s="4296" t="s">
        <v>4674</v>
      </c>
      <c r="E483" s="4297">
        <v>6.0077030000000002</v>
      </c>
    </row>
    <row r="484" spans="2:5">
      <c r="B484" s="4296" t="s">
        <v>6233</v>
      </c>
      <c r="C484" s="4296" t="s">
        <v>9410</v>
      </c>
      <c r="D484" s="4296" t="s">
        <v>4897</v>
      </c>
      <c r="E484" s="4297">
        <v>6</v>
      </c>
    </row>
    <row r="485" spans="2:5">
      <c r="B485" s="4296" t="s">
        <v>6235</v>
      </c>
      <c r="C485" s="4287" t="s">
        <v>9411</v>
      </c>
      <c r="D485" s="4287" t="s">
        <v>4897</v>
      </c>
      <c r="E485" s="4297">
        <v>6</v>
      </c>
    </row>
    <row r="486" spans="2:5">
      <c r="B486" s="4296" t="s">
        <v>6237</v>
      </c>
      <c r="C486" s="4296" t="s">
        <v>9412</v>
      </c>
      <c r="D486" s="4296" t="s">
        <v>4897</v>
      </c>
      <c r="E486" s="4297">
        <v>6</v>
      </c>
    </row>
    <row r="487" spans="2:5">
      <c r="B487" s="4296" t="s">
        <v>6239</v>
      </c>
      <c r="C487" s="4296" t="s">
        <v>9413</v>
      </c>
      <c r="D487" s="4296" t="s">
        <v>4897</v>
      </c>
      <c r="E487" s="4297">
        <v>6</v>
      </c>
    </row>
    <row r="488" spans="2:5">
      <c r="B488" s="4296" t="s">
        <v>6241</v>
      </c>
      <c r="C488" s="4296" t="s">
        <v>9414</v>
      </c>
      <c r="D488" s="4296" t="s">
        <v>4897</v>
      </c>
      <c r="E488" s="4297">
        <v>6</v>
      </c>
    </row>
    <row r="489" spans="2:5">
      <c r="B489" s="4296" t="s">
        <v>6243</v>
      </c>
      <c r="C489" s="4296" t="s">
        <v>9415</v>
      </c>
      <c r="D489" s="4296" t="s">
        <v>4674</v>
      </c>
      <c r="E489" s="4297">
        <v>5.9069320000000003</v>
      </c>
    </row>
    <row r="490" spans="2:5">
      <c r="B490" s="4296" t="s">
        <v>6245</v>
      </c>
      <c r="C490" s="4287" t="s">
        <v>7835</v>
      </c>
      <c r="D490" s="4287" t="s">
        <v>4674</v>
      </c>
      <c r="E490" s="4297">
        <v>5.8149669999999993</v>
      </c>
    </row>
    <row r="491" spans="2:5">
      <c r="B491" s="4296" t="s">
        <v>6247</v>
      </c>
      <c r="C491" s="4296" t="s">
        <v>9416</v>
      </c>
      <c r="D491" s="4296" t="s">
        <v>4674</v>
      </c>
      <c r="E491" s="4297">
        <v>5.6626770000000004</v>
      </c>
    </row>
    <row r="492" spans="2:5">
      <c r="B492" s="4296" t="s">
        <v>6249</v>
      </c>
      <c r="C492" s="4296" t="s">
        <v>8742</v>
      </c>
      <c r="D492" s="4296" t="s">
        <v>4674</v>
      </c>
      <c r="E492" s="4297">
        <v>5.6622449999999995</v>
      </c>
    </row>
    <row r="493" spans="2:5">
      <c r="B493" s="4296" t="s">
        <v>6251</v>
      </c>
      <c r="C493" s="4296" t="s">
        <v>9417</v>
      </c>
      <c r="D493" s="4296" t="s">
        <v>6044</v>
      </c>
      <c r="E493" s="4297">
        <v>5.6337539999999997</v>
      </c>
    </row>
    <row r="494" spans="2:5">
      <c r="B494" s="4296" t="s">
        <v>6253</v>
      </c>
      <c r="C494" s="4296" t="s">
        <v>9418</v>
      </c>
      <c r="D494" s="4296" t="s">
        <v>4897</v>
      </c>
      <c r="E494" s="4297">
        <v>5.6</v>
      </c>
    </row>
    <row r="495" spans="2:5">
      <c r="B495" s="4296" t="s">
        <v>6255</v>
      </c>
      <c r="C495" s="4287" t="s">
        <v>9419</v>
      </c>
      <c r="D495" s="4287" t="s">
        <v>4897</v>
      </c>
      <c r="E495" s="4297">
        <v>5.6</v>
      </c>
    </row>
    <row r="496" spans="2:5">
      <c r="B496" s="4296" t="s">
        <v>6257</v>
      </c>
      <c r="C496" s="4296" t="s">
        <v>9420</v>
      </c>
      <c r="D496" s="4296" t="s">
        <v>4897</v>
      </c>
      <c r="E496" s="4297">
        <v>5.6</v>
      </c>
    </row>
    <row r="497" spans="2:5">
      <c r="B497" s="4296" t="s">
        <v>6259</v>
      </c>
      <c r="C497" s="4296" t="s">
        <v>9421</v>
      </c>
      <c r="D497" s="4296" t="s">
        <v>4897</v>
      </c>
      <c r="E497" s="4297">
        <v>5.6</v>
      </c>
    </row>
    <row r="498" spans="2:5">
      <c r="B498" s="4296" t="s">
        <v>6261</v>
      </c>
      <c r="C498" s="4287" t="s">
        <v>7148</v>
      </c>
      <c r="D498" s="4287" t="s">
        <v>4674</v>
      </c>
      <c r="E498" s="4297">
        <v>5.554017</v>
      </c>
    </row>
    <row r="499" spans="2:5">
      <c r="B499" s="4296" t="s">
        <v>6263</v>
      </c>
      <c r="C499" s="4296" t="s">
        <v>9422</v>
      </c>
      <c r="D499" s="4296" t="s">
        <v>4674</v>
      </c>
      <c r="E499" s="4297">
        <v>5.4513050000000005</v>
      </c>
    </row>
    <row r="500" spans="2:5">
      <c r="B500" s="4296" t="s">
        <v>6265</v>
      </c>
      <c r="C500" s="4296" t="s">
        <v>9423</v>
      </c>
      <c r="D500" s="4296" t="s">
        <v>4674</v>
      </c>
      <c r="E500" s="4297">
        <v>5.3720550000000005</v>
      </c>
    </row>
    <row r="501" spans="2:5">
      <c r="B501" s="4296" t="s">
        <v>6267</v>
      </c>
      <c r="C501" s="4296" t="s">
        <v>9424</v>
      </c>
      <c r="D501" s="4296" t="s">
        <v>4674</v>
      </c>
      <c r="E501" s="4297">
        <v>5.3156340000000002</v>
      </c>
    </row>
    <row r="502" spans="2:5">
      <c r="B502" s="4296" t="s">
        <v>6269</v>
      </c>
      <c r="C502" s="4296" t="s">
        <v>9425</v>
      </c>
      <c r="D502" s="4296" t="s">
        <v>4674</v>
      </c>
      <c r="E502" s="4297">
        <v>5.3141860000000003</v>
      </c>
    </row>
    <row r="503" spans="2:5">
      <c r="B503" s="4296" t="s">
        <v>6271</v>
      </c>
      <c r="C503" s="4296" t="s">
        <v>8867</v>
      </c>
      <c r="D503" s="4296" t="s">
        <v>4674</v>
      </c>
      <c r="E503" s="4297">
        <v>5.2160400000000005</v>
      </c>
    </row>
    <row r="504" spans="2:5">
      <c r="B504" s="4296" t="s">
        <v>6273</v>
      </c>
      <c r="C504" s="4296" t="s">
        <v>8904</v>
      </c>
      <c r="D504" s="4296" t="s">
        <v>4674</v>
      </c>
      <c r="E504" s="4297">
        <v>5.1788100000000004</v>
      </c>
    </row>
    <row r="505" spans="2:5">
      <c r="B505" s="4296" t="s">
        <v>6275</v>
      </c>
      <c r="C505" s="4296" t="s">
        <v>9426</v>
      </c>
      <c r="D505" s="4296" t="s">
        <v>4674</v>
      </c>
      <c r="E505" s="4297">
        <v>5.1424719999999997</v>
      </c>
    </row>
    <row r="506" spans="2:5">
      <c r="B506" s="4296" t="s">
        <v>6277</v>
      </c>
      <c r="C506" s="4287" t="s">
        <v>9427</v>
      </c>
      <c r="D506" s="4287" t="s">
        <v>4674</v>
      </c>
      <c r="E506" s="4297">
        <v>5.1212579999999992</v>
      </c>
    </row>
    <row r="507" spans="2:5">
      <c r="B507" s="4296" t="s">
        <v>6279</v>
      </c>
      <c r="C507" s="4296" t="s">
        <v>9428</v>
      </c>
      <c r="D507" s="4296" t="s">
        <v>4674</v>
      </c>
      <c r="E507" s="4297">
        <v>5.1202249999999987</v>
      </c>
    </row>
    <row r="508" spans="2:5">
      <c r="B508" s="4296" t="s">
        <v>6281</v>
      </c>
      <c r="C508" s="4287" t="s">
        <v>9429</v>
      </c>
      <c r="D508" s="4287" t="s">
        <v>4897</v>
      </c>
      <c r="E508" s="4297">
        <v>5.04</v>
      </c>
    </row>
    <row r="509" spans="2:5">
      <c r="B509" s="4296" t="s">
        <v>6283</v>
      </c>
      <c r="C509" s="4296" t="s">
        <v>9430</v>
      </c>
      <c r="D509" s="4296" t="s">
        <v>4987</v>
      </c>
      <c r="E509" s="4297">
        <v>5.0388000000000002</v>
      </c>
    </row>
    <row r="510" spans="2:5">
      <c r="B510" s="4296" t="s">
        <v>6285</v>
      </c>
      <c r="C510" s="4296" t="s">
        <v>9431</v>
      </c>
      <c r="D510" s="4296" t="s">
        <v>4987</v>
      </c>
      <c r="E510" s="4297">
        <v>4.9974259999999919</v>
      </c>
    </row>
    <row r="511" spans="2:5">
      <c r="B511" s="4296" t="s">
        <v>6287</v>
      </c>
      <c r="C511" s="4287" t="s">
        <v>9432</v>
      </c>
      <c r="D511" s="4287" t="s">
        <v>4674</v>
      </c>
      <c r="E511" s="4297">
        <v>4.9917530000000001</v>
      </c>
    </row>
    <row r="512" spans="2:5">
      <c r="B512" s="4296" t="s">
        <v>6289</v>
      </c>
      <c r="C512" s="4296" t="s">
        <v>9433</v>
      </c>
      <c r="D512" s="4296" t="s">
        <v>5753</v>
      </c>
      <c r="E512" s="4297">
        <v>4.96</v>
      </c>
    </row>
    <row r="513" spans="2:5">
      <c r="B513" s="4296" t="s">
        <v>6291</v>
      </c>
      <c r="C513" s="4296" t="s">
        <v>8725</v>
      </c>
      <c r="D513" s="4296" t="s">
        <v>4674</v>
      </c>
      <c r="E513" s="4297">
        <v>4.8888630000000006</v>
      </c>
    </row>
    <row r="514" spans="2:5">
      <c r="B514" s="4296" t="s">
        <v>6293</v>
      </c>
      <c r="C514" s="4296" t="s">
        <v>9434</v>
      </c>
      <c r="D514" s="4296" t="s">
        <v>4897</v>
      </c>
      <c r="E514" s="4297">
        <v>4.88</v>
      </c>
    </row>
    <row r="515" spans="2:5">
      <c r="B515" s="4296" t="s">
        <v>6295</v>
      </c>
      <c r="C515" s="4296" t="s">
        <v>8981</v>
      </c>
      <c r="D515" s="4296" t="s">
        <v>5222</v>
      </c>
      <c r="E515" s="4297">
        <v>4.8328760000000006</v>
      </c>
    </row>
    <row r="516" spans="2:5">
      <c r="B516" s="4296" t="s">
        <v>6297</v>
      </c>
      <c r="C516" s="4296" t="s">
        <v>9435</v>
      </c>
      <c r="D516" s="4296" t="s">
        <v>4897</v>
      </c>
      <c r="E516" s="4297">
        <v>4.8</v>
      </c>
    </row>
    <row r="517" spans="2:5">
      <c r="B517" s="4296" t="s">
        <v>6299</v>
      </c>
      <c r="C517" s="4296" t="s">
        <v>9436</v>
      </c>
      <c r="D517" s="4296" t="s">
        <v>5222</v>
      </c>
      <c r="E517" s="4297">
        <v>4.8</v>
      </c>
    </row>
    <row r="518" spans="2:5">
      <c r="B518" s="4296" t="s">
        <v>6301</v>
      </c>
      <c r="C518" s="4296" t="s">
        <v>9437</v>
      </c>
      <c r="D518" s="4296" t="s">
        <v>4897</v>
      </c>
      <c r="E518" s="4297">
        <v>4.8</v>
      </c>
    </row>
    <row r="519" spans="2:5">
      <c r="B519" s="4296" t="s">
        <v>6303</v>
      </c>
      <c r="C519" s="4296" t="s">
        <v>9438</v>
      </c>
      <c r="D519" s="4296" t="s">
        <v>5222</v>
      </c>
      <c r="E519" s="4297">
        <v>4.7934260000000002</v>
      </c>
    </row>
    <row r="520" spans="2:5">
      <c r="B520" s="4296" t="s">
        <v>6305</v>
      </c>
      <c r="C520" s="4296" t="s">
        <v>9439</v>
      </c>
      <c r="D520" s="4296" t="s">
        <v>4897</v>
      </c>
      <c r="E520" s="4297">
        <v>4.76</v>
      </c>
    </row>
    <row r="521" spans="2:5">
      <c r="B521" s="4296" t="s">
        <v>6307</v>
      </c>
      <c r="C521" s="4296" t="s">
        <v>9440</v>
      </c>
      <c r="D521" s="4296" t="s">
        <v>4674</v>
      </c>
      <c r="E521" s="4297">
        <v>4.7574860000000001</v>
      </c>
    </row>
    <row r="522" spans="2:5">
      <c r="B522" s="4296" t="s">
        <v>6309</v>
      </c>
      <c r="C522" s="4296" t="s">
        <v>8891</v>
      </c>
      <c r="D522" s="4296" t="s">
        <v>4674</v>
      </c>
      <c r="E522" s="4297">
        <v>4.7515000000000001</v>
      </c>
    </row>
    <row r="523" spans="2:5">
      <c r="B523" s="4296" t="s">
        <v>6311</v>
      </c>
      <c r="C523" s="4296" t="s">
        <v>9441</v>
      </c>
      <c r="D523" s="4296" t="s">
        <v>4674</v>
      </c>
      <c r="E523" s="4297">
        <v>4.723014</v>
      </c>
    </row>
    <row r="524" spans="2:5">
      <c r="B524" s="4296" t="s">
        <v>6313</v>
      </c>
      <c r="C524" s="4296" t="s">
        <v>6594</v>
      </c>
      <c r="D524" s="4296" t="s">
        <v>6044</v>
      </c>
      <c r="E524" s="4297">
        <v>4.6585149999999995</v>
      </c>
    </row>
    <row r="525" spans="2:5">
      <c r="B525" s="4296" t="s">
        <v>6315</v>
      </c>
      <c r="C525" s="4296" t="s">
        <v>9442</v>
      </c>
      <c r="D525" s="4296" t="s">
        <v>4674</v>
      </c>
      <c r="E525" s="4297">
        <v>4.6386000000000003</v>
      </c>
    </row>
    <row r="526" spans="2:5">
      <c r="B526" s="4296" t="s">
        <v>6317</v>
      </c>
      <c r="C526" s="4296" t="s">
        <v>9443</v>
      </c>
      <c r="D526" s="4296" t="s">
        <v>4674</v>
      </c>
      <c r="E526" s="4297">
        <v>4.5645960000000008</v>
      </c>
    </row>
    <row r="527" spans="2:5">
      <c r="B527" s="4296" t="s">
        <v>6319</v>
      </c>
      <c r="C527" s="4296" t="s">
        <v>8673</v>
      </c>
      <c r="D527" s="4296" t="s">
        <v>4674</v>
      </c>
      <c r="E527" s="4297">
        <v>4.5549140000000001</v>
      </c>
    </row>
    <row r="528" spans="2:5">
      <c r="B528" s="4296" t="s">
        <v>6321</v>
      </c>
      <c r="C528" s="4287" t="s">
        <v>9444</v>
      </c>
      <c r="D528" s="4287" t="s">
        <v>4674</v>
      </c>
      <c r="E528" s="4297">
        <v>4.521528</v>
      </c>
    </row>
    <row r="529" spans="2:5">
      <c r="B529" s="4296" t="s">
        <v>6323</v>
      </c>
      <c r="C529" s="4296" t="s">
        <v>9445</v>
      </c>
      <c r="D529" s="4296" t="s">
        <v>4674</v>
      </c>
      <c r="E529" s="4297">
        <v>4.500248</v>
      </c>
    </row>
    <row r="530" spans="2:5">
      <c r="B530" s="4296" t="s">
        <v>6325</v>
      </c>
      <c r="C530" s="4287" t="s">
        <v>9446</v>
      </c>
      <c r="D530" s="4287" t="s">
        <v>4897</v>
      </c>
      <c r="E530" s="4297">
        <v>4.5</v>
      </c>
    </row>
    <row r="531" spans="2:5">
      <c r="B531" s="4296" t="s">
        <v>6327</v>
      </c>
      <c r="C531" s="4296" t="s">
        <v>9447</v>
      </c>
      <c r="D531" s="4296" t="s">
        <v>4897</v>
      </c>
      <c r="E531" s="4297">
        <v>4.5</v>
      </c>
    </row>
    <row r="532" spans="2:5">
      <c r="B532" s="4296" t="s">
        <v>6329</v>
      </c>
      <c r="C532" s="4296" t="s">
        <v>9448</v>
      </c>
      <c r="D532" s="4296" t="s">
        <v>4897</v>
      </c>
      <c r="E532" s="4297">
        <v>4.4800000000000004</v>
      </c>
    </row>
    <row r="533" spans="2:5">
      <c r="B533" s="4296" t="s">
        <v>6331</v>
      </c>
      <c r="C533" s="4296" t="s">
        <v>9449</v>
      </c>
      <c r="D533" s="4296" t="s">
        <v>4897</v>
      </c>
      <c r="E533" s="4297">
        <v>4.4800000000000004</v>
      </c>
    </row>
    <row r="534" spans="2:5">
      <c r="B534" s="4296" t="s">
        <v>6333</v>
      </c>
      <c r="C534" s="4296" t="s">
        <v>9450</v>
      </c>
      <c r="D534" s="4296" t="s">
        <v>4897</v>
      </c>
      <c r="E534" s="4297">
        <v>4.4800000000000004</v>
      </c>
    </row>
    <row r="535" spans="2:5">
      <c r="B535" s="4296" t="s">
        <v>6335</v>
      </c>
      <c r="C535" s="4296" t="s">
        <v>9451</v>
      </c>
      <c r="D535" s="4296" t="s">
        <v>5149</v>
      </c>
      <c r="E535" s="4297">
        <v>4.4203869999999998</v>
      </c>
    </row>
    <row r="536" spans="2:5">
      <c r="B536" s="4296" t="s">
        <v>6337</v>
      </c>
      <c r="C536" s="4296" t="s">
        <v>9452</v>
      </c>
      <c r="D536" s="4296" t="s">
        <v>4897</v>
      </c>
      <c r="E536" s="4297">
        <v>4.41</v>
      </c>
    </row>
    <row r="537" spans="2:5">
      <c r="B537" s="4296" t="s">
        <v>6339</v>
      </c>
      <c r="C537" s="4296" t="s">
        <v>9453</v>
      </c>
      <c r="D537" s="4296" t="s">
        <v>4897</v>
      </c>
      <c r="E537" s="4297">
        <v>4.2249999999999996</v>
      </c>
    </row>
    <row r="538" spans="2:5">
      <c r="B538" s="4296" t="s">
        <v>6341</v>
      </c>
      <c r="C538" s="4296" t="s">
        <v>9454</v>
      </c>
      <c r="D538" s="4296" t="s">
        <v>4674</v>
      </c>
      <c r="E538" s="4297">
        <v>4.0936810000000001</v>
      </c>
    </row>
    <row r="539" spans="2:5">
      <c r="B539" s="4296" t="s">
        <v>6343</v>
      </c>
      <c r="C539" s="4287" t="s">
        <v>9455</v>
      </c>
      <c r="D539" s="4287" t="s">
        <v>4674</v>
      </c>
      <c r="E539" s="4297">
        <v>4.0597000000000003</v>
      </c>
    </row>
    <row r="540" spans="2:5">
      <c r="B540" s="4296" t="s">
        <v>6345</v>
      </c>
      <c r="C540" s="4296" t="s">
        <v>8747</v>
      </c>
      <c r="D540" s="4296" t="s">
        <v>4674</v>
      </c>
      <c r="E540" s="4297">
        <v>4.0471920000000008</v>
      </c>
    </row>
    <row r="541" spans="2:5">
      <c r="B541" s="4296" t="s">
        <v>6347</v>
      </c>
      <c r="C541" s="4296" t="s">
        <v>9456</v>
      </c>
      <c r="D541" s="4296" t="s">
        <v>4674</v>
      </c>
      <c r="E541" s="4297">
        <v>4.0041660000000006</v>
      </c>
    </row>
    <row r="542" spans="2:5">
      <c r="B542" s="4296" t="s">
        <v>6349</v>
      </c>
      <c r="C542" s="4296" t="s">
        <v>9457</v>
      </c>
      <c r="D542" s="4296" t="s">
        <v>4987</v>
      </c>
      <c r="E542" s="4297">
        <v>4.0039999999999996</v>
      </c>
    </row>
    <row r="543" spans="2:5">
      <c r="B543" s="4296" t="s">
        <v>6351</v>
      </c>
      <c r="C543" s="4296" t="s">
        <v>9458</v>
      </c>
      <c r="D543" s="4296" t="s">
        <v>5753</v>
      </c>
      <c r="E543" s="4297">
        <v>4</v>
      </c>
    </row>
    <row r="544" spans="2:5">
      <c r="B544" s="4296" t="s">
        <v>6353</v>
      </c>
      <c r="C544" s="4296" t="s">
        <v>9459</v>
      </c>
      <c r="D544" s="4296" t="s">
        <v>4897</v>
      </c>
      <c r="E544" s="4297">
        <v>4</v>
      </c>
    </row>
    <row r="545" spans="2:5">
      <c r="B545" s="4296" t="s">
        <v>6355</v>
      </c>
      <c r="C545" s="4296" t="s">
        <v>7175</v>
      </c>
      <c r="D545" s="4296" t="s">
        <v>4674</v>
      </c>
      <c r="E545" s="4297">
        <v>3.979454</v>
      </c>
    </row>
    <row r="546" spans="2:5">
      <c r="B546" s="4296" t="s">
        <v>6357</v>
      </c>
      <c r="C546" s="4296" t="s">
        <v>9460</v>
      </c>
      <c r="D546" s="4296" t="s">
        <v>4674</v>
      </c>
      <c r="E546" s="4297">
        <v>3.9361509999999993</v>
      </c>
    </row>
    <row r="547" spans="2:5">
      <c r="B547" s="4296" t="s">
        <v>6359</v>
      </c>
      <c r="C547" s="4296" t="s">
        <v>8757</v>
      </c>
      <c r="D547" s="4296" t="s">
        <v>4674</v>
      </c>
      <c r="E547" s="4297">
        <v>3.9356800000000005</v>
      </c>
    </row>
    <row r="548" spans="2:5">
      <c r="B548" s="4296" t="s">
        <v>6361</v>
      </c>
      <c r="C548" s="4296" t="s">
        <v>9461</v>
      </c>
      <c r="D548" s="4296" t="s">
        <v>4674</v>
      </c>
      <c r="E548" s="4297">
        <v>3.9264760000000001</v>
      </c>
    </row>
    <row r="549" spans="2:5">
      <c r="B549" s="4296" t="s">
        <v>6363</v>
      </c>
      <c r="C549" s="4296" t="s">
        <v>9462</v>
      </c>
      <c r="D549" s="4296" t="s">
        <v>4897</v>
      </c>
      <c r="E549" s="4297">
        <v>3.92</v>
      </c>
    </row>
    <row r="550" spans="2:5">
      <c r="B550" s="4296" t="s">
        <v>6365</v>
      </c>
      <c r="C550" s="4296" t="s">
        <v>9463</v>
      </c>
      <c r="D550" s="4296" t="s">
        <v>5222</v>
      </c>
      <c r="E550" s="4297">
        <v>3.9</v>
      </c>
    </row>
    <row r="551" spans="2:5">
      <c r="B551" s="4296" t="s">
        <v>6367</v>
      </c>
      <c r="C551" s="4296" t="s">
        <v>9464</v>
      </c>
      <c r="D551" s="4296" t="s">
        <v>5222</v>
      </c>
      <c r="E551" s="4297">
        <v>3.9</v>
      </c>
    </row>
    <row r="552" spans="2:5">
      <c r="B552" s="4296" t="s">
        <v>6369</v>
      </c>
      <c r="C552" s="4296" t="s">
        <v>9465</v>
      </c>
      <c r="D552" s="4296" t="s">
        <v>4987</v>
      </c>
      <c r="E552" s="4297">
        <v>3.8509900000000008</v>
      </c>
    </row>
    <row r="553" spans="2:5">
      <c r="B553" s="4296" t="s">
        <v>6371</v>
      </c>
      <c r="C553" s="4287" t="s">
        <v>9466</v>
      </c>
      <c r="D553" s="4287" t="s">
        <v>5753</v>
      </c>
      <c r="E553" s="4297">
        <v>3.85</v>
      </c>
    </row>
    <row r="554" spans="2:5">
      <c r="B554" s="4296" t="s">
        <v>6373</v>
      </c>
      <c r="C554" s="4296" t="s">
        <v>9467</v>
      </c>
      <c r="D554" s="4296" t="s">
        <v>4674</v>
      </c>
      <c r="E554" s="4297">
        <v>3.846565</v>
      </c>
    </row>
    <row r="555" spans="2:5">
      <c r="B555" s="4296" t="s">
        <v>6375</v>
      </c>
      <c r="C555" s="4296" t="s">
        <v>9468</v>
      </c>
      <c r="D555" s="4296" t="s">
        <v>4897</v>
      </c>
      <c r="E555" s="4297">
        <v>3.84</v>
      </c>
    </row>
    <row r="556" spans="2:5">
      <c r="B556" s="4296" t="s">
        <v>6377</v>
      </c>
      <c r="C556" s="4296" t="s">
        <v>9469</v>
      </c>
      <c r="D556" s="4296" t="s">
        <v>4987</v>
      </c>
      <c r="E556" s="4297">
        <v>3.8336999999999999</v>
      </c>
    </row>
    <row r="557" spans="2:5">
      <c r="B557" s="4296" t="s">
        <v>6379</v>
      </c>
      <c r="C557" s="4296" t="s">
        <v>8863</v>
      </c>
      <c r="D557" s="4296" t="s">
        <v>4674</v>
      </c>
      <c r="E557" s="4297">
        <v>3.8082660000000002</v>
      </c>
    </row>
    <row r="558" spans="2:5">
      <c r="B558" s="4296" t="s">
        <v>6381</v>
      </c>
      <c r="C558" s="4296" t="s">
        <v>9017</v>
      </c>
      <c r="D558" s="4296" t="s">
        <v>5222</v>
      </c>
      <c r="E558" s="4297">
        <v>3.7770489999999999</v>
      </c>
    </row>
    <row r="559" spans="2:5">
      <c r="B559" s="4296" t="s">
        <v>6383</v>
      </c>
      <c r="C559" s="4296" t="s">
        <v>8774</v>
      </c>
      <c r="D559" s="4296" t="s">
        <v>7519</v>
      </c>
      <c r="E559" s="4297">
        <v>3.6666669999999999</v>
      </c>
    </row>
    <row r="560" spans="2:5">
      <c r="B560" s="4296" t="s">
        <v>6385</v>
      </c>
      <c r="C560" s="4296" t="s">
        <v>7784</v>
      </c>
      <c r="D560" s="4296" t="s">
        <v>4674</v>
      </c>
      <c r="E560" s="4297">
        <v>3.6542349999999999</v>
      </c>
    </row>
    <row r="561" spans="2:5">
      <c r="B561" s="4296" t="s">
        <v>6387</v>
      </c>
      <c r="C561" s="4296" t="s">
        <v>8682</v>
      </c>
      <c r="D561" s="4296" t="s">
        <v>4674</v>
      </c>
      <c r="E561" s="4297">
        <v>3.6159770000000004</v>
      </c>
    </row>
    <row r="562" spans="2:5">
      <c r="B562" s="4296" t="s">
        <v>6389</v>
      </c>
      <c r="C562" s="4287" t="s">
        <v>9470</v>
      </c>
      <c r="D562" s="4287" t="s">
        <v>5222</v>
      </c>
      <c r="E562" s="4297">
        <v>3.6</v>
      </c>
    </row>
    <row r="563" spans="2:5">
      <c r="B563" s="4296" t="s">
        <v>6391</v>
      </c>
      <c r="C563" s="4296" t="s">
        <v>9471</v>
      </c>
      <c r="D563" s="4296" t="s">
        <v>4897</v>
      </c>
      <c r="E563" s="4297">
        <v>3.6</v>
      </c>
    </row>
    <row r="564" spans="2:5">
      <c r="B564" s="4296" t="s">
        <v>6393</v>
      </c>
      <c r="C564" s="4296" t="s">
        <v>9472</v>
      </c>
      <c r="D564" s="4296" t="s">
        <v>4897</v>
      </c>
      <c r="E564" s="4297">
        <v>3.6</v>
      </c>
    </row>
    <row r="565" spans="2:5">
      <c r="B565" s="4296" t="s">
        <v>6395</v>
      </c>
      <c r="C565" s="4296" t="s">
        <v>9473</v>
      </c>
      <c r="D565" s="4296" t="s">
        <v>6044</v>
      </c>
      <c r="E565" s="4297">
        <v>3.5987900000000002</v>
      </c>
    </row>
    <row r="566" spans="2:5">
      <c r="B566" s="4296" t="s">
        <v>6397</v>
      </c>
      <c r="C566" s="4296" t="s">
        <v>9474</v>
      </c>
      <c r="D566" s="4296" t="s">
        <v>4987</v>
      </c>
      <c r="E566" s="4297">
        <v>3.5526399999999994</v>
      </c>
    </row>
    <row r="567" spans="2:5">
      <c r="B567" s="4296" t="s">
        <v>6399</v>
      </c>
      <c r="C567" s="4296" t="s">
        <v>9475</v>
      </c>
      <c r="D567" s="4296" t="s">
        <v>4987</v>
      </c>
      <c r="E567" s="4297">
        <v>3.5204000000000009</v>
      </c>
    </row>
    <row r="568" spans="2:5">
      <c r="B568" s="4296" t="s">
        <v>6401</v>
      </c>
      <c r="C568" s="4296" t="s">
        <v>9476</v>
      </c>
      <c r="D568" s="4296" t="s">
        <v>4897</v>
      </c>
      <c r="E568" s="4297">
        <v>3.52</v>
      </c>
    </row>
    <row r="569" spans="2:5">
      <c r="B569" s="4296" t="s">
        <v>6403</v>
      </c>
      <c r="C569" s="4296" t="s">
        <v>9477</v>
      </c>
      <c r="D569" s="4296" t="s">
        <v>4674</v>
      </c>
      <c r="E569" s="4297">
        <v>3.5156000000000001</v>
      </c>
    </row>
    <row r="570" spans="2:5">
      <c r="B570" s="4296" t="s">
        <v>6405</v>
      </c>
      <c r="C570" s="4296" t="s">
        <v>9048</v>
      </c>
      <c r="D570" s="4296" t="s">
        <v>4987</v>
      </c>
      <c r="E570" s="4297">
        <v>3.5138879999999997</v>
      </c>
    </row>
    <row r="571" spans="2:5">
      <c r="B571" s="4296" t="s">
        <v>6407</v>
      </c>
      <c r="C571" s="4296" t="s">
        <v>9478</v>
      </c>
      <c r="D571" s="4296" t="s">
        <v>4897</v>
      </c>
      <c r="E571" s="4297">
        <v>3.51</v>
      </c>
    </row>
    <row r="572" spans="2:5">
      <c r="B572" s="4296" t="s">
        <v>6409</v>
      </c>
      <c r="C572" s="4296" t="s">
        <v>9479</v>
      </c>
      <c r="D572" s="4296" t="s">
        <v>4674</v>
      </c>
      <c r="E572" s="4297">
        <v>3.4553429999999992</v>
      </c>
    </row>
    <row r="573" spans="2:5">
      <c r="B573" s="4296" t="s">
        <v>6411</v>
      </c>
      <c r="C573" s="4296" t="s">
        <v>9480</v>
      </c>
      <c r="D573" s="4296" t="s">
        <v>4897</v>
      </c>
      <c r="E573" s="4297">
        <v>3.44</v>
      </c>
    </row>
    <row r="574" spans="2:5">
      <c r="B574" s="4296" t="s">
        <v>6413</v>
      </c>
      <c r="C574" s="4296" t="s">
        <v>9481</v>
      </c>
      <c r="D574" s="4296" t="s">
        <v>4987</v>
      </c>
      <c r="E574" s="4297">
        <v>3.3490349999999993</v>
      </c>
    </row>
    <row r="575" spans="2:5">
      <c r="B575" s="4296" t="s">
        <v>6415</v>
      </c>
      <c r="C575" s="4296" t="s">
        <v>9482</v>
      </c>
      <c r="D575" s="4296" t="s">
        <v>4674</v>
      </c>
      <c r="E575" s="4297">
        <v>3.2575559999999997</v>
      </c>
    </row>
    <row r="576" spans="2:5">
      <c r="B576" s="4296" t="s">
        <v>6417</v>
      </c>
      <c r="C576" s="4296" t="s">
        <v>9483</v>
      </c>
      <c r="D576" s="4296" t="s">
        <v>5222</v>
      </c>
      <c r="E576" s="4297">
        <v>3.2444999999999999</v>
      </c>
    </row>
    <row r="577" spans="2:5">
      <c r="B577" s="4296" t="s">
        <v>6419</v>
      </c>
      <c r="C577" s="4296" t="s">
        <v>9054</v>
      </c>
      <c r="D577" s="4296" t="s">
        <v>4987</v>
      </c>
      <c r="E577" s="4297">
        <v>3.2004900000000003</v>
      </c>
    </row>
    <row r="578" spans="2:5">
      <c r="B578" s="4296" t="s">
        <v>6421</v>
      </c>
      <c r="C578" s="4296" t="s">
        <v>9484</v>
      </c>
      <c r="D578" s="4296" t="s">
        <v>4897</v>
      </c>
      <c r="E578" s="4297">
        <v>3.2</v>
      </c>
    </row>
    <row r="579" spans="2:5">
      <c r="B579" s="4296" t="s">
        <v>6423</v>
      </c>
      <c r="C579" s="4296" t="s">
        <v>9485</v>
      </c>
      <c r="D579" s="4296" t="s">
        <v>4987</v>
      </c>
      <c r="E579" s="4297">
        <v>3.1835799999999987</v>
      </c>
    </row>
    <row r="580" spans="2:5">
      <c r="B580" s="4296" t="s">
        <v>6425</v>
      </c>
      <c r="C580" s="4296" t="s">
        <v>9097</v>
      </c>
      <c r="D580" s="4296" t="s">
        <v>4987</v>
      </c>
      <c r="E580" s="4297">
        <v>3.177</v>
      </c>
    </row>
    <row r="581" spans="2:5">
      <c r="B581" s="4296" t="s">
        <v>6427</v>
      </c>
      <c r="C581" s="4296" t="s">
        <v>8361</v>
      </c>
      <c r="D581" s="4296" t="s">
        <v>6044</v>
      </c>
      <c r="E581" s="4297">
        <v>3.0750000000000002</v>
      </c>
    </row>
    <row r="582" spans="2:5">
      <c r="B582" s="4296" t="s">
        <v>6429</v>
      </c>
      <c r="C582" s="4296" t="s">
        <v>9486</v>
      </c>
      <c r="D582" s="4296" t="s">
        <v>5234</v>
      </c>
      <c r="E582" s="4297">
        <v>3.0253140000000003</v>
      </c>
    </row>
    <row r="583" spans="2:5">
      <c r="B583" s="4296" t="s">
        <v>6431</v>
      </c>
      <c r="C583" s="4296" t="s">
        <v>6336</v>
      </c>
      <c r="D583" s="4296" t="s">
        <v>4987</v>
      </c>
      <c r="E583" s="4297">
        <v>3.0192979999999991</v>
      </c>
    </row>
    <row r="584" spans="2:5">
      <c r="B584" s="4296" t="s">
        <v>6433</v>
      </c>
      <c r="C584" s="4287" t="s">
        <v>8988</v>
      </c>
      <c r="D584" s="4287" t="s">
        <v>5149</v>
      </c>
      <c r="E584" s="4297">
        <v>3.0036999999999998</v>
      </c>
    </row>
    <row r="585" spans="2:5">
      <c r="B585" s="4296" t="s">
        <v>6435</v>
      </c>
      <c r="C585" s="4296" t="s">
        <v>9487</v>
      </c>
      <c r="D585" s="4296" t="s">
        <v>5222</v>
      </c>
      <c r="E585" s="4297">
        <v>3.0000000000000004</v>
      </c>
    </row>
    <row r="586" spans="2:5">
      <c r="B586" s="4296" t="s">
        <v>6437</v>
      </c>
      <c r="C586" s="4296" t="s">
        <v>9488</v>
      </c>
      <c r="D586" s="4296" t="s">
        <v>5222</v>
      </c>
      <c r="E586" s="4297">
        <v>3.0000000000000004</v>
      </c>
    </row>
    <row r="587" spans="2:5">
      <c r="B587" s="4296" t="s">
        <v>6439</v>
      </c>
      <c r="C587" s="4296" t="s">
        <v>9489</v>
      </c>
      <c r="D587" s="4296" t="s">
        <v>5222</v>
      </c>
      <c r="E587" s="4297">
        <v>3.0000000000000004</v>
      </c>
    </row>
    <row r="588" spans="2:5">
      <c r="B588" s="4296" t="s">
        <v>6441</v>
      </c>
      <c r="C588" s="4296" t="s">
        <v>9490</v>
      </c>
      <c r="D588" s="4296" t="s">
        <v>4897</v>
      </c>
      <c r="E588" s="4297">
        <v>3</v>
      </c>
    </row>
    <row r="589" spans="2:5">
      <c r="B589" s="4296" t="s">
        <v>6443</v>
      </c>
      <c r="C589" s="4296" t="s">
        <v>9491</v>
      </c>
      <c r="D589" s="4296" t="s">
        <v>4897</v>
      </c>
      <c r="E589" s="4297">
        <v>3</v>
      </c>
    </row>
    <row r="590" spans="2:5">
      <c r="B590" s="4296" t="s">
        <v>6445</v>
      </c>
      <c r="C590" s="4296" t="s">
        <v>9492</v>
      </c>
      <c r="D590" s="4296" t="s">
        <v>4897</v>
      </c>
      <c r="E590" s="4297">
        <v>3</v>
      </c>
    </row>
    <row r="591" spans="2:5">
      <c r="B591" s="4296" t="s">
        <v>6447</v>
      </c>
      <c r="C591" s="4296" t="s">
        <v>9493</v>
      </c>
      <c r="D591" s="4296" t="s">
        <v>5753</v>
      </c>
      <c r="E591" s="4297">
        <v>3</v>
      </c>
    </row>
    <row r="592" spans="2:5">
      <c r="B592" s="4296" t="s">
        <v>6449</v>
      </c>
      <c r="C592" s="4296" t="s">
        <v>9494</v>
      </c>
      <c r="D592" s="4296" t="s">
        <v>5222</v>
      </c>
      <c r="E592" s="4297">
        <v>3</v>
      </c>
    </row>
    <row r="593" spans="2:5">
      <c r="B593" s="4296" t="s">
        <v>6451</v>
      </c>
      <c r="C593" s="4296" t="s">
        <v>9495</v>
      </c>
      <c r="D593" s="4296" t="s">
        <v>5753</v>
      </c>
      <c r="E593" s="4297">
        <v>3</v>
      </c>
    </row>
    <row r="594" spans="2:5">
      <c r="B594" s="4296" t="s">
        <v>6453</v>
      </c>
      <c r="C594" s="4296" t="s">
        <v>9496</v>
      </c>
      <c r="D594" s="4296" t="s">
        <v>5753</v>
      </c>
      <c r="E594" s="4297">
        <v>3</v>
      </c>
    </row>
    <row r="595" spans="2:5">
      <c r="B595" s="4296" t="s">
        <v>6455</v>
      </c>
      <c r="C595" s="4296" t="s">
        <v>9497</v>
      </c>
      <c r="D595" s="4296" t="s">
        <v>5222</v>
      </c>
      <c r="E595" s="4297">
        <v>3</v>
      </c>
    </row>
    <row r="596" spans="2:5">
      <c r="B596" s="4296" t="s">
        <v>6457</v>
      </c>
      <c r="C596" s="4296" t="s">
        <v>9498</v>
      </c>
      <c r="D596" s="4296" t="s">
        <v>5222</v>
      </c>
      <c r="E596" s="4297">
        <v>3</v>
      </c>
    </row>
    <row r="597" spans="2:5">
      <c r="B597" s="4296" t="s">
        <v>6459</v>
      </c>
      <c r="C597" s="4296" t="s">
        <v>9499</v>
      </c>
      <c r="D597" s="4296" t="s">
        <v>4897</v>
      </c>
      <c r="E597" s="4297">
        <v>3</v>
      </c>
    </row>
    <row r="598" spans="2:5">
      <c r="B598" s="4296" t="s">
        <v>6461</v>
      </c>
      <c r="C598" s="4296" t="s">
        <v>9500</v>
      </c>
      <c r="D598" s="4296" t="s">
        <v>4897</v>
      </c>
      <c r="E598" s="4297">
        <v>3</v>
      </c>
    </row>
    <row r="599" spans="2:5">
      <c r="B599" s="4296" t="s">
        <v>6463</v>
      </c>
      <c r="C599" s="4296" t="s">
        <v>9501</v>
      </c>
      <c r="D599" s="4296" t="s">
        <v>5222</v>
      </c>
      <c r="E599" s="4297">
        <v>2.9786290000000002</v>
      </c>
    </row>
    <row r="600" spans="2:5">
      <c r="B600" s="4296" t="s">
        <v>6465</v>
      </c>
      <c r="C600" s="4296" t="s">
        <v>9111</v>
      </c>
      <c r="D600" s="4296" t="s">
        <v>4987</v>
      </c>
      <c r="E600" s="4297">
        <v>2.9717999999999996</v>
      </c>
    </row>
    <row r="601" spans="2:5">
      <c r="B601" s="4296" t="s">
        <v>6467</v>
      </c>
      <c r="C601" s="4296" t="s">
        <v>9502</v>
      </c>
      <c r="D601" s="4296" t="s">
        <v>5222</v>
      </c>
      <c r="E601" s="4297">
        <v>2.9476570000000004</v>
      </c>
    </row>
    <row r="602" spans="2:5">
      <c r="B602" s="4296" t="s">
        <v>6469</v>
      </c>
      <c r="C602" s="4296" t="s">
        <v>8243</v>
      </c>
      <c r="D602" s="4296" t="s">
        <v>5149</v>
      </c>
      <c r="E602" s="4297">
        <v>2.9424000000000001</v>
      </c>
    </row>
    <row r="603" spans="2:5">
      <c r="B603" s="4296" t="s">
        <v>6471</v>
      </c>
      <c r="C603" s="4296" t="s">
        <v>9503</v>
      </c>
      <c r="D603" s="4296" t="s">
        <v>4674</v>
      </c>
      <c r="E603" s="4297">
        <v>2.8998060000000003</v>
      </c>
    </row>
    <row r="604" spans="2:5">
      <c r="B604" s="4296" t="s">
        <v>6473</v>
      </c>
      <c r="C604" s="4296" t="s">
        <v>9504</v>
      </c>
      <c r="D604" s="4296" t="s">
        <v>4674</v>
      </c>
      <c r="E604" s="4297">
        <v>2.8986159999999996</v>
      </c>
    </row>
    <row r="605" spans="2:5">
      <c r="B605" s="4296" t="s">
        <v>6475</v>
      </c>
      <c r="C605" s="4296" t="s">
        <v>9505</v>
      </c>
      <c r="D605" s="4296" t="s">
        <v>5149</v>
      </c>
      <c r="E605" s="4297">
        <v>2.8944000000000001</v>
      </c>
    </row>
    <row r="606" spans="2:5">
      <c r="B606" s="4296" t="s">
        <v>6477</v>
      </c>
      <c r="C606" s="4296" t="s">
        <v>8957</v>
      </c>
      <c r="D606" s="4296" t="s">
        <v>5149</v>
      </c>
      <c r="E606" s="4297">
        <v>2.88795</v>
      </c>
    </row>
    <row r="607" spans="2:5">
      <c r="B607" s="4296" t="s">
        <v>6479</v>
      </c>
      <c r="C607" s="4296" t="s">
        <v>9506</v>
      </c>
      <c r="D607" s="4296" t="s">
        <v>4987</v>
      </c>
      <c r="E607" s="4297">
        <v>2.8571399999999993</v>
      </c>
    </row>
    <row r="608" spans="2:5">
      <c r="B608" s="4296" t="s">
        <v>6481</v>
      </c>
      <c r="C608" s="4296" t="s">
        <v>9130</v>
      </c>
      <c r="D608" s="4296" t="s">
        <v>5753</v>
      </c>
      <c r="E608" s="4297">
        <v>2.835</v>
      </c>
    </row>
    <row r="609" spans="2:5">
      <c r="B609" s="4296" t="s">
        <v>6483</v>
      </c>
      <c r="C609" s="4296" t="s">
        <v>9507</v>
      </c>
      <c r="D609" s="4296" t="s">
        <v>5222</v>
      </c>
      <c r="E609" s="4297">
        <v>2.8272329999999997</v>
      </c>
    </row>
    <row r="610" spans="2:5">
      <c r="B610" s="4296" t="s">
        <v>6485</v>
      </c>
      <c r="C610" s="4296" t="s">
        <v>8803</v>
      </c>
      <c r="D610" s="4296" t="s">
        <v>4674</v>
      </c>
      <c r="E610" s="4297">
        <v>2.8050000000000002</v>
      </c>
    </row>
    <row r="611" spans="2:5">
      <c r="B611" s="4296" t="s">
        <v>6487</v>
      </c>
      <c r="C611" s="4296" t="s">
        <v>9508</v>
      </c>
      <c r="D611" s="4296" t="s">
        <v>5222</v>
      </c>
      <c r="E611" s="4297">
        <v>2.8</v>
      </c>
    </row>
    <row r="612" spans="2:5">
      <c r="B612" s="4296" t="s">
        <v>6489</v>
      </c>
      <c r="C612" s="4296" t="s">
        <v>9509</v>
      </c>
      <c r="D612" s="4296" t="s">
        <v>4897</v>
      </c>
      <c r="E612" s="4297">
        <v>2.8</v>
      </c>
    </row>
    <row r="613" spans="2:5">
      <c r="B613" s="4296" t="s">
        <v>6491</v>
      </c>
      <c r="C613" s="4296" t="s">
        <v>8995</v>
      </c>
      <c r="D613" s="4296" t="s">
        <v>5753</v>
      </c>
      <c r="E613" s="4297">
        <v>2.8</v>
      </c>
    </row>
    <row r="614" spans="2:5">
      <c r="B614" s="4296" t="s">
        <v>6493</v>
      </c>
      <c r="C614" s="4296" t="s">
        <v>8821</v>
      </c>
      <c r="D614" s="4296" t="s">
        <v>4674</v>
      </c>
      <c r="E614" s="4297">
        <v>2.71916</v>
      </c>
    </row>
    <row r="615" spans="2:5">
      <c r="B615" s="4296" t="s">
        <v>6495</v>
      </c>
      <c r="C615" s="4296" t="s">
        <v>9510</v>
      </c>
      <c r="D615" s="4296" t="s">
        <v>4897</v>
      </c>
      <c r="E615" s="4297">
        <v>2.7</v>
      </c>
    </row>
    <row r="616" spans="2:5">
      <c r="B616" s="4296" t="s">
        <v>6497</v>
      </c>
      <c r="C616" s="4296" t="s">
        <v>9511</v>
      </c>
      <c r="D616" s="4296" t="s">
        <v>5222</v>
      </c>
      <c r="E616" s="4297">
        <v>2.692599</v>
      </c>
    </row>
    <row r="617" spans="2:5">
      <c r="B617" s="4296" t="s">
        <v>6499</v>
      </c>
      <c r="C617" s="4296" t="s">
        <v>9512</v>
      </c>
      <c r="D617" s="4296" t="s">
        <v>5222</v>
      </c>
      <c r="E617" s="4297">
        <v>2.692599</v>
      </c>
    </row>
    <row r="618" spans="2:5">
      <c r="B618" s="4296" t="s">
        <v>6501</v>
      </c>
      <c r="C618" s="4287" t="s">
        <v>8200</v>
      </c>
      <c r="D618" s="4287" t="s">
        <v>5149</v>
      </c>
      <c r="E618" s="4297">
        <v>2.6862499999999998</v>
      </c>
    </row>
    <row r="619" spans="2:5">
      <c r="B619" s="4296" t="s">
        <v>6503</v>
      </c>
      <c r="C619" s="4296" t="s">
        <v>8826</v>
      </c>
      <c r="D619" s="4296" t="s">
        <v>5222</v>
      </c>
      <c r="E619" s="4297">
        <v>2.6827389999999998</v>
      </c>
    </row>
    <row r="620" spans="2:5">
      <c r="B620" s="4296" t="s">
        <v>6505</v>
      </c>
      <c r="C620" s="4296" t="s">
        <v>8864</v>
      </c>
      <c r="D620" s="4296" t="s">
        <v>5149</v>
      </c>
      <c r="E620" s="4297">
        <v>2.6801039999999996</v>
      </c>
    </row>
    <row r="621" spans="2:5">
      <c r="B621" s="4296" t="s">
        <v>6507</v>
      </c>
      <c r="C621" s="4296" t="s">
        <v>8783</v>
      </c>
      <c r="D621" s="4296" t="s">
        <v>4674</v>
      </c>
      <c r="E621" s="4297">
        <v>2.67584</v>
      </c>
    </row>
    <row r="622" spans="2:5">
      <c r="B622" s="4296" t="s">
        <v>6509</v>
      </c>
      <c r="C622" s="4296" t="s">
        <v>9513</v>
      </c>
      <c r="D622" s="4296" t="s">
        <v>4674</v>
      </c>
      <c r="E622" s="4297">
        <v>2.6630240000000001</v>
      </c>
    </row>
    <row r="623" spans="2:5">
      <c r="B623" s="4296" t="s">
        <v>6511</v>
      </c>
      <c r="C623" s="4296" t="s">
        <v>9514</v>
      </c>
      <c r="D623" s="4296" t="s">
        <v>4897</v>
      </c>
      <c r="E623" s="4297">
        <v>2.64</v>
      </c>
    </row>
    <row r="624" spans="2:5">
      <c r="B624" s="4296" t="s">
        <v>6513</v>
      </c>
      <c r="C624" s="4296" t="s">
        <v>9113</v>
      </c>
      <c r="D624" s="4296" t="s">
        <v>4674</v>
      </c>
      <c r="E624" s="4297">
        <v>2.6086500000000004</v>
      </c>
    </row>
    <row r="625" spans="2:5">
      <c r="B625" s="4296" t="s">
        <v>6515</v>
      </c>
      <c r="C625" s="4296" t="s">
        <v>9515</v>
      </c>
      <c r="D625" s="4296" t="s">
        <v>4897</v>
      </c>
      <c r="E625" s="4297">
        <v>2.6</v>
      </c>
    </row>
    <row r="626" spans="2:5">
      <c r="B626" s="4296" t="s">
        <v>6517</v>
      </c>
      <c r="C626" s="4296" t="s">
        <v>9516</v>
      </c>
      <c r="D626" s="4296" t="s">
        <v>5222</v>
      </c>
      <c r="E626" s="4297">
        <v>2.52</v>
      </c>
    </row>
    <row r="627" spans="2:5">
      <c r="B627" s="4296" t="s">
        <v>6519</v>
      </c>
      <c r="C627" s="4296" t="s">
        <v>9517</v>
      </c>
      <c r="D627" s="4296" t="s">
        <v>4897</v>
      </c>
      <c r="E627" s="4297">
        <v>2.5</v>
      </c>
    </row>
    <row r="628" spans="2:5">
      <c r="B628" s="4296" t="s">
        <v>6521</v>
      </c>
      <c r="C628" s="4296" t="s">
        <v>9518</v>
      </c>
      <c r="D628" s="4296" t="s">
        <v>5222</v>
      </c>
      <c r="E628" s="4297">
        <v>2.5</v>
      </c>
    </row>
    <row r="629" spans="2:5">
      <c r="B629" s="4296" t="s">
        <v>6523</v>
      </c>
      <c r="C629" s="4296" t="s">
        <v>9012</v>
      </c>
      <c r="D629" s="4296" t="s">
        <v>5222</v>
      </c>
      <c r="E629" s="4297">
        <v>2.4500000000000002</v>
      </c>
    </row>
    <row r="630" spans="2:5">
      <c r="B630" s="4296" t="s">
        <v>6525</v>
      </c>
      <c r="C630" s="4296" t="s">
        <v>8979</v>
      </c>
      <c r="D630" s="4296" t="s">
        <v>5222</v>
      </c>
      <c r="E630" s="4297">
        <v>2.4197259999999998</v>
      </c>
    </row>
    <row r="631" spans="2:5">
      <c r="B631" s="4296" t="s">
        <v>6527</v>
      </c>
      <c r="C631" s="4287" t="s">
        <v>9519</v>
      </c>
      <c r="D631" s="4287" t="s">
        <v>5753</v>
      </c>
      <c r="E631" s="4297">
        <v>2.4</v>
      </c>
    </row>
    <row r="632" spans="2:5">
      <c r="B632" s="4296" t="s">
        <v>6529</v>
      </c>
      <c r="C632" s="4296" t="s">
        <v>9520</v>
      </c>
      <c r="D632" s="4296" t="s">
        <v>5222</v>
      </c>
      <c r="E632" s="4297">
        <v>2.4</v>
      </c>
    </row>
    <row r="633" spans="2:5">
      <c r="B633" s="4296" t="s">
        <v>6531</v>
      </c>
      <c r="C633" s="4296" t="s">
        <v>9521</v>
      </c>
      <c r="D633" s="4296" t="s">
        <v>4897</v>
      </c>
      <c r="E633" s="4297">
        <v>2.4</v>
      </c>
    </row>
    <row r="634" spans="2:5">
      <c r="B634" s="4296" t="s">
        <v>6533</v>
      </c>
      <c r="C634" s="4296" t="s">
        <v>9522</v>
      </c>
      <c r="D634" s="4296" t="s">
        <v>4897</v>
      </c>
      <c r="E634" s="4297">
        <v>2.4</v>
      </c>
    </row>
    <row r="635" spans="2:5">
      <c r="B635" s="4296" t="s">
        <v>6535</v>
      </c>
      <c r="C635" s="4296" t="s">
        <v>7843</v>
      </c>
      <c r="D635" s="4296" t="s">
        <v>4674</v>
      </c>
      <c r="E635" s="4297">
        <v>2.3742749999999999</v>
      </c>
    </row>
    <row r="636" spans="2:5">
      <c r="B636" s="4296" t="s">
        <v>6537</v>
      </c>
      <c r="C636" s="4296" t="s">
        <v>9523</v>
      </c>
      <c r="D636" s="4296" t="s">
        <v>5222</v>
      </c>
      <c r="E636" s="4297">
        <v>2.3671220000000002</v>
      </c>
    </row>
    <row r="637" spans="2:5">
      <c r="B637" s="4296" t="s">
        <v>6539</v>
      </c>
      <c r="C637" s="4296" t="s">
        <v>9154</v>
      </c>
      <c r="D637" s="4296" t="s">
        <v>4987</v>
      </c>
      <c r="E637" s="4297">
        <v>2.3566400000000005</v>
      </c>
    </row>
    <row r="638" spans="2:5">
      <c r="B638" s="4296" t="s">
        <v>6541</v>
      </c>
      <c r="C638" s="4296" t="s">
        <v>9524</v>
      </c>
      <c r="D638" s="4296" t="s">
        <v>5149</v>
      </c>
      <c r="E638" s="4297">
        <v>2.3199000000000001</v>
      </c>
    </row>
    <row r="639" spans="2:5">
      <c r="B639" s="4296" t="s">
        <v>6543</v>
      </c>
      <c r="C639" s="4296" t="s">
        <v>9525</v>
      </c>
      <c r="D639" s="4296" t="s">
        <v>4987</v>
      </c>
      <c r="E639" s="4297">
        <v>2.2869600000000001</v>
      </c>
    </row>
    <row r="640" spans="2:5">
      <c r="B640" s="4296" t="s">
        <v>6545</v>
      </c>
      <c r="C640" s="4296" t="s">
        <v>9526</v>
      </c>
      <c r="D640" s="4296" t="s">
        <v>4987</v>
      </c>
      <c r="E640" s="4297">
        <v>2.2840999999999996</v>
      </c>
    </row>
    <row r="641" spans="2:5">
      <c r="B641" s="4296" t="s">
        <v>6547</v>
      </c>
      <c r="C641" s="4296" t="s">
        <v>9527</v>
      </c>
      <c r="D641" s="4296" t="s">
        <v>5222</v>
      </c>
      <c r="E641" s="4297">
        <v>2.2500000000000004</v>
      </c>
    </row>
    <row r="642" spans="2:5">
      <c r="B642" s="4296" t="s">
        <v>6549</v>
      </c>
      <c r="C642" s="4296" t="s">
        <v>9528</v>
      </c>
      <c r="D642" s="4296" t="s">
        <v>4674</v>
      </c>
      <c r="E642" s="4297">
        <v>2.2495780000000001</v>
      </c>
    </row>
    <row r="643" spans="2:5">
      <c r="B643" s="4296" t="s">
        <v>6551</v>
      </c>
      <c r="C643" s="4296" t="s">
        <v>8874</v>
      </c>
      <c r="D643" s="4296" t="s">
        <v>5222</v>
      </c>
      <c r="E643" s="4297">
        <v>2.2229510000000001</v>
      </c>
    </row>
    <row r="644" spans="2:5">
      <c r="B644" s="4296" t="s">
        <v>6553</v>
      </c>
      <c r="C644" s="4296" t="s">
        <v>8735</v>
      </c>
      <c r="D644" s="4296" t="s">
        <v>4674</v>
      </c>
      <c r="E644" s="4297">
        <v>2.2176</v>
      </c>
    </row>
    <row r="645" spans="2:5">
      <c r="B645" s="4296" t="s">
        <v>6555</v>
      </c>
      <c r="C645" s="4296" t="s">
        <v>9161</v>
      </c>
      <c r="D645" s="4296" t="s">
        <v>5222</v>
      </c>
      <c r="E645" s="4297">
        <v>2.2173919999999998</v>
      </c>
    </row>
    <row r="646" spans="2:5">
      <c r="B646" s="4296" t="s">
        <v>6557</v>
      </c>
      <c r="C646" s="4296" t="s">
        <v>9529</v>
      </c>
      <c r="D646" s="4296" t="s">
        <v>5149</v>
      </c>
      <c r="E646" s="4297">
        <v>2.2067999999999999</v>
      </c>
    </row>
    <row r="647" spans="2:5">
      <c r="B647" s="4296" t="s">
        <v>6559</v>
      </c>
      <c r="C647" s="4296" t="s">
        <v>9530</v>
      </c>
      <c r="D647" s="4296" t="s">
        <v>5149</v>
      </c>
      <c r="E647" s="4297">
        <v>2.2067999999999999</v>
      </c>
    </row>
    <row r="648" spans="2:5">
      <c r="B648" s="4296" t="s">
        <v>6561</v>
      </c>
      <c r="C648" s="4296" t="s">
        <v>9020</v>
      </c>
      <c r="D648" s="4296" t="s">
        <v>5149</v>
      </c>
      <c r="E648" s="4297">
        <v>2.2050000000000001</v>
      </c>
    </row>
    <row r="649" spans="2:5">
      <c r="B649" s="4296" t="s">
        <v>6563</v>
      </c>
      <c r="C649" s="4296" t="s">
        <v>8265</v>
      </c>
      <c r="D649" s="4296" t="s">
        <v>7519</v>
      </c>
      <c r="E649" s="4297">
        <v>2.2000000000000002</v>
      </c>
    </row>
    <row r="650" spans="2:5">
      <c r="B650" s="4296" t="s">
        <v>6565</v>
      </c>
      <c r="C650" s="4287" t="s">
        <v>9531</v>
      </c>
      <c r="D650" s="4287" t="s">
        <v>4897</v>
      </c>
      <c r="E650" s="4297">
        <v>2.2000000000000002</v>
      </c>
    </row>
    <row r="651" spans="2:5">
      <c r="B651" s="4296" t="s">
        <v>6567</v>
      </c>
      <c r="C651" s="4296" t="s">
        <v>9532</v>
      </c>
      <c r="D651" s="4296" t="s">
        <v>5149</v>
      </c>
      <c r="E651" s="4297">
        <v>2.1455000000000002</v>
      </c>
    </row>
    <row r="652" spans="2:5">
      <c r="B652" s="4296" t="s">
        <v>6569</v>
      </c>
      <c r="C652" s="4296" t="s">
        <v>9533</v>
      </c>
      <c r="D652" s="4296" t="s">
        <v>7519</v>
      </c>
      <c r="E652" s="4297">
        <v>2.1333330000000004</v>
      </c>
    </row>
    <row r="653" spans="2:5">
      <c r="B653" s="4296" t="s">
        <v>6571</v>
      </c>
      <c r="C653" s="4296" t="s">
        <v>9534</v>
      </c>
      <c r="D653" s="4296" t="s">
        <v>5222</v>
      </c>
      <c r="E653" s="4297">
        <v>2.1000000000000005</v>
      </c>
    </row>
    <row r="654" spans="2:5">
      <c r="B654" s="4296" t="s">
        <v>6573</v>
      </c>
      <c r="C654" s="4296" t="s">
        <v>9535</v>
      </c>
      <c r="D654" s="4296" t="s">
        <v>4897</v>
      </c>
      <c r="E654" s="4297">
        <v>2.1</v>
      </c>
    </row>
    <row r="655" spans="2:5">
      <c r="B655" s="4296" t="s">
        <v>6575</v>
      </c>
      <c r="C655" s="4287" t="s">
        <v>9536</v>
      </c>
      <c r="D655" s="4287" t="s">
        <v>5222</v>
      </c>
      <c r="E655" s="4297">
        <v>2.0794519999999999</v>
      </c>
    </row>
    <row r="656" spans="2:5">
      <c r="B656" s="4296" t="s">
        <v>6577</v>
      </c>
      <c r="C656" s="4296" t="s">
        <v>9537</v>
      </c>
      <c r="D656" s="4296" t="s">
        <v>4674</v>
      </c>
      <c r="E656" s="4297">
        <v>2.077032</v>
      </c>
    </row>
    <row r="657" spans="2:5">
      <c r="B657" s="4296" t="s">
        <v>6579</v>
      </c>
      <c r="C657" s="4296" t="s">
        <v>9056</v>
      </c>
      <c r="D657" s="4296" t="s">
        <v>4987</v>
      </c>
      <c r="E657" s="4297">
        <v>2.03112</v>
      </c>
    </row>
    <row r="658" spans="2:5">
      <c r="B658" s="4296" t="s">
        <v>6581</v>
      </c>
      <c r="C658" s="4296" t="s">
        <v>9538</v>
      </c>
      <c r="D658" s="4296" t="s">
        <v>4897</v>
      </c>
      <c r="E658" s="4297">
        <v>2.0294189999999999</v>
      </c>
    </row>
    <row r="659" spans="2:5">
      <c r="B659" s="4296" t="s">
        <v>6583</v>
      </c>
      <c r="C659" s="4296" t="s">
        <v>8901</v>
      </c>
      <c r="D659" s="4296" t="s">
        <v>4987</v>
      </c>
      <c r="E659" s="4297">
        <v>2.0070399999999999</v>
      </c>
    </row>
    <row r="660" spans="2:5">
      <c r="B660" s="4296" t="s">
        <v>6585</v>
      </c>
      <c r="C660" s="4287" t="s">
        <v>9539</v>
      </c>
      <c r="D660" s="4287" t="s">
        <v>5222</v>
      </c>
      <c r="E660" s="4297">
        <v>2.0000000000000004</v>
      </c>
    </row>
    <row r="661" spans="2:5">
      <c r="B661" s="4296" t="s">
        <v>6587</v>
      </c>
      <c r="C661" s="4296" t="s">
        <v>9540</v>
      </c>
      <c r="D661" s="4296" t="s">
        <v>5753</v>
      </c>
      <c r="E661" s="4297">
        <v>2</v>
      </c>
    </row>
    <row r="662" spans="2:5">
      <c r="B662" s="4296" t="s">
        <v>6589</v>
      </c>
      <c r="C662" s="4296" t="s">
        <v>9541</v>
      </c>
      <c r="D662" s="4296" t="s">
        <v>5222</v>
      </c>
      <c r="E662" s="4297">
        <v>2</v>
      </c>
    </row>
    <row r="663" spans="2:5">
      <c r="B663" s="4296" t="s">
        <v>6591</v>
      </c>
      <c r="C663" s="4296" t="s">
        <v>9542</v>
      </c>
      <c r="D663" s="4296" t="s">
        <v>4897</v>
      </c>
      <c r="E663" s="4297">
        <v>2</v>
      </c>
    </row>
    <row r="664" spans="2:5">
      <c r="B664" s="4296" t="s">
        <v>6593</v>
      </c>
      <c r="C664" s="4296" t="s">
        <v>9543</v>
      </c>
      <c r="D664" s="4296" t="s">
        <v>4897</v>
      </c>
      <c r="E664" s="4297">
        <v>2</v>
      </c>
    </row>
    <row r="665" spans="2:5">
      <c r="B665" s="4296" t="s">
        <v>6595</v>
      </c>
      <c r="C665" s="4296" t="s">
        <v>9544</v>
      </c>
      <c r="D665" s="4296" t="s">
        <v>4897</v>
      </c>
      <c r="E665" s="4297">
        <v>2</v>
      </c>
    </row>
    <row r="666" spans="2:5">
      <c r="B666" s="4296" t="s">
        <v>6597</v>
      </c>
      <c r="C666" s="4296" t="s">
        <v>9545</v>
      </c>
      <c r="D666" s="4296" t="s">
        <v>5149</v>
      </c>
      <c r="E666" s="4297">
        <v>1.998</v>
      </c>
    </row>
    <row r="667" spans="2:5">
      <c r="B667" s="4296" t="s">
        <v>6599</v>
      </c>
      <c r="C667" s="4296" t="s">
        <v>8797</v>
      </c>
      <c r="D667" s="4296" t="s">
        <v>4674</v>
      </c>
      <c r="E667" s="4297">
        <v>1.939872</v>
      </c>
    </row>
    <row r="668" spans="2:5">
      <c r="B668" s="4296" t="s">
        <v>6601</v>
      </c>
      <c r="C668" s="4296" t="s">
        <v>9094</v>
      </c>
      <c r="D668" s="4296" t="s">
        <v>4987</v>
      </c>
      <c r="E668" s="4297">
        <v>1.9269899999999998</v>
      </c>
    </row>
    <row r="669" spans="2:5">
      <c r="B669" s="4296" t="s">
        <v>6603</v>
      </c>
      <c r="C669" s="4296" t="s">
        <v>9135</v>
      </c>
      <c r="D669" s="4296" t="s">
        <v>4897</v>
      </c>
      <c r="E669" s="4297">
        <v>1.9114520000000002</v>
      </c>
    </row>
    <row r="670" spans="2:5">
      <c r="B670" s="4296" t="s">
        <v>6605</v>
      </c>
      <c r="C670" s="4296" t="s">
        <v>9546</v>
      </c>
      <c r="D670" s="4296" t="s">
        <v>4987</v>
      </c>
      <c r="E670" s="4297">
        <v>1.90517</v>
      </c>
    </row>
    <row r="671" spans="2:5">
      <c r="B671" s="4296" t="s">
        <v>6607</v>
      </c>
      <c r="C671" s="4296" t="s">
        <v>9547</v>
      </c>
      <c r="D671" s="4296" t="s">
        <v>5222</v>
      </c>
      <c r="E671" s="4297">
        <v>1.89</v>
      </c>
    </row>
    <row r="672" spans="2:5">
      <c r="B672" s="4296" t="s">
        <v>6609</v>
      </c>
      <c r="C672" s="4296" t="s">
        <v>9548</v>
      </c>
      <c r="D672" s="4296" t="s">
        <v>5222</v>
      </c>
      <c r="E672" s="4297">
        <v>1.89</v>
      </c>
    </row>
    <row r="673" spans="2:5">
      <c r="B673" s="4296" t="s">
        <v>6611</v>
      </c>
      <c r="C673" s="4296" t="s">
        <v>9549</v>
      </c>
      <c r="D673" s="4296" t="s">
        <v>5222</v>
      </c>
      <c r="E673" s="4297">
        <v>1.874465</v>
      </c>
    </row>
    <row r="674" spans="2:5">
      <c r="B674" s="4296" t="s">
        <v>6613</v>
      </c>
      <c r="C674" s="4296" t="s">
        <v>9550</v>
      </c>
      <c r="D674" s="4296" t="s">
        <v>5149</v>
      </c>
      <c r="E674" s="4297">
        <v>1.869677</v>
      </c>
    </row>
    <row r="675" spans="2:5">
      <c r="B675" s="4296" t="s">
        <v>6615</v>
      </c>
      <c r="C675" s="4296" t="s">
        <v>9551</v>
      </c>
      <c r="D675" s="4296" t="s">
        <v>5753</v>
      </c>
      <c r="E675" s="4297">
        <v>1.86</v>
      </c>
    </row>
    <row r="676" spans="2:5">
      <c r="B676" s="4296" t="s">
        <v>6617</v>
      </c>
      <c r="C676" s="4296" t="s">
        <v>9552</v>
      </c>
      <c r="D676" s="4296" t="s">
        <v>4987</v>
      </c>
      <c r="E676" s="4297">
        <v>1.82728</v>
      </c>
    </row>
    <row r="677" spans="2:5">
      <c r="B677" s="4296" t="s">
        <v>6619</v>
      </c>
      <c r="C677" s="4296" t="s">
        <v>9553</v>
      </c>
      <c r="D677" s="4296" t="s">
        <v>5222</v>
      </c>
      <c r="E677" s="4297">
        <v>1.8000000000000003</v>
      </c>
    </row>
    <row r="678" spans="2:5">
      <c r="B678" s="4296" t="s">
        <v>6621</v>
      </c>
      <c r="C678" s="4287" t="s">
        <v>9554</v>
      </c>
      <c r="D678" s="4287" t="s">
        <v>5753</v>
      </c>
      <c r="E678" s="4297">
        <v>1.8</v>
      </c>
    </row>
    <row r="679" spans="2:5">
      <c r="B679" s="4296" t="s">
        <v>6623</v>
      </c>
      <c r="C679" s="4296" t="s">
        <v>9136</v>
      </c>
      <c r="D679" s="4296" t="s">
        <v>4897</v>
      </c>
      <c r="E679" s="4297">
        <v>1.8</v>
      </c>
    </row>
    <row r="680" spans="2:5">
      <c r="B680" s="4296" t="s">
        <v>6625</v>
      </c>
      <c r="C680" s="4296" t="s">
        <v>9102</v>
      </c>
      <c r="D680" s="4296" t="s">
        <v>4897</v>
      </c>
      <c r="E680" s="4297">
        <v>1.8</v>
      </c>
    </row>
    <row r="681" spans="2:5">
      <c r="B681" s="4296" t="s">
        <v>6627</v>
      </c>
      <c r="C681" s="4296" t="s">
        <v>9555</v>
      </c>
      <c r="D681" s="4296" t="s">
        <v>4897</v>
      </c>
      <c r="E681" s="4297">
        <v>1.8</v>
      </c>
    </row>
    <row r="682" spans="2:5">
      <c r="B682" s="4296" t="s">
        <v>6629</v>
      </c>
      <c r="C682" s="4296" t="s">
        <v>9556</v>
      </c>
      <c r="D682" s="4296" t="s">
        <v>5222</v>
      </c>
      <c r="E682" s="4297">
        <v>1.7852029999999999</v>
      </c>
    </row>
    <row r="683" spans="2:5">
      <c r="B683" s="4296" t="s">
        <v>6631</v>
      </c>
      <c r="C683" s="4296" t="s">
        <v>9557</v>
      </c>
      <c r="D683" s="4296" t="s">
        <v>5149</v>
      </c>
      <c r="E683" s="4297">
        <v>1.780645</v>
      </c>
    </row>
    <row r="684" spans="2:5">
      <c r="B684" s="4296" t="s">
        <v>6633</v>
      </c>
      <c r="C684" s="4296" t="s">
        <v>8966</v>
      </c>
      <c r="D684" s="4296" t="s">
        <v>5222</v>
      </c>
      <c r="E684" s="4297">
        <v>1.7307680000000001</v>
      </c>
    </row>
    <row r="685" spans="2:5">
      <c r="B685" s="4296" t="s">
        <v>6635</v>
      </c>
      <c r="C685" s="4296" t="s">
        <v>9558</v>
      </c>
      <c r="D685" s="4296" t="s">
        <v>5753</v>
      </c>
      <c r="E685" s="4297">
        <v>1.730666</v>
      </c>
    </row>
    <row r="686" spans="2:5">
      <c r="B686" s="4296" t="s">
        <v>6637</v>
      </c>
      <c r="C686" s="4296" t="s">
        <v>9559</v>
      </c>
      <c r="D686" s="4296" t="s">
        <v>4987</v>
      </c>
      <c r="E686" s="4297">
        <v>1.7170799999999999</v>
      </c>
    </row>
    <row r="687" spans="2:5">
      <c r="B687" s="4296" t="s">
        <v>6639</v>
      </c>
      <c r="C687" s="4296" t="s">
        <v>7829</v>
      </c>
      <c r="D687" s="4296" t="s">
        <v>4674</v>
      </c>
      <c r="E687" s="4297">
        <v>1.7115340000000001</v>
      </c>
    </row>
    <row r="688" spans="2:5">
      <c r="B688" s="4296" t="s">
        <v>6641</v>
      </c>
      <c r="C688" s="4296" t="s">
        <v>9560</v>
      </c>
      <c r="D688" s="4296" t="s">
        <v>5234</v>
      </c>
      <c r="E688" s="4297">
        <v>1.7003779999999999</v>
      </c>
    </row>
    <row r="689" spans="2:5">
      <c r="B689" s="4296" t="s">
        <v>6643</v>
      </c>
      <c r="C689" s="4296" t="s">
        <v>9561</v>
      </c>
      <c r="D689" s="4296" t="s">
        <v>4987</v>
      </c>
      <c r="E689" s="4297">
        <v>1.6983200000000001</v>
      </c>
    </row>
    <row r="690" spans="2:5">
      <c r="B690" s="4296" t="s">
        <v>6645</v>
      </c>
      <c r="C690" s="4296" t="s">
        <v>8994</v>
      </c>
      <c r="D690" s="4296" t="s">
        <v>5149</v>
      </c>
      <c r="E690" s="4297">
        <v>1.6544729999999999</v>
      </c>
    </row>
    <row r="691" spans="2:5">
      <c r="B691" s="4296" t="s">
        <v>6647</v>
      </c>
      <c r="C691" s="4296" t="s">
        <v>9562</v>
      </c>
      <c r="D691" s="4296" t="s">
        <v>5222</v>
      </c>
      <c r="E691" s="4297">
        <v>1.6379999999999999</v>
      </c>
    </row>
    <row r="692" spans="2:5">
      <c r="B692" s="4296" t="s">
        <v>6649</v>
      </c>
      <c r="C692" s="4296" t="s">
        <v>8811</v>
      </c>
      <c r="D692" s="4296" t="s">
        <v>5222</v>
      </c>
      <c r="E692" s="4297">
        <v>1.6</v>
      </c>
    </row>
    <row r="693" spans="2:5">
      <c r="B693" s="4296" t="s">
        <v>6651</v>
      </c>
      <c r="C693" s="4296" t="s">
        <v>9563</v>
      </c>
      <c r="D693" s="4296" t="s">
        <v>4987</v>
      </c>
      <c r="E693" s="4297">
        <v>1.5880799999999997</v>
      </c>
    </row>
    <row r="694" spans="2:5">
      <c r="B694" s="4296" t="s">
        <v>6653</v>
      </c>
      <c r="C694" s="4296" t="s">
        <v>9564</v>
      </c>
      <c r="D694" s="4296" t="s">
        <v>4674</v>
      </c>
      <c r="E694" s="4297">
        <v>1.5462</v>
      </c>
    </row>
    <row r="695" spans="2:5">
      <c r="B695" s="4296" t="s">
        <v>6655</v>
      </c>
      <c r="C695" s="4287" t="s">
        <v>8916</v>
      </c>
      <c r="D695" s="4287" t="s">
        <v>4987</v>
      </c>
      <c r="E695" s="4297">
        <v>1.5359400000000001</v>
      </c>
    </row>
    <row r="696" spans="2:5">
      <c r="B696" s="4296" t="s">
        <v>6657</v>
      </c>
      <c r="C696" s="4296" t="s">
        <v>9565</v>
      </c>
      <c r="D696" s="4296" t="s">
        <v>4674</v>
      </c>
      <c r="E696" s="4297">
        <v>1.5207379999999997</v>
      </c>
    </row>
    <row r="697" spans="2:5">
      <c r="B697" s="4296" t="s">
        <v>6659</v>
      </c>
      <c r="C697" s="4296" t="s">
        <v>9566</v>
      </c>
      <c r="D697" s="4296" t="s">
        <v>5222</v>
      </c>
      <c r="E697" s="4297">
        <v>1.5000000000000002</v>
      </c>
    </row>
    <row r="698" spans="2:5">
      <c r="B698" s="4296" t="s">
        <v>6661</v>
      </c>
      <c r="C698" s="4296" t="s">
        <v>9567</v>
      </c>
      <c r="D698" s="4296" t="s">
        <v>7519</v>
      </c>
      <c r="E698" s="4297">
        <v>1.5</v>
      </c>
    </row>
    <row r="699" spans="2:5">
      <c r="B699" s="4296" t="s">
        <v>6663</v>
      </c>
      <c r="C699" s="4296" t="s">
        <v>9568</v>
      </c>
      <c r="D699" s="4296" t="s">
        <v>5753</v>
      </c>
      <c r="E699" s="4297">
        <v>1.5</v>
      </c>
    </row>
    <row r="700" spans="2:5">
      <c r="B700" s="4296" t="s">
        <v>6665</v>
      </c>
      <c r="C700" s="4296" t="s">
        <v>9569</v>
      </c>
      <c r="D700" s="4296" t="s">
        <v>5222</v>
      </c>
      <c r="E700" s="4297">
        <v>1.5</v>
      </c>
    </row>
    <row r="701" spans="2:5">
      <c r="B701" s="4296" t="s">
        <v>6667</v>
      </c>
      <c r="C701" s="4296" t="s">
        <v>9023</v>
      </c>
      <c r="D701" s="4296" t="s">
        <v>5222</v>
      </c>
      <c r="E701" s="4297">
        <v>1.5</v>
      </c>
    </row>
    <row r="702" spans="2:5">
      <c r="B702" s="4296" t="s">
        <v>6669</v>
      </c>
      <c r="C702" s="4296" t="s">
        <v>9570</v>
      </c>
      <c r="D702" s="4296" t="s">
        <v>5222</v>
      </c>
      <c r="E702" s="4297">
        <v>1.4999999999999996</v>
      </c>
    </row>
    <row r="703" spans="2:5">
      <c r="B703" s="4296" t="s">
        <v>6671</v>
      </c>
      <c r="C703" s="4296" t="s">
        <v>9571</v>
      </c>
      <c r="D703" s="4296" t="s">
        <v>5222</v>
      </c>
      <c r="E703" s="4297">
        <v>1.4912889999999999</v>
      </c>
    </row>
    <row r="704" spans="2:5">
      <c r="B704" s="4296" t="s">
        <v>6673</v>
      </c>
      <c r="C704" s="4296" t="s">
        <v>9572</v>
      </c>
      <c r="D704" s="4296" t="s">
        <v>5222</v>
      </c>
      <c r="E704" s="4297">
        <v>1.4893169999999998</v>
      </c>
    </row>
    <row r="705" spans="2:5">
      <c r="B705" s="4296" t="s">
        <v>6675</v>
      </c>
      <c r="C705" s="4296" t="s">
        <v>9573</v>
      </c>
      <c r="D705" s="4296" t="s">
        <v>5149</v>
      </c>
      <c r="E705" s="4297">
        <v>1.4875</v>
      </c>
    </row>
    <row r="706" spans="2:5">
      <c r="B706" s="4296" t="s">
        <v>6677</v>
      </c>
      <c r="C706" s="4296" t="s">
        <v>9574</v>
      </c>
      <c r="D706" s="4296" t="s">
        <v>5149</v>
      </c>
      <c r="E706" s="4297">
        <v>1.4712000000000001</v>
      </c>
    </row>
    <row r="707" spans="2:5">
      <c r="B707" s="4296" t="s">
        <v>6679</v>
      </c>
      <c r="C707" s="4296" t="s">
        <v>9137</v>
      </c>
      <c r="D707" s="4296" t="s">
        <v>5222</v>
      </c>
      <c r="E707" s="4297">
        <v>1.4400000000000002</v>
      </c>
    </row>
    <row r="708" spans="2:5">
      <c r="B708" s="4296" t="s">
        <v>6681</v>
      </c>
      <c r="C708" s="4296" t="s">
        <v>9575</v>
      </c>
      <c r="D708" s="4296" t="s">
        <v>4897</v>
      </c>
      <c r="E708" s="4297">
        <v>1.44</v>
      </c>
    </row>
    <row r="709" spans="2:5">
      <c r="B709" s="4296" t="s">
        <v>6683</v>
      </c>
      <c r="C709" s="4296" t="s">
        <v>9037</v>
      </c>
      <c r="D709" s="4296" t="s">
        <v>4987</v>
      </c>
      <c r="E709" s="4297">
        <v>1.4396</v>
      </c>
    </row>
    <row r="710" spans="2:5">
      <c r="B710" s="4296" t="s">
        <v>6685</v>
      </c>
      <c r="C710" s="4296" t="s">
        <v>9055</v>
      </c>
      <c r="D710" s="4296" t="s">
        <v>4987</v>
      </c>
      <c r="E710" s="4297">
        <v>1.4350700000000001</v>
      </c>
    </row>
    <row r="711" spans="2:5">
      <c r="B711" s="4296" t="s">
        <v>6687</v>
      </c>
      <c r="C711" s="4296" t="s">
        <v>9576</v>
      </c>
      <c r="D711" s="4296" t="s">
        <v>4987</v>
      </c>
      <c r="E711" s="4297">
        <v>1.4196</v>
      </c>
    </row>
    <row r="712" spans="2:5">
      <c r="B712" s="4296" t="s">
        <v>6689</v>
      </c>
      <c r="C712" s="4296" t="s">
        <v>9577</v>
      </c>
      <c r="D712" s="4296" t="s">
        <v>4897</v>
      </c>
      <c r="E712" s="4297">
        <v>1.4</v>
      </c>
    </row>
    <row r="713" spans="2:5">
      <c r="B713" s="4296" t="s">
        <v>6691</v>
      </c>
      <c r="C713" s="4296" t="s">
        <v>9578</v>
      </c>
      <c r="D713" s="4296" t="s">
        <v>4987</v>
      </c>
      <c r="E713" s="4297">
        <v>1.3613600000000001</v>
      </c>
    </row>
    <row r="714" spans="2:5">
      <c r="B714" s="4296" t="s">
        <v>6693</v>
      </c>
      <c r="C714" s="4296" t="s">
        <v>9125</v>
      </c>
      <c r="D714" s="4296" t="s">
        <v>5222</v>
      </c>
      <c r="E714" s="4297">
        <v>1.3117799999999999</v>
      </c>
    </row>
    <row r="715" spans="2:5">
      <c r="B715" s="4296" t="s">
        <v>6695</v>
      </c>
      <c r="C715" s="4296" t="s">
        <v>9579</v>
      </c>
      <c r="D715" s="4296" t="s">
        <v>5222</v>
      </c>
      <c r="E715" s="4297">
        <v>1.3</v>
      </c>
    </row>
    <row r="716" spans="2:5">
      <c r="B716" s="4296" t="s">
        <v>6697</v>
      </c>
      <c r="C716" s="4296" t="s">
        <v>8985</v>
      </c>
      <c r="D716" s="4296" t="s">
        <v>4987</v>
      </c>
      <c r="E716" s="4297">
        <v>1.2431319999999999</v>
      </c>
    </row>
    <row r="717" spans="2:5">
      <c r="B717" s="4296" t="s">
        <v>6699</v>
      </c>
      <c r="C717" s="4296" t="s">
        <v>8968</v>
      </c>
      <c r="D717" s="4296" t="s">
        <v>5222</v>
      </c>
      <c r="E717" s="4297">
        <v>1.22</v>
      </c>
    </row>
    <row r="718" spans="2:5">
      <c r="B718" s="4296" t="s">
        <v>6701</v>
      </c>
      <c r="C718" s="4296" t="s">
        <v>9580</v>
      </c>
      <c r="D718" s="4296" t="s">
        <v>5222</v>
      </c>
      <c r="E718" s="4297">
        <v>1.2</v>
      </c>
    </row>
    <row r="719" spans="2:5">
      <c r="B719" s="4296" t="s">
        <v>6703</v>
      </c>
      <c r="C719" s="4296" t="s">
        <v>9581</v>
      </c>
      <c r="D719" s="4296" t="s">
        <v>5222</v>
      </c>
      <c r="E719" s="4297">
        <v>1.2</v>
      </c>
    </row>
    <row r="720" spans="2:5">
      <c r="B720" s="4296" t="s">
        <v>6705</v>
      </c>
      <c r="C720" s="4296" t="s">
        <v>9582</v>
      </c>
      <c r="D720" s="4296" t="s">
        <v>5222</v>
      </c>
      <c r="E720" s="4297">
        <v>1.2</v>
      </c>
    </row>
    <row r="721" spans="2:5">
      <c r="B721" s="4296" t="s">
        <v>6707</v>
      </c>
      <c r="C721" s="4296" t="s">
        <v>9583</v>
      </c>
      <c r="D721" s="4296" t="s">
        <v>5753</v>
      </c>
      <c r="E721" s="4297">
        <v>1.2</v>
      </c>
    </row>
    <row r="722" spans="2:5">
      <c r="B722" s="4296" t="s">
        <v>6709</v>
      </c>
      <c r="C722" s="4296" t="s">
        <v>9584</v>
      </c>
      <c r="D722" s="4296" t="s">
        <v>5222</v>
      </c>
      <c r="E722" s="4297">
        <v>1.2</v>
      </c>
    </row>
    <row r="723" spans="2:5">
      <c r="B723" s="4296" t="s">
        <v>6711</v>
      </c>
      <c r="C723" s="4296" t="s">
        <v>9585</v>
      </c>
      <c r="D723" s="4296" t="s">
        <v>5222</v>
      </c>
      <c r="E723" s="4297">
        <v>1.2</v>
      </c>
    </row>
    <row r="724" spans="2:5">
      <c r="B724" s="4296" t="s">
        <v>6713</v>
      </c>
      <c r="C724" s="4296" t="s">
        <v>9586</v>
      </c>
      <c r="D724" s="4296" t="s">
        <v>5222</v>
      </c>
      <c r="E724" s="4297">
        <v>1.2</v>
      </c>
    </row>
    <row r="725" spans="2:5">
      <c r="B725" s="4296" t="s">
        <v>6715</v>
      </c>
      <c r="C725" s="4296" t="s">
        <v>9006</v>
      </c>
      <c r="D725" s="4296" t="s">
        <v>5222</v>
      </c>
      <c r="E725" s="4297">
        <v>1.1967209999999999</v>
      </c>
    </row>
    <row r="726" spans="2:5">
      <c r="B726" s="4296" t="s">
        <v>6717</v>
      </c>
      <c r="C726" s="4296" t="s">
        <v>7827</v>
      </c>
      <c r="D726" s="4296" t="s">
        <v>4674</v>
      </c>
      <c r="E726" s="4297">
        <v>1.19539</v>
      </c>
    </row>
    <row r="727" spans="2:5">
      <c r="B727" s="4296" t="s">
        <v>6719</v>
      </c>
      <c r="C727" s="4296" t="s">
        <v>9587</v>
      </c>
      <c r="D727" s="4296" t="s">
        <v>6044</v>
      </c>
      <c r="E727" s="4297">
        <v>1.189589</v>
      </c>
    </row>
    <row r="728" spans="2:5">
      <c r="B728" s="4296" t="s">
        <v>6721</v>
      </c>
      <c r="C728" s="4287" t="s">
        <v>9588</v>
      </c>
      <c r="D728" s="4287" t="s">
        <v>4987</v>
      </c>
      <c r="E728" s="4297">
        <v>1.1478299999999997</v>
      </c>
    </row>
    <row r="729" spans="2:5">
      <c r="B729" s="4296" t="s">
        <v>6723</v>
      </c>
      <c r="C729" s="4296" t="s">
        <v>9589</v>
      </c>
      <c r="D729" s="4296" t="s">
        <v>4897</v>
      </c>
      <c r="E729" s="4297">
        <v>1.1200000000000001</v>
      </c>
    </row>
    <row r="730" spans="2:5">
      <c r="B730" s="4296" t="s">
        <v>6725</v>
      </c>
      <c r="C730" s="4296" t="s">
        <v>8993</v>
      </c>
      <c r="D730" s="4296" t="s">
        <v>5149</v>
      </c>
      <c r="E730" s="4297">
        <v>1.101432</v>
      </c>
    </row>
    <row r="731" spans="2:5">
      <c r="B731" s="4296" t="s">
        <v>6727</v>
      </c>
      <c r="C731" s="4296" t="s">
        <v>6930</v>
      </c>
      <c r="D731" s="4296" t="s">
        <v>4987</v>
      </c>
      <c r="E731" s="4297">
        <v>1.0942920000000003</v>
      </c>
    </row>
    <row r="732" spans="2:5">
      <c r="B732" s="4296" t="s">
        <v>6729</v>
      </c>
      <c r="C732" s="4296" t="s">
        <v>8861</v>
      </c>
      <c r="D732" s="4296" t="s">
        <v>4987</v>
      </c>
      <c r="E732" s="4297">
        <v>1.0751999999999999</v>
      </c>
    </row>
    <row r="733" spans="2:5">
      <c r="B733" s="4296" t="s">
        <v>6731</v>
      </c>
      <c r="C733" s="4296" t="s">
        <v>7840</v>
      </c>
      <c r="D733" s="4296" t="s">
        <v>4674</v>
      </c>
      <c r="E733" s="4297">
        <v>1.0690029999999999</v>
      </c>
    </row>
    <row r="734" spans="2:5">
      <c r="B734" s="4296" t="s">
        <v>6733</v>
      </c>
      <c r="C734" s="4296" t="s">
        <v>9590</v>
      </c>
      <c r="D734" s="4296" t="s">
        <v>5149</v>
      </c>
      <c r="E734" s="4297">
        <v>1.0614269999999999</v>
      </c>
    </row>
    <row r="735" spans="2:5">
      <c r="B735" s="4296" t="s">
        <v>6735</v>
      </c>
      <c r="C735" s="4296" t="s">
        <v>8959</v>
      </c>
      <c r="D735" s="4296" t="s">
        <v>5222</v>
      </c>
      <c r="E735" s="4297">
        <v>1.05</v>
      </c>
    </row>
    <row r="736" spans="2:5">
      <c r="B736" s="4296" t="s">
        <v>6737</v>
      </c>
      <c r="C736" s="4296" t="s">
        <v>9591</v>
      </c>
      <c r="D736" s="4296" t="s">
        <v>5222</v>
      </c>
      <c r="E736" s="4297">
        <v>1.05</v>
      </c>
    </row>
    <row r="737" spans="2:5">
      <c r="B737" s="4296" t="s">
        <v>6739</v>
      </c>
      <c r="C737" s="4296" t="s">
        <v>9592</v>
      </c>
      <c r="D737" s="4296" t="s">
        <v>7519</v>
      </c>
      <c r="E737" s="4297">
        <v>1.0491809999999999</v>
      </c>
    </row>
    <row r="738" spans="2:5">
      <c r="B738" s="4296" t="s">
        <v>6741</v>
      </c>
      <c r="C738" s="4296" t="s">
        <v>9593</v>
      </c>
      <c r="D738" s="4296" t="s">
        <v>4674</v>
      </c>
      <c r="E738" s="4297">
        <v>1.0307999999999999</v>
      </c>
    </row>
    <row r="739" spans="2:5">
      <c r="B739" s="4296" t="s">
        <v>6743</v>
      </c>
      <c r="C739" s="4296" t="s">
        <v>8926</v>
      </c>
      <c r="D739" s="4296" t="s">
        <v>4987</v>
      </c>
      <c r="E739" s="4297">
        <v>1.0256400000000001</v>
      </c>
    </row>
    <row r="740" spans="2:5">
      <c r="B740" s="4296" t="s">
        <v>6745</v>
      </c>
      <c r="C740" s="4296" t="s">
        <v>9594</v>
      </c>
      <c r="D740" s="4296" t="s">
        <v>5149</v>
      </c>
      <c r="E740" s="4297">
        <v>1.01898</v>
      </c>
    </row>
    <row r="741" spans="2:5">
      <c r="B741" s="4296" t="s">
        <v>6747</v>
      </c>
      <c r="C741" s="4296" t="s">
        <v>9595</v>
      </c>
      <c r="D741" s="4296" t="s">
        <v>4897</v>
      </c>
      <c r="E741" s="4297">
        <v>1</v>
      </c>
    </row>
    <row r="742" spans="2:5">
      <c r="B742" s="4296" t="s">
        <v>6749</v>
      </c>
      <c r="C742" s="4296" t="s">
        <v>9596</v>
      </c>
      <c r="D742" s="4296" t="s">
        <v>5753</v>
      </c>
      <c r="E742" s="4297">
        <v>1</v>
      </c>
    </row>
    <row r="743" spans="2:5">
      <c r="B743" s="4296" t="s">
        <v>6751</v>
      </c>
      <c r="C743" s="4287" t="s">
        <v>9597</v>
      </c>
      <c r="D743" s="4287" t="s">
        <v>4897</v>
      </c>
      <c r="E743" s="4297">
        <v>1</v>
      </c>
    </row>
    <row r="744" spans="2:5">
      <c r="B744" s="4296" t="s">
        <v>6753</v>
      </c>
      <c r="C744" s="4296" t="s">
        <v>9598</v>
      </c>
      <c r="D744" s="4296" t="s">
        <v>4897</v>
      </c>
      <c r="E744" s="4297">
        <v>1</v>
      </c>
    </row>
    <row r="745" spans="2:5">
      <c r="B745" s="4296" t="s">
        <v>6755</v>
      </c>
      <c r="C745" s="4296" t="s">
        <v>8810</v>
      </c>
      <c r="D745" s="4296" t="s">
        <v>5753</v>
      </c>
      <c r="E745" s="4297">
        <v>1</v>
      </c>
    </row>
    <row r="746" spans="2:5">
      <c r="B746" s="4296" t="s">
        <v>6757</v>
      </c>
      <c r="C746" s="4296" t="s">
        <v>9599</v>
      </c>
      <c r="D746" s="4296" t="s">
        <v>5222</v>
      </c>
      <c r="E746" s="4297">
        <v>1</v>
      </c>
    </row>
    <row r="747" spans="2:5">
      <c r="B747" s="4296" t="s">
        <v>6759</v>
      </c>
      <c r="C747" s="4296" t="s">
        <v>9600</v>
      </c>
      <c r="D747" s="4296" t="s">
        <v>5222</v>
      </c>
      <c r="E747" s="4297">
        <v>1</v>
      </c>
    </row>
    <row r="748" spans="2:5">
      <c r="B748" s="4296" t="s">
        <v>6761</v>
      </c>
      <c r="C748" s="4296" t="s">
        <v>9004</v>
      </c>
      <c r="D748" s="4296" t="s">
        <v>4987</v>
      </c>
      <c r="E748" s="4297">
        <v>0.98392000000000013</v>
      </c>
    </row>
    <row r="749" spans="2:5">
      <c r="B749" s="4296" t="s">
        <v>6763</v>
      </c>
      <c r="C749" s="4287" t="s">
        <v>9601</v>
      </c>
      <c r="D749" s="4287" t="s">
        <v>4897</v>
      </c>
      <c r="E749" s="4297">
        <v>0.96607399999999999</v>
      </c>
    </row>
    <row r="750" spans="2:5">
      <c r="B750" s="4296" t="s">
        <v>6765</v>
      </c>
      <c r="C750" s="4296" t="s">
        <v>9602</v>
      </c>
      <c r="D750" s="4296" t="s">
        <v>5149</v>
      </c>
      <c r="E750" s="4297">
        <v>0.95904000000000011</v>
      </c>
    </row>
    <row r="751" spans="2:5">
      <c r="B751" s="4296" t="s">
        <v>6767</v>
      </c>
      <c r="C751" s="4296" t="s">
        <v>9603</v>
      </c>
      <c r="D751" s="4296" t="s">
        <v>5222</v>
      </c>
      <c r="E751" s="4297">
        <v>0.94241400000000008</v>
      </c>
    </row>
    <row r="752" spans="2:5">
      <c r="B752" s="4296" t="s">
        <v>6769</v>
      </c>
      <c r="C752" s="4287" t="s">
        <v>9604</v>
      </c>
      <c r="D752" s="4287" t="s">
        <v>4987</v>
      </c>
      <c r="E752" s="4297">
        <v>0.92357999999999996</v>
      </c>
    </row>
    <row r="753" spans="2:5">
      <c r="B753" s="4296" t="s">
        <v>6771</v>
      </c>
      <c r="C753" s="4296" t="s">
        <v>9151</v>
      </c>
      <c r="D753" s="4296" t="s">
        <v>5222</v>
      </c>
      <c r="E753" s="4297">
        <v>0.91726000000000008</v>
      </c>
    </row>
    <row r="754" spans="2:5">
      <c r="B754" s="4296" t="s">
        <v>6773</v>
      </c>
      <c r="C754" s="4296" t="s">
        <v>9005</v>
      </c>
      <c r="D754" s="4296" t="s">
        <v>4987</v>
      </c>
      <c r="E754" s="4297">
        <v>0.91447999999999996</v>
      </c>
    </row>
    <row r="755" spans="2:5">
      <c r="B755" s="4296" t="s">
        <v>6775</v>
      </c>
      <c r="C755" s="4296" t="s">
        <v>9605</v>
      </c>
      <c r="D755" s="4296" t="s">
        <v>5234</v>
      </c>
      <c r="E755" s="4297">
        <v>0.91431399999999974</v>
      </c>
    </row>
    <row r="756" spans="2:5">
      <c r="B756" s="4296" t="s">
        <v>6777</v>
      </c>
      <c r="C756" s="4296" t="s">
        <v>9147</v>
      </c>
      <c r="D756" s="4296" t="s">
        <v>4897</v>
      </c>
      <c r="E756" s="4297">
        <v>0.90410900000000005</v>
      </c>
    </row>
    <row r="757" spans="2:5">
      <c r="B757" s="4296" t="s">
        <v>6779</v>
      </c>
      <c r="C757" s="4296" t="s">
        <v>9148</v>
      </c>
      <c r="D757" s="4296" t="s">
        <v>4897</v>
      </c>
      <c r="E757" s="4297">
        <v>0.90410900000000005</v>
      </c>
    </row>
    <row r="758" spans="2:5">
      <c r="B758" s="4296" t="s">
        <v>6781</v>
      </c>
      <c r="C758" s="4296" t="s">
        <v>9149</v>
      </c>
      <c r="D758" s="4296" t="s">
        <v>5222</v>
      </c>
      <c r="E758" s="4297">
        <v>0.90410900000000005</v>
      </c>
    </row>
    <row r="759" spans="2:5">
      <c r="B759" s="4296" t="s">
        <v>6783</v>
      </c>
      <c r="C759" s="4296" t="s">
        <v>9606</v>
      </c>
      <c r="D759" s="4296" t="s">
        <v>5222</v>
      </c>
      <c r="E759" s="4297">
        <v>0.9</v>
      </c>
    </row>
    <row r="760" spans="2:5">
      <c r="B760" s="4296" t="s">
        <v>6785</v>
      </c>
      <c r="C760" s="4296" t="s">
        <v>9607</v>
      </c>
      <c r="D760" s="4296" t="s">
        <v>5222</v>
      </c>
      <c r="E760" s="4297">
        <v>0.9</v>
      </c>
    </row>
    <row r="761" spans="2:5">
      <c r="B761" s="4296" t="s">
        <v>6787</v>
      </c>
      <c r="C761" s="4296" t="s">
        <v>9608</v>
      </c>
      <c r="D761" s="4296" t="s">
        <v>4897</v>
      </c>
      <c r="E761" s="4297">
        <v>0.9</v>
      </c>
    </row>
    <row r="762" spans="2:5">
      <c r="B762" s="4296" t="s">
        <v>6789</v>
      </c>
      <c r="C762" s="4296" t="s">
        <v>9609</v>
      </c>
      <c r="D762" s="4296" t="s">
        <v>5222</v>
      </c>
      <c r="E762" s="4297">
        <v>0.9</v>
      </c>
    </row>
    <row r="763" spans="2:5">
      <c r="B763" s="4296" t="s">
        <v>6791</v>
      </c>
      <c r="C763" s="4296" t="s">
        <v>9610</v>
      </c>
      <c r="D763" s="4296" t="s">
        <v>5222</v>
      </c>
      <c r="E763" s="4297">
        <v>0.9</v>
      </c>
    </row>
    <row r="764" spans="2:5">
      <c r="B764" s="4296" t="s">
        <v>6793</v>
      </c>
      <c r="C764" s="4296" t="s">
        <v>9611</v>
      </c>
      <c r="D764" s="4296" t="s">
        <v>5222</v>
      </c>
      <c r="E764" s="4297">
        <v>0.9</v>
      </c>
    </row>
    <row r="765" spans="2:5">
      <c r="B765" s="4296" t="s">
        <v>6795</v>
      </c>
      <c r="C765" s="4296" t="s">
        <v>9612</v>
      </c>
      <c r="D765" s="4296" t="s">
        <v>5222</v>
      </c>
      <c r="E765" s="4297">
        <v>0.9</v>
      </c>
    </row>
    <row r="766" spans="2:5">
      <c r="B766" s="4296" t="s">
        <v>6797</v>
      </c>
      <c r="C766" s="4296" t="s">
        <v>9613</v>
      </c>
      <c r="D766" s="4296" t="s">
        <v>4897</v>
      </c>
      <c r="E766" s="4297">
        <v>0.89503099999999991</v>
      </c>
    </row>
    <row r="767" spans="2:5">
      <c r="B767" s="4296" t="s">
        <v>6799</v>
      </c>
      <c r="C767" s="4287" t="s">
        <v>9614</v>
      </c>
      <c r="D767" s="4287" t="s">
        <v>5222</v>
      </c>
      <c r="E767" s="4297">
        <v>0.89260300000000004</v>
      </c>
    </row>
    <row r="768" spans="2:5">
      <c r="B768" s="4296" t="s">
        <v>6801</v>
      </c>
      <c r="C768" s="4296" t="s">
        <v>9615</v>
      </c>
      <c r="D768" s="4296" t="s">
        <v>4987</v>
      </c>
      <c r="E768" s="4297">
        <v>0.88727100000000014</v>
      </c>
    </row>
    <row r="769" spans="2:5">
      <c r="B769" s="4296" t="s">
        <v>6803</v>
      </c>
      <c r="C769" s="4296" t="s">
        <v>8915</v>
      </c>
      <c r="D769" s="4296" t="s">
        <v>5222</v>
      </c>
      <c r="E769" s="4297">
        <v>0.88064500000000012</v>
      </c>
    </row>
    <row r="770" spans="2:5">
      <c r="B770" s="4296" t="s">
        <v>6805</v>
      </c>
      <c r="C770" s="4296" t="s">
        <v>9616</v>
      </c>
      <c r="D770" s="4296" t="s">
        <v>7519</v>
      </c>
      <c r="E770" s="4297">
        <v>0.88011100000000009</v>
      </c>
    </row>
    <row r="771" spans="2:5">
      <c r="B771" s="4296" t="s">
        <v>6807</v>
      </c>
      <c r="C771" s="4296" t="s">
        <v>9617</v>
      </c>
      <c r="D771" s="4296" t="s">
        <v>4897</v>
      </c>
      <c r="E771" s="4297">
        <v>0.88</v>
      </c>
    </row>
    <row r="772" spans="2:5">
      <c r="B772" s="4296" t="s">
        <v>6809</v>
      </c>
      <c r="C772" s="4296" t="s">
        <v>7150</v>
      </c>
      <c r="D772" s="4296" t="s">
        <v>4674</v>
      </c>
      <c r="E772" s="4297">
        <v>0.87524999999999997</v>
      </c>
    </row>
    <row r="773" spans="2:5">
      <c r="B773" s="4296" t="s">
        <v>6811</v>
      </c>
      <c r="C773" s="4296" t="s">
        <v>9022</v>
      </c>
      <c r="D773" s="4296" t="s">
        <v>4987</v>
      </c>
      <c r="E773" s="4297">
        <v>0.86330300000000004</v>
      </c>
    </row>
    <row r="774" spans="2:5">
      <c r="B774" s="4296" t="s">
        <v>6813</v>
      </c>
      <c r="C774" s="4296" t="s">
        <v>9618</v>
      </c>
      <c r="D774" s="4296" t="s">
        <v>4987</v>
      </c>
      <c r="E774" s="4297">
        <v>0.85682999999999998</v>
      </c>
    </row>
    <row r="775" spans="2:5">
      <c r="B775" s="4296" t="s">
        <v>6815</v>
      </c>
      <c r="C775" s="4296" t="s">
        <v>9138</v>
      </c>
      <c r="D775" s="4296" t="s">
        <v>5222</v>
      </c>
      <c r="E775" s="4297">
        <v>0.84164300000000003</v>
      </c>
    </row>
    <row r="776" spans="2:5">
      <c r="B776" s="4296" t="s">
        <v>6817</v>
      </c>
      <c r="C776" s="4296" t="s">
        <v>9165</v>
      </c>
      <c r="D776" s="4296" t="s">
        <v>5222</v>
      </c>
      <c r="E776" s="4297">
        <v>0.83152200000000009</v>
      </c>
    </row>
    <row r="777" spans="2:5">
      <c r="B777" s="4296" t="s">
        <v>6819</v>
      </c>
      <c r="C777" s="4296" t="s">
        <v>8914</v>
      </c>
      <c r="D777" s="4296" t="s">
        <v>5222</v>
      </c>
      <c r="E777" s="4297">
        <v>0.82849200000000001</v>
      </c>
    </row>
    <row r="778" spans="2:5">
      <c r="B778" s="4296" t="s">
        <v>6821</v>
      </c>
      <c r="C778" s="4296" t="s">
        <v>9619</v>
      </c>
      <c r="D778" s="4296" t="s">
        <v>4674</v>
      </c>
      <c r="E778" s="4297">
        <v>0.80623699999999998</v>
      </c>
    </row>
    <row r="779" spans="2:5">
      <c r="B779" s="4296" t="s">
        <v>6823</v>
      </c>
      <c r="C779" s="4296" t="s">
        <v>9133</v>
      </c>
      <c r="D779" s="4296" t="s">
        <v>5222</v>
      </c>
      <c r="E779" s="4297">
        <v>0.80547900000000006</v>
      </c>
    </row>
    <row r="780" spans="2:5">
      <c r="B780" s="4296" t="s">
        <v>6825</v>
      </c>
      <c r="C780" s="4296" t="s">
        <v>9620</v>
      </c>
      <c r="D780" s="4296" t="s">
        <v>4674</v>
      </c>
      <c r="E780" s="4297">
        <v>0.80391899999999994</v>
      </c>
    </row>
    <row r="781" spans="2:5">
      <c r="B781" s="4296" t="s">
        <v>6827</v>
      </c>
      <c r="C781" s="4287" t="s">
        <v>9621</v>
      </c>
      <c r="D781" s="4287" t="s">
        <v>5222</v>
      </c>
      <c r="E781" s="4297">
        <v>0.8</v>
      </c>
    </row>
    <row r="782" spans="2:5">
      <c r="B782" s="4296" t="s">
        <v>6829</v>
      </c>
      <c r="C782" s="4296" t="s">
        <v>9622</v>
      </c>
      <c r="D782" s="4296" t="s">
        <v>4897</v>
      </c>
      <c r="E782" s="4297">
        <v>0.8</v>
      </c>
    </row>
    <row r="783" spans="2:5">
      <c r="B783" s="4296" t="s">
        <v>6831</v>
      </c>
      <c r="C783" s="4296" t="s">
        <v>9623</v>
      </c>
      <c r="D783" s="4296" t="s">
        <v>4897</v>
      </c>
      <c r="E783" s="4297">
        <v>0.8</v>
      </c>
    </row>
    <row r="784" spans="2:5">
      <c r="B784" s="4296" t="s">
        <v>6833</v>
      </c>
      <c r="C784" s="4296" t="s">
        <v>9624</v>
      </c>
      <c r="D784" s="4296" t="s">
        <v>5222</v>
      </c>
      <c r="E784" s="4297">
        <v>0.79890499999999998</v>
      </c>
    </row>
    <row r="785" spans="2:5">
      <c r="B785" s="4296" t="s">
        <v>6835</v>
      </c>
      <c r="C785" s="4296" t="s">
        <v>9625</v>
      </c>
      <c r="D785" s="4296" t="s">
        <v>5222</v>
      </c>
      <c r="E785" s="4297">
        <v>0.79890499999999998</v>
      </c>
    </row>
    <row r="786" spans="2:5">
      <c r="B786" s="4296" t="s">
        <v>6837</v>
      </c>
      <c r="C786" s="4296" t="s">
        <v>9626</v>
      </c>
      <c r="D786" s="4296" t="s">
        <v>5753</v>
      </c>
      <c r="E786" s="4297">
        <v>0.79890499999999998</v>
      </c>
    </row>
    <row r="787" spans="2:5">
      <c r="B787" s="4296" t="s">
        <v>6839</v>
      </c>
      <c r="C787" s="4296" t="s">
        <v>9627</v>
      </c>
      <c r="D787" s="4296" t="s">
        <v>4897</v>
      </c>
      <c r="E787" s="4297">
        <v>0.782609</v>
      </c>
    </row>
    <row r="788" spans="2:5">
      <c r="B788" s="4296" t="s">
        <v>6841</v>
      </c>
      <c r="C788" s="4296" t="s">
        <v>9628</v>
      </c>
      <c r="D788" s="4296" t="s">
        <v>5234</v>
      </c>
      <c r="E788" s="4297">
        <v>0.77962500000000001</v>
      </c>
    </row>
    <row r="789" spans="2:5">
      <c r="B789" s="4296" t="s">
        <v>6843</v>
      </c>
      <c r="C789" s="4296" t="s">
        <v>9629</v>
      </c>
      <c r="D789" s="4296" t="s">
        <v>5149</v>
      </c>
      <c r="E789" s="4297">
        <v>0.76680000000000004</v>
      </c>
    </row>
    <row r="790" spans="2:5">
      <c r="B790" s="4296" t="s">
        <v>6845</v>
      </c>
      <c r="C790" s="4296" t="s">
        <v>9630</v>
      </c>
      <c r="D790" s="4296" t="s">
        <v>4987</v>
      </c>
      <c r="E790" s="4297">
        <v>0.7661610000000002</v>
      </c>
    </row>
    <row r="791" spans="2:5">
      <c r="B791" s="4296" t="s">
        <v>6847</v>
      </c>
      <c r="C791" s="4296" t="s">
        <v>9631</v>
      </c>
      <c r="D791" s="4296" t="s">
        <v>4987</v>
      </c>
      <c r="E791" s="4297">
        <v>0.76167000000000007</v>
      </c>
    </row>
    <row r="792" spans="2:5">
      <c r="B792" s="4296" t="s">
        <v>6849</v>
      </c>
      <c r="C792" s="4296" t="s">
        <v>9134</v>
      </c>
      <c r="D792" s="4296" t="s">
        <v>4987</v>
      </c>
      <c r="E792" s="4297">
        <v>0.75823999999999991</v>
      </c>
    </row>
    <row r="793" spans="2:5">
      <c r="B793" s="4296" t="s">
        <v>6851</v>
      </c>
      <c r="C793" s="4296" t="s">
        <v>9632</v>
      </c>
      <c r="D793" s="4296" t="s">
        <v>5234</v>
      </c>
      <c r="E793" s="4297">
        <v>0.73453500000000016</v>
      </c>
    </row>
    <row r="794" spans="2:5">
      <c r="B794" s="4296" t="s">
        <v>6853</v>
      </c>
      <c r="C794" s="4296" t="s">
        <v>9132</v>
      </c>
      <c r="D794" s="4296" t="s">
        <v>5222</v>
      </c>
      <c r="E794" s="4297">
        <v>0.70478999999999992</v>
      </c>
    </row>
    <row r="795" spans="2:5">
      <c r="B795" s="4296" t="s">
        <v>6855</v>
      </c>
      <c r="C795" s="4296" t="s">
        <v>9633</v>
      </c>
      <c r="D795" s="4296" t="s">
        <v>5222</v>
      </c>
      <c r="E795" s="4297">
        <v>0.7</v>
      </c>
    </row>
    <row r="796" spans="2:5">
      <c r="B796" s="4296" t="s">
        <v>6857</v>
      </c>
      <c r="C796" s="4296" t="s">
        <v>9634</v>
      </c>
      <c r="D796" s="4296" t="s">
        <v>5222</v>
      </c>
      <c r="E796" s="4297">
        <v>0.7</v>
      </c>
    </row>
    <row r="797" spans="2:5">
      <c r="B797" s="4296" t="s">
        <v>6859</v>
      </c>
      <c r="C797" s="4296" t="s">
        <v>9635</v>
      </c>
      <c r="D797" s="4296" t="s">
        <v>4897</v>
      </c>
      <c r="E797" s="4297">
        <v>0.7</v>
      </c>
    </row>
    <row r="798" spans="2:5">
      <c r="B798" s="4296" t="s">
        <v>6861</v>
      </c>
      <c r="C798" s="4296" t="s">
        <v>8828</v>
      </c>
      <c r="D798" s="4296" t="s">
        <v>4897</v>
      </c>
      <c r="E798" s="4297">
        <v>0.66666700000000001</v>
      </c>
    </row>
    <row r="799" spans="2:5">
      <c r="B799" s="4296" t="s">
        <v>6863</v>
      </c>
      <c r="C799" s="4296" t="s">
        <v>9636</v>
      </c>
      <c r="D799" s="4296" t="s">
        <v>4987</v>
      </c>
      <c r="E799" s="4297">
        <v>0.64232999999999996</v>
      </c>
    </row>
    <row r="800" spans="2:5">
      <c r="B800" s="4296" t="s">
        <v>6865</v>
      </c>
      <c r="C800" s="4296" t="s">
        <v>9021</v>
      </c>
      <c r="D800" s="4296" t="s">
        <v>4987</v>
      </c>
      <c r="E800" s="4297">
        <v>0.64140999999999992</v>
      </c>
    </row>
    <row r="801" spans="2:5">
      <c r="B801" s="4296" t="s">
        <v>6867</v>
      </c>
      <c r="C801" s="4296" t="s">
        <v>9637</v>
      </c>
      <c r="D801" s="4296" t="s">
        <v>5222</v>
      </c>
      <c r="E801" s="4297">
        <v>0.63</v>
      </c>
    </row>
    <row r="802" spans="2:5">
      <c r="B802" s="4296" t="s">
        <v>6869</v>
      </c>
      <c r="C802" s="4287" t="s">
        <v>9638</v>
      </c>
      <c r="D802" s="4287" t="s">
        <v>4897</v>
      </c>
      <c r="E802" s="4297">
        <v>0.63</v>
      </c>
    </row>
    <row r="803" spans="2:5">
      <c r="B803" s="4296" t="s">
        <v>6871</v>
      </c>
      <c r="C803" s="4296" t="s">
        <v>9110</v>
      </c>
      <c r="D803" s="4296" t="s">
        <v>5222</v>
      </c>
      <c r="E803" s="4297">
        <v>0.60493200000000003</v>
      </c>
    </row>
    <row r="804" spans="2:5">
      <c r="B804" s="4296" t="s">
        <v>6873</v>
      </c>
      <c r="C804" s="4296" t="s">
        <v>9150</v>
      </c>
      <c r="D804" s="4296" t="s">
        <v>4897</v>
      </c>
      <c r="E804" s="4297">
        <v>0.604379</v>
      </c>
    </row>
    <row r="805" spans="2:5">
      <c r="B805" s="4296" t="s">
        <v>6875</v>
      </c>
      <c r="C805" s="4296" t="s">
        <v>9639</v>
      </c>
      <c r="D805" s="4296" t="s">
        <v>5222</v>
      </c>
      <c r="E805" s="4297">
        <v>0.6</v>
      </c>
    </row>
    <row r="806" spans="2:5">
      <c r="B806" s="4296" t="s">
        <v>6877</v>
      </c>
      <c r="C806" s="4296" t="s">
        <v>9640</v>
      </c>
      <c r="D806" s="4296" t="s">
        <v>5222</v>
      </c>
      <c r="E806" s="4297">
        <v>0.6</v>
      </c>
    </row>
    <row r="807" spans="2:5">
      <c r="B807" s="4296" t="s">
        <v>6879</v>
      </c>
      <c r="C807" s="4287" t="s">
        <v>9641</v>
      </c>
      <c r="D807" s="4287" t="s">
        <v>5222</v>
      </c>
      <c r="E807" s="4297">
        <v>0.6</v>
      </c>
    </row>
    <row r="808" spans="2:5">
      <c r="B808" s="4296" t="s">
        <v>6881</v>
      </c>
      <c r="C808" s="4296" t="s">
        <v>9642</v>
      </c>
      <c r="D808" s="4296" t="s">
        <v>5222</v>
      </c>
      <c r="E808" s="4297">
        <v>0.6</v>
      </c>
    </row>
    <row r="809" spans="2:5">
      <c r="B809" s="4296" t="s">
        <v>6883</v>
      </c>
      <c r="C809" s="4296" t="s">
        <v>9643</v>
      </c>
      <c r="D809" s="4296" t="s">
        <v>5222</v>
      </c>
      <c r="E809" s="4297">
        <v>0.6</v>
      </c>
    </row>
    <row r="810" spans="2:5">
      <c r="B810" s="4296" t="s">
        <v>6885</v>
      </c>
      <c r="C810" s="4296" t="s">
        <v>9644</v>
      </c>
      <c r="D810" s="4296" t="s">
        <v>5222</v>
      </c>
      <c r="E810" s="4297">
        <v>0.6</v>
      </c>
    </row>
    <row r="811" spans="2:5">
      <c r="B811" s="4296" t="s">
        <v>6887</v>
      </c>
      <c r="C811" s="4296" t="s">
        <v>9645</v>
      </c>
      <c r="D811" s="4296" t="s">
        <v>4674</v>
      </c>
      <c r="E811" s="4297">
        <v>0.59826599999999996</v>
      </c>
    </row>
    <row r="812" spans="2:5">
      <c r="B812" s="4296" t="s">
        <v>6889</v>
      </c>
      <c r="C812" s="4296" t="s">
        <v>9646</v>
      </c>
      <c r="D812" s="4296" t="s">
        <v>4987</v>
      </c>
      <c r="E812" s="4297">
        <v>0.59436</v>
      </c>
    </row>
    <row r="813" spans="2:5">
      <c r="B813" s="4296" t="s">
        <v>6891</v>
      </c>
      <c r="C813" s="4296" t="s">
        <v>9043</v>
      </c>
      <c r="D813" s="4296" t="s">
        <v>5222</v>
      </c>
      <c r="E813" s="4297">
        <v>0.58191800000000005</v>
      </c>
    </row>
    <row r="814" spans="2:5">
      <c r="B814" s="4296" t="s">
        <v>6893</v>
      </c>
      <c r="C814" s="4287" t="s">
        <v>9128</v>
      </c>
      <c r="D814" s="4287" t="s">
        <v>5222</v>
      </c>
      <c r="E814" s="4297">
        <v>0.55445600000000017</v>
      </c>
    </row>
    <row r="815" spans="2:5">
      <c r="B815" s="4296" t="s">
        <v>6895</v>
      </c>
      <c r="C815" s="4296" t="s">
        <v>9162</v>
      </c>
      <c r="D815" s="4296" t="s">
        <v>5222</v>
      </c>
      <c r="E815" s="4297">
        <v>0.54246499999999997</v>
      </c>
    </row>
    <row r="816" spans="2:5">
      <c r="B816" s="4296" t="s">
        <v>6897</v>
      </c>
      <c r="C816" s="4287" t="s">
        <v>9647</v>
      </c>
      <c r="D816" s="4287" t="s">
        <v>5222</v>
      </c>
      <c r="E816" s="4297">
        <v>0.52200000000000002</v>
      </c>
    </row>
    <row r="817" spans="2:5">
      <c r="B817" s="4296" t="s">
        <v>6899</v>
      </c>
      <c r="C817" s="4296" t="s">
        <v>8772</v>
      </c>
      <c r="D817" s="4296" t="s">
        <v>4674</v>
      </c>
      <c r="E817" s="4297">
        <v>0.509903</v>
      </c>
    </row>
    <row r="818" spans="2:5">
      <c r="B818" s="4296" t="s">
        <v>6901</v>
      </c>
      <c r="C818" s="4296" t="s">
        <v>9648</v>
      </c>
      <c r="D818" s="4296" t="s">
        <v>5222</v>
      </c>
      <c r="E818" s="4297">
        <v>0.50819599999999998</v>
      </c>
    </row>
    <row r="819" spans="2:5">
      <c r="B819" s="4296" t="s">
        <v>6903</v>
      </c>
      <c r="C819" s="4296" t="s">
        <v>8924</v>
      </c>
      <c r="D819" s="4296" t="s">
        <v>4897</v>
      </c>
      <c r="E819" s="4297">
        <v>0.50163899999999995</v>
      </c>
    </row>
    <row r="820" spans="2:5">
      <c r="B820" s="4296" t="s">
        <v>6905</v>
      </c>
      <c r="C820" s="4296" t="s">
        <v>9649</v>
      </c>
      <c r="D820" s="4296" t="s">
        <v>5222</v>
      </c>
      <c r="E820" s="4297">
        <v>0.5</v>
      </c>
    </row>
    <row r="821" spans="2:5">
      <c r="B821" s="4296" t="s">
        <v>6907</v>
      </c>
      <c r="C821" s="4296" t="s">
        <v>9650</v>
      </c>
      <c r="D821" s="4296" t="s">
        <v>5222</v>
      </c>
      <c r="E821" s="4297">
        <v>0.5</v>
      </c>
    </row>
    <row r="822" spans="2:5">
      <c r="B822" s="4296" t="s">
        <v>6909</v>
      </c>
      <c r="C822" s="4296" t="s">
        <v>9651</v>
      </c>
      <c r="D822" s="4296" t="s">
        <v>5222</v>
      </c>
      <c r="E822" s="4297">
        <v>0.5</v>
      </c>
    </row>
    <row r="823" spans="2:5">
      <c r="B823" s="4296" t="s">
        <v>6911</v>
      </c>
      <c r="C823" s="4296" t="s">
        <v>9652</v>
      </c>
      <c r="D823" s="4296" t="s">
        <v>5222</v>
      </c>
      <c r="E823" s="4297">
        <v>0.5</v>
      </c>
    </row>
    <row r="824" spans="2:5">
      <c r="B824" s="4296" t="s">
        <v>6913</v>
      </c>
      <c r="C824" s="4296" t="s">
        <v>9653</v>
      </c>
      <c r="D824" s="4296" t="s">
        <v>5753</v>
      </c>
      <c r="E824" s="4297">
        <v>0.5</v>
      </c>
    </row>
    <row r="825" spans="2:5">
      <c r="B825" s="4296" t="s">
        <v>6915</v>
      </c>
      <c r="C825" s="4296" t="s">
        <v>9654</v>
      </c>
      <c r="D825" s="4296" t="s">
        <v>5222</v>
      </c>
      <c r="E825" s="4297">
        <v>0.5</v>
      </c>
    </row>
    <row r="826" spans="2:5">
      <c r="B826" s="4296" t="s">
        <v>6917</v>
      </c>
      <c r="C826" s="4296" t="s">
        <v>9655</v>
      </c>
      <c r="D826" s="4296" t="s">
        <v>5222</v>
      </c>
      <c r="E826" s="4297">
        <v>0.5</v>
      </c>
    </row>
    <row r="827" spans="2:5">
      <c r="B827" s="4296" t="s">
        <v>6919</v>
      </c>
      <c r="C827" s="4296" t="s">
        <v>9656</v>
      </c>
      <c r="D827" s="4296" t="s">
        <v>5222</v>
      </c>
      <c r="E827" s="4297">
        <v>0.5</v>
      </c>
    </row>
    <row r="828" spans="2:5">
      <c r="B828" s="4296" t="s">
        <v>6921</v>
      </c>
      <c r="C828" s="4296" t="s">
        <v>9657</v>
      </c>
      <c r="D828" s="4296" t="s">
        <v>5222</v>
      </c>
      <c r="E828" s="4297">
        <v>0.5</v>
      </c>
    </row>
    <row r="829" spans="2:5">
      <c r="B829" s="4296" t="s">
        <v>6923</v>
      </c>
      <c r="C829" s="4296" t="s">
        <v>9658</v>
      </c>
      <c r="D829" s="4296" t="s">
        <v>5222</v>
      </c>
      <c r="E829" s="4297">
        <v>0.5</v>
      </c>
    </row>
    <row r="830" spans="2:5">
      <c r="B830" s="4296" t="s">
        <v>6925</v>
      </c>
      <c r="C830" s="4296" t="s">
        <v>9659</v>
      </c>
      <c r="D830" s="4296" t="s">
        <v>5222</v>
      </c>
      <c r="E830" s="4297">
        <v>0.5</v>
      </c>
    </row>
    <row r="831" spans="2:5">
      <c r="B831" s="4296" t="s">
        <v>6927</v>
      </c>
      <c r="C831" s="4296" t="s">
        <v>9116</v>
      </c>
      <c r="D831" s="4296" t="s">
        <v>5222</v>
      </c>
      <c r="E831" s="4297">
        <v>0.5</v>
      </c>
    </row>
    <row r="832" spans="2:5">
      <c r="B832" s="4296" t="s">
        <v>6929</v>
      </c>
      <c r="C832" s="4296" t="s">
        <v>8965</v>
      </c>
      <c r="D832" s="4296" t="s">
        <v>5222</v>
      </c>
      <c r="E832" s="4297">
        <v>0.5</v>
      </c>
    </row>
    <row r="833" spans="2:5">
      <c r="B833" s="4296" t="s">
        <v>6931</v>
      </c>
      <c r="C833" s="4296" t="s">
        <v>9164</v>
      </c>
      <c r="D833" s="4296" t="s">
        <v>5222</v>
      </c>
      <c r="E833" s="4297">
        <v>0.49450500000000003</v>
      </c>
    </row>
    <row r="834" spans="2:5">
      <c r="B834" s="4296" t="s">
        <v>6933</v>
      </c>
      <c r="C834" s="4296" t="s">
        <v>8967</v>
      </c>
      <c r="D834" s="4296" t="s">
        <v>4987</v>
      </c>
      <c r="E834" s="4297">
        <v>0.49196000000000006</v>
      </c>
    </row>
    <row r="835" spans="2:5">
      <c r="B835" s="4296" t="s">
        <v>6935</v>
      </c>
      <c r="C835" s="4287" t="s">
        <v>9660</v>
      </c>
      <c r="D835" s="4287" t="s">
        <v>7519</v>
      </c>
      <c r="E835" s="4297">
        <v>0.48913100000000004</v>
      </c>
    </row>
    <row r="836" spans="2:5">
      <c r="B836" s="4296" t="s">
        <v>6937</v>
      </c>
      <c r="C836" s="4296" t="s">
        <v>9661</v>
      </c>
      <c r="D836" s="4296" t="s">
        <v>5149</v>
      </c>
      <c r="E836" s="4297">
        <v>0.48807</v>
      </c>
    </row>
    <row r="837" spans="2:5">
      <c r="B837" s="4296" t="s">
        <v>6939</v>
      </c>
      <c r="C837" s="4296" t="s">
        <v>9662</v>
      </c>
      <c r="D837" s="4296" t="s">
        <v>4987</v>
      </c>
      <c r="E837" s="4297">
        <v>0.48692099999999999</v>
      </c>
    </row>
    <row r="838" spans="2:5">
      <c r="B838" s="4296" t="s">
        <v>6941</v>
      </c>
      <c r="C838" s="4296" t="s">
        <v>9663</v>
      </c>
      <c r="D838" s="4296" t="s">
        <v>5222</v>
      </c>
      <c r="E838" s="4297">
        <v>0.48</v>
      </c>
    </row>
    <row r="839" spans="2:5">
      <c r="B839" s="4296" t="s">
        <v>6943</v>
      </c>
      <c r="C839" s="4296" t="s">
        <v>9664</v>
      </c>
      <c r="D839" s="4296" t="s">
        <v>4987</v>
      </c>
      <c r="E839" s="4297">
        <v>0.47294599999999998</v>
      </c>
    </row>
    <row r="840" spans="2:5">
      <c r="B840" s="4296" t="s">
        <v>6945</v>
      </c>
      <c r="C840" s="4296" t="s">
        <v>9665</v>
      </c>
      <c r="D840" s="4296" t="s">
        <v>4987</v>
      </c>
      <c r="E840" s="4297">
        <v>0.45723099999999994</v>
      </c>
    </row>
    <row r="841" spans="2:5">
      <c r="B841" s="4296" t="s">
        <v>6947</v>
      </c>
      <c r="C841" s="4287" t="s">
        <v>9039</v>
      </c>
      <c r="D841" s="4287" t="s">
        <v>5222</v>
      </c>
      <c r="E841" s="4297">
        <v>0.45369900000000007</v>
      </c>
    </row>
    <row r="842" spans="2:5">
      <c r="B842" s="4296" t="s">
        <v>6949</v>
      </c>
      <c r="C842" s="4296" t="s">
        <v>9666</v>
      </c>
      <c r="D842" s="4296" t="s">
        <v>4674</v>
      </c>
      <c r="E842" s="4297">
        <v>0.45278699999999983</v>
      </c>
    </row>
    <row r="843" spans="2:5">
      <c r="B843" s="4296" t="s">
        <v>6951</v>
      </c>
      <c r="C843" s="4296" t="s">
        <v>9163</v>
      </c>
      <c r="D843" s="4296" t="s">
        <v>5222</v>
      </c>
      <c r="E843" s="4297">
        <v>0.45205500000000004</v>
      </c>
    </row>
    <row r="844" spans="2:5">
      <c r="B844" s="4296" t="s">
        <v>6953</v>
      </c>
      <c r="C844" s="4296" t="s">
        <v>9667</v>
      </c>
      <c r="D844" s="4296" t="s">
        <v>5222</v>
      </c>
      <c r="E844" s="4297">
        <v>0.45</v>
      </c>
    </row>
    <row r="845" spans="2:5">
      <c r="B845" s="4296" t="s">
        <v>6955</v>
      </c>
      <c r="C845" s="4296" t="s">
        <v>9668</v>
      </c>
      <c r="D845" s="4296" t="s">
        <v>4897</v>
      </c>
      <c r="E845" s="4297">
        <v>0.45</v>
      </c>
    </row>
    <row r="846" spans="2:5">
      <c r="B846" s="4296" t="s">
        <v>6957</v>
      </c>
      <c r="C846" s="4296" t="s">
        <v>9669</v>
      </c>
      <c r="D846" s="4296" t="s">
        <v>4897</v>
      </c>
      <c r="E846" s="4297">
        <v>0.45</v>
      </c>
    </row>
    <row r="847" spans="2:5">
      <c r="B847" s="4296" t="s">
        <v>6959</v>
      </c>
      <c r="C847" s="4296" t="s">
        <v>9670</v>
      </c>
      <c r="D847" s="4296" t="s">
        <v>7519</v>
      </c>
      <c r="E847" s="4297">
        <v>0.42410900000000001</v>
      </c>
    </row>
    <row r="848" spans="2:5">
      <c r="B848" s="4296" t="s">
        <v>6961</v>
      </c>
      <c r="C848" s="4296" t="s">
        <v>9671</v>
      </c>
      <c r="D848" s="4296" t="s">
        <v>4674</v>
      </c>
      <c r="E848" s="4297">
        <v>0.41808699999999999</v>
      </c>
    </row>
    <row r="849" spans="2:5">
      <c r="B849" s="4296" t="s">
        <v>6963</v>
      </c>
      <c r="C849" s="4296" t="s">
        <v>9160</v>
      </c>
      <c r="D849" s="4296" t="s">
        <v>5222</v>
      </c>
      <c r="E849" s="4297">
        <v>0.41260300000000005</v>
      </c>
    </row>
    <row r="850" spans="2:5">
      <c r="B850" s="4296" t="s">
        <v>6965</v>
      </c>
      <c r="C850" s="4296" t="s">
        <v>8917</v>
      </c>
      <c r="D850" s="4296" t="s">
        <v>4987</v>
      </c>
      <c r="E850" s="4297">
        <v>0.41010699999999994</v>
      </c>
    </row>
    <row r="851" spans="2:5">
      <c r="B851" s="4296" t="s">
        <v>6967</v>
      </c>
      <c r="C851" s="4296" t="s">
        <v>9672</v>
      </c>
      <c r="D851" s="4296" t="s">
        <v>5222</v>
      </c>
      <c r="E851" s="4297">
        <v>0.4083</v>
      </c>
    </row>
    <row r="852" spans="2:5">
      <c r="B852" s="4296" t="s">
        <v>6969</v>
      </c>
      <c r="C852" s="4296" t="s">
        <v>9082</v>
      </c>
      <c r="D852" s="4296" t="s">
        <v>5222</v>
      </c>
      <c r="E852" s="4297">
        <v>0.40109600000000001</v>
      </c>
    </row>
    <row r="853" spans="2:5">
      <c r="B853" s="4296" t="s">
        <v>6971</v>
      </c>
      <c r="C853" s="4296" t="s">
        <v>9673</v>
      </c>
      <c r="D853" s="4296" t="s">
        <v>5753</v>
      </c>
      <c r="E853" s="4297">
        <v>0.4</v>
      </c>
    </row>
    <row r="854" spans="2:5">
      <c r="B854" s="4296" t="s">
        <v>6973</v>
      </c>
      <c r="C854" s="4296" t="s">
        <v>9674</v>
      </c>
      <c r="D854" s="4296" t="s">
        <v>5222</v>
      </c>
      <c r="E854" s="4297">
        <v>0.4</v>
      </c>
    </row>
    <row r="855" spans="2:5">
      <c r="B855" s="4296" t="s">
        <v>6975</v>
      </c>
      <c r="C855" s="4296" t="s">
        <v>9675</v>
      </c>
      <c r="D855" s="4296" t="s">
        <v>5753</v>
      </c>
      <c r="E855" s="4297">
        <v>0.39619599999999999</v>
      </c>
    </row>
    <row r="856" spans="2:5">
      <c r="B856" s="4296" t="s">
        <v>6977</v>
      </c>
      <c r="C856" s="4296" t="s">
        <v>8889</v>
      </c>
      <c r="D856" s="4296" t="s">
        <v>4987</v>
      </c>
      <c r="E856" s="4297">
        <v>0.39200000000000002</v>
      </c>
    </row>
    <row r="857" spans="2:5">
      <c r="B857" s="4296" t="s">
        <v>6979</v>
      </c>
      <c r="C857" s="4296" t="s">
        <v>8893</v>
      </c>
      <c r="D857" s="4296" t="s">
        <v>4987</v>
      </c>
      <c r="E857" s="4297">
        <v>0.37701999999999997</v>
      </c>
    </row>
    <row r="858" spans="2:5">
      <c r="B858" s="4296" t="s">
        <v>6981</v>
      </c>
      <c r="C858" s="4296" t="s">
        <v>8899</v>
      </c>
      <c r="D858" s="4296" t="s">
        <v>4674</v>
      </c>
      <c r="E858" s="4297">
        <v>0.376</v>
      </c>
    </row>
    <row r="859" spans="2:5">
      <c r="B859" s="4296" t="s">
        <v>6983</v>
      </c>
      <c r="C859" s="4287" t="s">
        <v>9676</v>
      </c>
      <c r="D859" s="4287" t="s">
        <v>5753</v>
      </c>
      <c r="E859" s="4297">
        <v>0.36</v>
      </c>
    </row>
    <row r="860" spans="2:5">
      <c r="B860" s="4296" t="s">
        <v>6985</v>
      </c>
      <c r="C860" s="4296" t="s">
        <v>8784</v>
      </c>
      <c r="D860" s="4296" t="s">
        <v>5753</v>
      </c>
      <c r="E860" s="4297">
        <v>0.35483899999999996</v>
      </c>
    </row>
    <row r="861" spans="2:5">
      <c r="B861" s="4296" t="s">
        <v>6987</v>
      </c>
      <c r="C861" s="4296" t="s">
        <v>9096</v>
      </c>
      <c r="D861" s="4296" t="s">
        <v>5222</v>
      </c>
      <c r="E861" s="4297">
        <v>0.32087599999999999</v>
      </c>
    </row>
    <row r="862" spans="2:5">
      <c r="B862" s="4296" t="s">
        <v>6989</v>
      </c>
      <c r="C862" s="4296" t="s">
        <v>9677</v>
      </c>
      <c r="D862" s="4296" t="s">
        <v>4897</v>
      </c>
      <c r="E862" s="4297">
        <v>0.32</v>
      </c>
    </row>
    <row r="863" spans="2:5">
      <c r="B863" s="4296" t="s">
        <v>6991</v>
      </c>
      <c r="C863" s="4296" t="s">
        <v>9112</v>
      </c>
      <c r="D863" s="4296" t="s">
        <v>5222</v>
      </c>
      <c r="E863" s="4297">
        <v>0.31</v>
      </c>
    </row>
    <row r="864" spans="2:5">
      <c r="B864" s="4296" t="s">
        <v>6993</v>
      </c>
      <c r="C864" s="4296" t="s">
        <v>9678</v>
      </c>
      <c r="D864" s="4296" t="s">
        <v>5222</v>
      </c>
      <c r="E864" s="4297">
        <v>0.30806500000000003</v>
      </c>
    </row>
    <row r="865" spans="2:5">
      <c r="B865" s="4296" t="s">
        <v>6995</v>
      </c>
      <c r="C865" s="4296" t="s">
        <v>9109</v>
      </c>
      <c r="D865" s="4296" t="s">
        <v>5222</v>
      </c>
      <c r="E865" s="4297">
        <v>0.30331400000000003</v>
      </c>
    </row>
    <row r="866" spans="2:5">
      <c r="B866" s="4296" t="s">
        <v>6997</v>
      </c>
      <c r="C866" s="4296" t="s">
        <v>9679</v>
      </c>
      <c r="D866" s="4296" t="s">
        <v>4897</v>
      </c>
      <c r="E866" s="4297">
        <v>0.3</v>
      </c>
    </row>
    <row r="867" spans="2:5">
      <c r="B867" s="4296" t="s">
        <v>6999</v>
      </c>
      <c r="C867" s="4296" t="s">
        <v>9680</v>
      </c>
      <c r="D867" s="4296" t="s">
        <v>5222</v>
      </c>
      <c r="E867" s="4297">
        <v>0.3</v>
      </c>
    </row>
    <row r="868" spans="2:5">
      <c r="B868" s="4296" t="s">
        <v>7001</v>
      </c>
      <c r="C868" s="4296" t="s">
        <v>9681</v>
      </c>
      <c r="D868" s="4296" t="s">
        <v>5222</v>
      </c>
      <c r="E868" s="4297">
        <v>0.3</v>
      </c>
    </row>
    <row r="869" spans="2:5">
      <c r="B869" s="4296" t="s">
        <v>7003</v>
      </c>
      <c r="C869" s="4296" t="s">
        <v>9682</v>
      </c>
      <c r="D869" s="4296" t="s">
        <v>5222</v>
      </c>
      <c r="E869" s="4297">
        <v>0.3</v>
      </c>
    </row>
    <row r="870" spans="2:5">
      <c r="B870" s="4296" t="s">
        <v>7005</v>
      </c>
      <c r="C870" s="4296" t="s">
        <v>9683</v>
      </c>
      <c r="D870" s="4296" t="s">
        <v>5222</v>
      </c>
      <c r="E870" s="4297">
        <v>0.3</v>
      </c>
    </row>
    <row r="871" spans="2:5">
      <c r="B871" s="4296" t="s">
        <v>7007</v>
      </c>
      <c r="C871" s="4296" t="s">
        <v>9684</v>
      </c>
      <c r="D871" s="4296" t="s">
        <v>5222</v>
      </c>
      <c r="E871" s="4297">
        <v>0.3</v>
      </c>
    </row>
    <row r="872" spans="2:5">
      <c r="B872" s="4296" t="s">
        <v>7009</v>
      </c>
      <c r="C872" s="4296" t="s">
        <v>9685</v>
      </c>
      <c r="D872" s="4296" t="s">
        <v>5222</v>
      </c>
      <c r="E872" s="4297">
        <v>0.3</v>
      </c>
    </row>
    <row r="873" spans="2:5">
      <c r="B873" s="4296" t="s">
        <v>7011</v>
      </c>
      <c r="C873" s="4296" t="s">
        <v>9686</v>
      </c>
      <c r="D873" s="4296" t="s">
        <v>5222</v>
      </c>
      <c r="E873" s="4297">
        <v>0.3</v>
      </c>
    </row>
    <row r="874" spans="2:5">
      <c r="B874" s="4296" t="s">
        <v>7013</v>
      </c>
      <c r="C874" s="4296" t="s">
        <v>9687</v>
      </c>
      <c r="D874" s="4296" t="s">
        <v>5222</v>
      </c>
      <c r="E874" s="4297">
        <v>0.3</v>
      </c>
    </row>
    <row r="875" spans="2:5">
      <c r="B875" s="4296" t="s">
        <v>7015</v>
      </c>
      <c r="C875" s="4296" t="s">
        <v>9688</v>
      </c>
      <c r="D875" s="4296" t="s">
        <v>5222</v>
      </c>
      <c r="E875" s="4297">
        <v>0.3</v>
      </c>
    </row>
    <row r="876" spans="2:5">
      <c r="B876" s="4296" t="s">
        <v>7017</v>
      </c>
      <c r="C876" s="4296" t="s">
        <v>9689</v>
      </c>
      <c r="D876" s="4296" t="s">
        <v>4897</v>
      </c>
      <c r="E876" s="4297">
        <v>0.3</v>
      </c>
    </row>
    <row r="877" spans="2:5">
      <c r="B877" s="4296" t="s">
        <v>7562</v>
      </c>
      <c r="C877" s="4296" t="s">
        <v>9095</v>
      </c>
      <c r="D877" s="4296" t="s">
        <v>5222</v>
      </c>
      <c r="E877" s="4297">
        <v>0.29599999999999999</v>
      </c>
    </row>
    <row r="878" spans="2:5">
      <c r="B878" s="4296" t="s">
        <v>7563</v>
      </c>
      <c r="C878" s="4296" t="s">
        <v>9159</v>
      </c>
      <c r="D878" s="4296" t="s">
        <v>5234</v>
      </c>
      <c r="E878" s="4297">
        <v>0.29416999999999993</v>
      </c>
    </row>
    <row r="879" spans="2:5">
      <c r="B879" s="4296" t="s">
        <v>7565</v>
      </c>
      <c r="C879" s="4296" t="s">
        <v>9129</v>
      </c>
      <c r="D879" s="4296" t="s">
        <v>4987</v>
      </c>
      <c r="E879" s="4297">
        <v>0.29402999999999996</v>
      </c>
    </row>
    <row r="880" spans="2:5">
      <c r="B880" s="4296" t="s">
        <v>7567</v>
      </c>
      <c r="C880" s="4296" t="s">
        <v>9089</v>
      </c>
      <c r="D880" s="4296" t="s">
        <v>5222</v>
      </c>
      <c r="E880" s="4297">
        <v>0.27419399999999999</v>
      </c>
    </row>
    <row r="881" spans="2:5">
      <c r="B881" s="4296" t="s">
        <v>7568</v>
      </c>
      <c r="C881" s="4296" t="s">
        <v>9690</v>
      </c>
      <c r="D881" s="4296" t="s">
        <v>7519</v>
      </c>
      <c r="E881" s="4297">
        <v>0.26818199999999998</v>
      </c>
    </row>
    <row r="882" spans="2:5">
      <c r="B882" s="4296" t="s">
        <v>7570</v>
      </c>
      <c r="C882" s="4296" t="s">
        <v>9691</v>
      </c>
      <c r="D882" s="4296" t="s">
        <v>6044</v>
      </c>
      <c r="E882" s="4297">
        <v>0.26706499999999994</v>
      </c>
    </row>
    <row r="883" spans="2:5">
      <c r="B883" s="4296" t="s">
        <v>7572</v>
      </c>
      <c r="C883" s="4296" t="s">
        <v>9140</v>
      </c>
      <c r="D883" s="4296" t="s">
        <v>5222</v>
      </c>
      <c r="E883" s="4297">
        <v>0.25150700000000004</v>
      </c>
    </row>
    <row r="884" spans="2:5">
      <c r="B884" s="4296" t="s">
        <v>7574</v>
      </c>
      <c r="C884" s="4296" t="s">
        <v>9692</v>
      </c>
      <c r="D884" s="4296" t="s">
        <v>4674</v>
      </c>
      <c r="E884" s="4297">
        <v>0.25150600000000001</v>
      </c>
    </row>
    <row r="885" spans="2:5">
      <c r="B885" s="4296" t="s">
        <v>7575</v>
      </c>
      <c r="C885" s="4296" t="s">
        <v>8984</v>
      </c>
      <c r="D885" s="4296" t="s">
        <v>5149</v>
      </c>
      <c r="E885" s="4297">
        <v>0.22144499999999998</v>
      </c>
    </row>
    <row r="886" spans="2:5">
      <c r="B886" s="4296" t="s">
        <v>7577</v>
      </c>
      <c r="C886" s="4296" t="s">
        <v>9693</v>
      </c>
      <c r="D886" s="4296" t="s">
        <v>5222</v>
      </c>
      <c r="E886" s="4297">
        <v>0.21807799999999997</v>
      </c>
    </row>
    <row r="887" spans="2:5">
      <c r="B887" s="4296" t="s">
        <v>7579</v>
      </c>
      <c r="C887" s="4287" t="s">
        <v>9694</v>
      </c>
      <c r="D887" s="4287" t="s">
        <v>5753</v>
      </c>
      <c r="E887" s="4297">
        <v>0.21595799999999998</v>
      </c>
    </row>
    <row r="888" spans="2:5">
      <c r="B888" s="4296" t="s">
        <v>7581</v>
      </c>
      <c r="C888" s="4296" t="s">
        <v>9695</v>
      </c>
      <c r="D888" s="4296" t="s">
        <v>5149</v>
      </c>
      <c r="E888" s="4297">
        <v>0.21007699999999999</v>
      </c>
    </row>
    <row r="889" spans="2:5">
      <c r="B889" s="4296" t="s">
        <v>7583</v>
      </c>
      <c r="C889" s="4296" t="s">
        <v>9696</v>
      </c>
      <c r="D889" s="4296" t="s">
        <v>5222</v>
      </c>
      <c r="E889" s="4297">
        <v>0.2</v>
      </c>
    </row>
    <row r="890" spans="2:5">
      <c r="B890" s="4296" t="s">
        <v>7585</v>
      </c>
      <c r="C890" s="4296" t="s">
        <v>9697</v>
      </c>
      <c r="D890" s="4296" t="s">
        <v>5222</v>
      </c>
      <c r="E890" s="4297">
        <v>0.2</v>
      </c>
    </row>
    <row r="891" spans="2:5">
      <c r="B891" s="4296" t="s">
        <v>7586</v>
      </c>
      <c r="C891" s="4296" t="s">
        <v>9698</v>
      </c>
      <c r="D891" s="4296" t="s">
        <v>5222</v>
      </c>
      <c r="E891" s="4297">
        <v>0.2</v>
      </c>
    </row>
    <row r="892" spans="2:5">
      <c r="B892" s="4296" t="s">
        <v>7588</v>
      </c>
      <c r="C892" s="4296" t="s">
        <v>9699</v>
      </c>
      <c r="D892" s="4296" t="s">
        <v>5753</v>
      </c>
      <c r="E892" s="4297">
        <v>0.192079</v>
      </c>
    </row>
    <row r="893" spans="2:5">
      <c r="B893" s="4296" t="s">
        <v>7590</v>
      </c>
      <c r="C893" s="4296" t="s">
        <v>9700</v>
      </c>
      <c r="D893" s="4296" t="s">
        <v>4987</v>
      </c>
      <c r="E893" s="4297">
        <v>0.19109999999999999</v>
      </c>
    </row>
    <row r="894" spans="2:5">
      <c r="B894" s="4296" t="s">
        <v>7592</v>
      </c>
      <c r="C894" s="4296" t="s">
        <v>9701</v>
      </c>
      <c r="D894" s="4296" t="s">
        <v>5222</v>
      </c>
      <c r="E894" s="4297">
        <v>0.15534099999999998</v>
      </c>
    </row>
    <row r="895" spans="2:5">
      <c r="B895" s="4296" t="s">
        <v>7593</v>
      </c>
      <c r="C895" s="4296" t="s">
        <v>9702</v>
      </c>
      <c r="D895" s="4296" t="s">
        <v>4897</v>
      </c>
      <c r="E895" s="4297">
        <v>0.153948</v>
      </c>
    </row>
    <row r="896" spans="2:5">
      <c r="B896" s="4296" t="s">
        <v>7594</v>
      </c>
      <c r="C896" s="4296" t="s">
        <v>9703</v>
      </c>
      <c r="D896" s="4296" t="s">
        <v>5222</v>
      </c>
      <c r="E896" s="4297">
        <v>0.15</v>
      </c>
    </row>
    <row r="897" spans="2:5">
      <c r="B897" s="4296" t="s">
        <v>7596</v>
      </c>
      <c r="C897" s="4296" t="s">
        <v>9704</v>
      </c>
      <c r="D897" s="4296" t="s">
        <v>5222</v>
      </c>
      <c r="E897" s="4297">
        <v>0.15</v>
      </c>
    </row>
    <row r="898" spans="2:5">
      <c r="B898" s="4296" t="s">
        <v>7598</v>
      </c>
      <c r="C898" s="4296" t="s">
        <v>9049</v>
      </c>
      <c r="D898" s="4296" t="s">
        <v>6044</v>
      </c>
      <c r="E898" s="4297">
        <v>0.110411</v>
      </c>
    </row>
    <row r="899" spans="2:5">
      <c r="B899" s="4296" t="s">
        <v>7600</v>
      </c>
      <c r="C899" s="4296" t="s">
        <v>9705</v>
      </c>
      <c r="D899" s="4296" t="s">
        <v>7519</v>
      </c>
      <c r="E899" s="4297">
        <v>0.101087</v>
      </c>
    </row>
    <row r="900" spans="2:5">
      <c r="B900" s="4296" t="s">
        <v>7602</v>
      </c>
      <c r="C900" s="4296" t="s">
        <v>9706</v>
      </c>
      <c r="D900" s="4296" t="s">
        <v>5753</v>
      </c>
      <c r="E900" s="4297">
        <v>9.7825999999999996E-2</v>
      </c>
    </row>
    <row r="901" spans="2:5">
      <c r="B901" s="4296" t="s">
        <v>7604</v>
      </c>
      <c r="C901" s="4296" t="s">
        <v>9707</v>
      </c>
      <c r="D901" s="4296" t="s">
        <v>5234</v>
      </c>
      <c r="E901" s="4297">
        <v>8.2658999999999996E-2</v>
      </c>
    </row>
    <row r="902" spans="2:5">
      <c r="B902" s="4296" t="s">
        <v>7606</v>
      </c>
      <c r="C902" s="4296" t="s">
        <v>9708</v>
      </c>
      <c r="D902" s="4296" t="s">
        <v>5222</v>
      </c>
      <c r="E902" s="4297">
        <v>6.5218000000000012E-2</v>
      </c>
    </row>
    <row r="903" spans="2:5">
      <c r="B903" s="4296" t="s">
        <v>7607</v>
      </c>
      <c r="C903" s="4296" t="s">
        <v>9709</v>
      </c>
      <c r="D903" s="4296" t="s">
        <v>5234</v>
      </c>
      <c r="E903" s="4297">
        <v>6.4949999999999994E-2</v>
      </c>
    </row>
    <row r="904" spans="2:5">
      <c r="B904" s="4296" t="s">
        <v>7609</v>
      </c>
      <c r="C904" s="4287" t="s">
        <v>9710</v>
      </c>
      <c r="D904" s="4287" t="s">
        <v>5234</v>
      </c>
      <c r="E904" s="4297">
        <v>5.8799999999999998E-2</v>
      </c>
    </row>
    <row r="905" spans="2:5">
      <c r="B905" s="4296" t="s">
        <v>7610</v>
      </c>
      <c r="C905" s="4296" t="s">
        <v>9076</v>
      </c>
      <c r="D905" s="4296" t="s">
        <v>4987</v>
      </c>
      <c r="E905" s="4297">
        <v>5.1862999999999999E-2</v>
      </c>
    </row>
    <row r="906" spans="2:5">
      <c r="B906" s="4296" t="s">
        <v>7612</v>
      </c>
      <c r="C906" s="4296" t="s">
        <v>9152</v>
      </c>
      <c r="D906" s="4296" t="s">
        <v>5222</v>
      </c>
      <c r="E906" s="4297">
        <v>0.05</v>
      </c>
    </row>
    <row r="907" spans="2:5">
      <c r="B907" s="4296" t="s">
        <v>7614</v>
      </c>
      <c r="C907" s="4296" t="s">
        <v>9069</v>
      </c>
      <c r="D907" s="4296" t="s">
        <v>4987</v>
      </c>
      <c r="E907" s="4297">
        <v>4.5756999999999999E-2</v>
      </c>
    </row>
    <row r="908" spans="2:5">
      <c r="B908" s="4296" t="s">
        <v>7616</v>
      </c>
      <c r="C908" s="4296" t="s">
        <v>9711</v>
      </c>
      <c r="D908" s="4296" t="s">
        <v>4674</v>
      </c>
      <c r="E908" s="4297">
        <v>2.4656999999999998E-2</v>
      </c>
    </row>
    <row r="909" spans="2:5">
      <c r="B909" s="4296" t="s">
        <v>7618</v>
      </c>
      <c r="C909" s="4296" t="s">
        <v>9712</v>
      </c>
      <c r="D909" s="4296" t="s">
        <v>5234</v>
      </c>
      <c r="E909" s="4297">
        <v>2.12E-2</v>
      </c>
    </row>
    <row r="910" spans="2:5">
      <c r="B910" s="4296" t="s">
        <v>7619</v>
      </c>
      <c r="C910" s="4287" t="s">
        <v>9713</v>
      </c>
      <c r="D910" s="4287" t="s">
        <v>4987</v>
      </c>
      <c r="E910" s="4297">
        <v>1.8269999999999998E-2</v>
      </c>
    </row>
    <row r="911" spans="2:5">
      <c r="B911" s="4296" t="s">
        <v>7621</v>
      </c>
      <c r="C911" s="4296" t="s">
        <v>9714</v>
      </c>
      <c r="D911" s="4296" t="s">
        <v>5234</v>
      </c>
      <c r="E911" s="4297">
        <v>1.06E-2</v>
      </c>
    </row>
    <row r="912" spans="2:5">
      <c r="B912" s="4296" t="s">
        <v>7622</v>
      </c>
      <c r="C912" s="4296" t="s">
        <v>9715</v>
      </c>
      <c r="D912" s="4296" t="s">
        <v>5234</v>
      </c>
      <c r="E912" s="4297">
        <v>8.6999999999999994E-3</v>
      </c>
    </row>
    <row r="913" spans="2:5">
      <c r="B913" s="4296" t="s">
        <v>7624</v>
      </c>
      <c r="C913" s="4287" t="s">
        <v>9716</v>
      </c>
      <c r="D913" s="4287" t="s">
        <v>4987</v>
      </c>
      <c r="E913" s="4297">
        <v>6.6150000000000002E-3</v>
      </c>
    </row>
    <row r="914" spans="2:5">
      <c r="B914" s="4296" t="s">
        <v>7626</v>
      </c>
      <c r="C914" s="4296" t="s">
        <v>9717</v>
      </c>
      <c r="D914" s="4296" t="s">
        <v>4674</v>
      </c>
      <c r="E914" s="4297">
        <v>3.9310000000000005E-3</v>
      </c>
    </row>
  </sheetData>
  <autoFilter ref="C2:F28" xr:uid="{00000000-0009-0000-0000-00000A000000}">
    <sortState xmlns:xlrd2="http://schemas.microsoft.com/office/spreadsheetml/2017/richdata2" ref="C3:E926">
      <sortCondition descending="1" ref="E2:E28"/>
    </sortState>
  </autoFilter>
  <mergeCells count="1">
    <mergeCell ref="B1:E1"/>
  </mergeCells>
  <phoneticPr fontId="135" type="noConversion"/>
  <pageMargins left="0.7" right="0.7" top="0.75" bottom="0.75" header="0.3" footer="0.3"/>
  <pageSetup paperSize="9" orientation="portrait" horizontalDpi="4294967294"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520E5-E36A-4AD1-81D0-9777D4EB4815}">
  <dimension ref="A1:H37"/>
  <sheetViews>
    <sheetView showZeros="0" topLeftCell="A4" zoomScale="85" zoomScaleNormal="85" workbookViewId="0">
      <selection activeCell="J18" sqref="J18"/>
    </sheetView>
  </sheetViews>
  <sheetFormatPr defaultRowHeight="13.5"/>
  <cols>
    <col min="1" max="1" width="23.125" style="4303" customWidth="1"/>
    <col min="2" max="2" width="5.625" style="4303" customWidth="1"/>
    <col min="3" max="4" width="15.875" style="4303" customWidth="1"/>
    <col min="5" max="5" width="27.625" style="4303" customWidth="1"/>
    <col min="6" max="6" width="5.25" style="4303" customWidth="1"/>
    <col min="7" max="7" width="17.625" style="4303" customWidth="1"/>
    <col min="8" max="8" width="16.75" style="4303" customWidth="1"/>
    <col min="9" max="51" width="15.875" style="4303" customWidth="1"/>
    <col min="52" max="16384" width="9" style="4303"/>
  </cols>
  <sheetData>
    <row r="1" spans="1:8" ht="21" customHeight="1">
      <c r="A1" s="4766" t="s">
        <v>9718</v>
      </c>
      <c r="B1" s="4766"/>
      <c r="C1" s="4766"/>
      <c r="D1" s="4766"/>
      <c r="E1" s="4766"/>
      <c r="F1" s="4766"/>
      <c r="G1" s="4766"/>
      <c r="H1" s="4766"/>
    </row>
    <row r="2" spans="1:8" ht="15.75" customHeight="1">
      <c r="A2" s="4767" t="s">
        <v>9719</v>
      </c>
      <c r="B2" s="4768"/>
      <c r="C2" s="4767"/>
      <c r="D2" s="4304"/>
      <c r="E2" s="4304" t="s">
        <v>9720</v>
      </c>
      <c r="F2" s="4305"/>
      <c r="G2" s="4306"/>
      <c r="H2" s="4307"/>
    </row>
    <row r="3" spans="1:8" ht="15.75" customHeight="1">
      <c r="A3" s="4308" t="s">
        <v>9721</v>
      </c>
      <c r="B3" s="4308" t="s">
        <v>9722</v>
      </c>
      <c r="C3" s="4308" t="s">
        <v>9723</v>
      </c>
      <c r="D3" s="4308" t="s">
        <v>9724</v>
      </c>
      <c r="E3" s="4308" t="s">
        <v>9725</v>
      </c>
      <c r="F3" s="4309" t="s">
        <v>9722</v>
      </c>
      <c r="G3" s="4310" t="s">
        <v>9723</v>
      </c>
      <c r="H3" s="4310" t="s">
        <v>9724</v>
      </c>
    </row>
    <row r="4" spans="1:8" ht="15.75" customHeight="1">
      <c r="A4" s="4308" t="s">
        <v>9726</v>
      </c>
      <c r="B4" s="4311"/>
      <c r="C4" s="4312"/>
      <c r="D4" s="4312"/>
      <c r="E4" s="4308" t="s">
        <v>9727</v>
      </c>
      <c r="F4" s="4313"/>
      <c r="G4" s="4312"/>
      <c r="H4" s="4312">
        <v>0</v>
      </c>
    </row>
    <row r="5" spans="1:8" ht="15.75" customHeight="1">
      <c r="A5" s="4308" t="s">
        <v>9728</v>
      </c>
      <c r="B5" s="4311">
        <v>1</v>
      </c>
      <c r="C5" s="4312">
        <v>70500553.560000002</v>
      </c>
      <c r="D5" s="4312">
        <v>72060257.769999996</v>
      </c>
      <c r="E5" s="4308" t="s">
        <v>9729</v>
      </c>
      <c r="F5" s="4313">
        <v>34</v>
      </c>
      <c r="G5" s="4312"/>
      <c r="H5" s="4312">
        <v>0</v>
      </c>
    </row>
    <row r="6" spans="1:8" ht="15.75" customHeight="1">
      <c r="A6" s="4308" t="s">
        <v>9730</v>
      </c>
      <c r="B6" s="4311">
        <v>2</v>
      </c>
      <c r="C6" s="4312"/>
      <c r="D6" s="4312">
        <v>0</v>
      </c>
      <c r="E6" s="4308" t="s">
        <v>9731</v>
      </c>
      <c r="F6" s="4313">
        <v>35</v>
      </c>
      <c r="G6" s="4312"/>
      <c r="H6" s="4312">
        <v>0</v>
      </c>
    </row>
    <row r="7" spans="1:8" ht="15.75" customHeight="1">
      <c r="A7" s="4308" t="s">
        <v>9732</v>
      </c>
      <c r="B7" s="4311">
        <v>3</v>
      </c>
      <c r="C7" s="4312"/>
      <c r="D7" s="4312">
        <v>0</v>
      </c>
      <c r="E7" s="4308" t="s">
        <v>9733</v>
      </c>
      <c r="F7" s="4313">
        <v>36</v>
      </c>
      <c r="G7" s="4312"/>
      <c r="H7" s="4312">
        <v>0</v>
      </c>
    </row>
    <row r="8" spans="1:8" ht="15.75" customHeight="1">
      <c r="A8" s="4308" t="s">
        <v>9734</v>
      </c>
      <c r="B8" s="4311">
        <v>4</v>
      </c>
      <c r="C8" s="4312">
        <v>975221.37</v>
      </c>
      <c r="D8" s="4312">
        <v>1204929.0599999987</v>
      </c>
      <c r="E8" s="4308" t="s">
        <v>9735</v>
      </c>
      <c r="F8" s="4313">
        <v>37</v>
      </c>
      <c r="G8" s="4312">
        <v>55903.86</v>
      </c>
      <c r="H8" s="4312">
        <v>206397.1</v>
      </c>
    </row>
    <row r="9" spans="1:8" ht="15.75" customHeight="1">
      <c r="A9" s="4308" t="s">
        <v>9736</v>
      </c>
      <c r="B9" s="4311">
        <v>5</v>
      </c>
      <c r="C9" s="4312">
        <v>2125928.2799999998</v>
      </c>
      <c r="D9" s="4312">
        <v>369190.68</v>
      </c>
      <c r="E9" s="4308" t="s">
        <v>9737</v>
      </c>
      <c r="F9" s="4313">
        <v>38</v>
      </c>
      <c r="G9" s="4312">
        <v>44934389.009999998</v>
      </c>
      <c r="H9" s="4312">
        <v>40617502.310000002</v>
      </c>
    </row>
    <row r="10" spans="1:8" ht="15.75" customHeight="1">
      <c r="A10" s="4308" t="s">
        <v>9738</v>
      </c>
      <c r="B10" s="4311">
        <v>6</v>
      </c>
      <c r="C10" s="4312"/>
      <c r="D10" s="4312">
        <v>0</v>
      </c>
      <c r="E10" s="4308" t="s">
        <v>9739</v>
      </c>
      <c r="F10" s="4313">
        <v>39</v>
      </c>
      <c r="G10" s="4312"/>
      <c r="H10" s="4312">
        <v>0</v>
      </c>
    </row>
    <row r="11" spans="1:8" ht="15.75" customHeight="1">
      <c r="A11" s="4308" t="s">
        <v>9740</v>
      </c>
      <c r="B11" s="4311">
        <v>7</v>
      </c>
      <c r="C11" s="4312"/>
      <c r="D11" s="4312">
        <v>0</v>
      </c>
      <c r="E11" s="4308" t="s">
        <v>9741</v>
      </c>
      <c r="F11" s="4313">
        <v>40</v>
      </c>
      <c r="G11" s="4312">
        <v>10511734.550000001</v>
      </c>
      <c r="H11" s="4312">
        <v>15991182.98</v>
      </c>
    </row>
    <row r="12" spans="1:8" ht="15.75" customHeight="1">
      <c r="A12" s="4308" t="s">
        <v>9742</v>
      </c>
      <c r="B12" s="4311">
        <v>8</v>
      </c>
      <c r="C12" s="4312">
        <v>1004187259.53</v>
      </c>
      <c r="D12" s="4312">
        <v>1001262946.29</v>
      </c>
      <c r="E12" s="4308" t="s">
        <v>9743</v>
      </c>
      <c r="F12" s="4313">
        <v>41</v>
      </c>
      <c r="G12" s="4312"/>
      <c r="H12" s="4312">
        <v>0</v>
      </c>
    </row>
    <row r="13" spans="1:8" ht="15.75" customHeight="1">
      <c r="A13" s="4308" t="s">
        <v>9744</v>
      </c>
      <c r="B13" s="4311">
        <v>9</v>
      </c>
      <c r="C13" s="4312">
        <v>7171977.4500000002</v>
      </c>
      <c r="D13" s="4312">
        <v>9580865.6300000008</v>
      </c>
      <c r="E13" s="4308" t="s">
        <v>9745</v>
      </c>
      <c r="F13" s="4313">
        <v>42</v>
      </c>
      <c r="G13" s="4312"/>
      <c r="H13" s="4312">
        <v>0</v>
      </c>
    </row>
    <row r="14" spans="1:8" ht="15.75" customHeight="1">
      <c r="A14" s="4308" t="s">
        <v>9746</v>
      </c>
      <c r="B14" s="4311">
        <v>10</v>
      </c>
      <c r="C14" s="4312"/>
      <c r="D14" s="4312">
        <v>0</v>
      </c>
      <c r="E14" s="4308" t="s">
        <v>9747</v>
      </c>
      <c r="F14" s="4313">
        <v>43</v>
      </c>
      <c r="G14" s="4312">
        <v>583718643.98000002</v>
      </c>
      <c r="H14" s="4312">
        <v>612242466.63000011</v>
      </c>
    </row>
    <row r="15" spans="1:8" ht="15.75" customHeight="1">
      <c r="A15" s="4308" t="s">
        <v>9748</v>
      </c>
      <c r="B15" s="4311">
        <v>11</v>
      </c>
      <c r="C15" s="4312">
        <v>2497192.91</v>
      </c>
      <c r="D15" s="4312">
        <v>1892307.1500000001</v>
      </c>
      <c r="E15" s="4308" t="s">
        <v>9749</v>
      </c>
      <c r="F15" s="4313">
        <v>44</v>
      </c>
      <c r="G15" s="4312"/>
      <c r="H15" s="4312">
        <v>0</v>
      </c>
    </row>
    <row r="16" spans="1:8" ht="15.75" customHeight="1">
      <c r="A16" s="4308" t="s">
        <v>9750</v>
      </c>
      <c r="B16" s="4311">
        <v>12</v>
      </c>
      <c r="C16" s="4312">
        <v>1087458133.1000001</v>
      </c>
      <c r="D16" s="4312">
        <v>1086370496.5800002</v>
      </c>
      <c r="E16" s="4308" t="s">
        <v>9751</v>
      </c>
      <c r="F16" s="4313">
        <v>45</v>
      </c>
      <c r="G16" s="4312"/>
      <c r="H16" s="4312">
        <v>0</v>
      </c>
    </row>
    <row r="17" spans="1:8" ht="15.75" customHeight="1">
      <c r="A17" s="4308" t="s">
        <v>9752</v>
      </c>
      <c r="B17" s="4311">
        <v>13</v>
      </c>
      <c r="C17" s="4312"/>
      <c r="D17" s="4312">
        <v>0</v>
      </c>
      <c r="E17" s="4308" t="s">
        <v>9753</v>
      </c>
      <c r="F17" s="4313">
        <v>46</v>
      </c>
      <c r="G17" s="4312">
        <v>639220671.39999998</v>
      </c>
      <c r="H17" s="4312">
        <v>669057549.01999986</v>
      </c>
    </row>
    <row r="18" spans="1:8" ht="15.75" customHeight="1">
      <c r="A18" s="4308" t="s">
        <v>9754</v>
      </c>
      <c r="B18" s="4311">
        <v>14</v>
      </c>
      <c r="C18" s="4312"/>
      <c r="D18" s="4312">
        <v>0</v>
      </c>
      <c r="E18" s="4308" t="s">
        <v>9755</v>
      </c>
      <c r="F18" s="4313">
        <v>47</v>
      </c>
      <c r="G18" s="4312"/>
      <c r="H18" s="4312">
        <v>0</v>
      </c>
    </row>
    <row r="19" spans="1:8" ht="15.75" customHeight="1">
      <c r="A19" s="4308" t="s">
        <v>9756</v>
      </c>
      <c r="B19" s="4311">
        <v>15</v>
      </c>
      <c r="C19" s="4312"/>
      <c r="D19" s="4312">
        <v>0</v>
      </c>
      <c r="E19" s="4308" t="s">
        <v>9757</v>
      </c>
      <c r="F19" s="4313">
        <v>48</v>
      </c>
      <c r="G19" s="4312">
        <v>1769990000</v>
      </c>
      <c r="H19" s="4312">
        <v>1702990000</v>
      </c>
    </row>
    <row r="20" spans="1:8" ht="15.75" customHeight="1">
      <c r="A20" s="4308" t="s">
        <v>9758</v>
      </c>
      <c r="B20" s="4311">
        <v>16</v>
      </c>
      <c r="C20" s="4312"/>
      <c r="D20" s="4312">
        <v>0</v>
      </c>
      <c r="E20" s="4308" t="s">
        <v>9759</v>
      </c>
      <c r="F20" s="4313">
        <v>49</v>
      </c>
      <c r="G20" s="4312"/>
      <c r="H20" s="4312">
        <v>0</v>
      </c>
    </row>
    <row r="21" spans="1:8" ht="15.75" customHeight="1">
      <c r="A21" s="4308" t="s">
        <v>9760</v>
      </c>
      <c r="B21" s="4311">
        <v>17</v>
      </c>
      <c r="C21" s="4312"/>
      <c r="D21" s="4312">
        <v>0</v>
      </c>
      <c r="E21" s="4308" t="s">
        <v>9761</v>
      </c>
      <c r="F21" s="4313">
        <v>50</v>
      </c>
      <c r="G21" s="4312"/>
      <c r="H21" s="4312">
        <v>0</v>
      </c>
    </row>
    <row r="22" spans="1:8" ht="15.75" customHeight="1">
      <c r="A22" s="4308" t="s">
        <v>9762</v>
      </c>
      <c r="B22" s="4311">
        <v>17</v>
      </c>
      <c r="C22" s="4312">
        <v>2665168938.1500001</v>
      </c>
      <c r="D22" s="4312">
        <v>2634241032.1800003</v>
      </c>
      <c r="E22" s="4308" t="s">
        <v>9763</v>
      </c>
      <c r="F22" s="4313">
        <v>51</v>
      </c>
      <c r="G22" s="4312"/>
      <c r="H22" s="4312">
        <v>0</v>
      </c>
    </row>
    <row r="23" spans="1:8" ht="15.75" customHeight="1">
      <c r="A23" s="4308" t="s">
        <v>9764</v>
      </c>
      <c r="B23" s="4311">
        <v>18</v>
      </c>
      <c r="C23" s="4312">
        <v>54416.95</v>
      </c>
      <c r="D23" s="4312">
        <v>103541.8</v>
      </c>
      <c r="E23" s="4308" t="s">
        <v>9765</v>
      </c>
      <c r="F23" s="4313">
        <v>52</v>
      </c>
      <c r="G23" s="4312"/>
      <c r="H23" s="4312">
        <v>0</v>
      </c>
    </row>
    <row r="24" spans="1:8" ht="15.75" customHeight="1">
      <c r="A24" s="4308" t="s">
        <v>9766</v>
      </c>
      <c r="B24" s="4311">
        <v>19</v>
      </c>
      <c r="C24" s="4312"/>
      <c r="D24" s="4312">
        <v>0</v>
      </c>
      <c r="E24" s="4308" t="s">
        <v>9767</v>
      </c>
      <c r="F24" s="4313">
        <v>53</v>
      </c>
      <c r="G24" s="4312">
        <v>207805015.24000001</v>
      </c>
      <c r="H24" s="4312">
        <v>207805015.24000001</v>
      </c>
    </row>
    <row r="25" spans="1:8" ht="15.75" customHeight="1">
      <c r="A25" s="4308" t="s">
        <v>9768</v>
      </c>
      <c r="B25" s="4311">
        <v>20</v>
      </c>
      <c r="C25" s="4312"/>
      <c r="D25" s="4312">
        <v>0</v>
      </c>
      <c r="E25" s="4308" t="s">
        <v>9769</v>
      </c>
      <c r="F25" s="4313">
        <v>54</v>
      </c>
      <c r="G25" s="4312"/>
      <c r="H25" s="4312">
        <v>0</v>
      </c>
    </row>
    <row r="26" spans="1:8" ht="15.75" customHeight="1">
      <c r="A26" s="4308" t="s">
        <v>9770</v>
      </c>
      <c r="B26" s="4311">
        <v>21</v>
      </c>
      <c r="C26" s="4312"/>
      <c r="D26" s="4312">
        <v>0</v>
      </c>
      <c r="E26" s="4308" t="s">
        <v>9771</v>
      </c>
      <c r="F26" s="4313">
        <v>55</v>
      </c>
      <c r="G26" s="4312">
        <v>1977795015.24</v>
      </c>
      <c r="H26" s="4312">
        <v>1910795015.24</v>
      </c>
    </row>
    <row r="27" spans="1:8" ht="15.75" customHeight="1">
      <c r="A27" s="4308" t="s">
        <v>9772</v>
      </c>
      <c r="B27" s="4311">
        <v>22</v>
      </c>
      <c r="C27" s="4312"/>
      <c r="D27" s="4312">
        <v>0</v>
      </c>
      <c r="E27" s="4308" t="s">
        <v>9773</v>
      </c>
      <c r="F27" s="4313">
        <v>56</v>
      </c>
      <c r="G27" s="4312">
        <v>2617015686.6399999</v>
      </c>
      <c r="H27" s="4312">
        <v>2579852564.2599998</v>
      </c>
    </row>
    <row r="28" spans="1:8" ht="15.75" customHeight="1">
      <c r="A28" s="4308" t="s">
        <v>9774</v>
      </c>
      <c r="B28" s="4311">
        <v>23</v>
      </c>
      <c r="C28" s="4312"/>
      <c r="D28" s="4312">
        <v>0</v>
      </c>
      <c r="E28" s="4308" t="s">
        <v>9775</v>
      </c>
      <c r="F28" s="4313">
        <v>57</v>
      </c>
      <c r="G28" s="4312"/>
      <c r="H28" s="4312">
        <v>0</v>
      </c>
    </row>
    <row r="29" spans="1:8" ht="15.75" customHeight="1">
      <c r="A29" s="4308" t="s">
        <v>9776</v>
      </c>
      <c r="B29" s="4311">
        <v>24</v>
      </c>
      <c r="C29" s="4312"/>
      <c r="D29" s="4312">
        <v>0</v>
      </c>
      <c r="E29" s="4308" t="s">
        <v>9777</v>
      </c>
      <c r="F29" s="4313">
        <v>58</v>
      </c>
      <c r="G29" s="4312">
        <v>50000000</v>
      </c>
      <c r="H29" s="4312">
        <v>50000000</v>
      </c>
    </row>
    <row r="30" spans="1:8" ht="15.75" customHeight="1">
      <c r="A30" s="4308" t="s">
        <v>9778</v>
      </c>
      <c r="B30" s="4311">
        <v>25</v>
      </c>
      <c r="C30" s="4312"/>
      <c r="D30" s="4312">
        <v>0</v>
      </c>
      <c r="E30" s="4308" t="s">
        <v>9779</v>
      </c>
      <c r="F30" s="4313">
        <v>59</v>
      </c>
      <c r="G30" s="4312">
        <v>550000000</v>
      </c>
      <c r="H30" s="4312">
        <v>550000000</v>
      </c>
    </row>
    <row r="31" spans="1:8" ht="15.75" customHeight="1">
      <c r="A31" s="4308" t="s">
        <v>9780</v>
      </c>
      <c r="B31" s="4311">
        <v>26</v>
      </c>
      <c r="C31" s="4312"/>
      <c r="D31" s="4312">
        <v>0</v>
      </c>
      <c r="E31" s="4308" t="s">
        <v>9781</v>
      </c>
      <c r="F31" s="4313">
        <v>60</v>
      </c>
      <c r="G31" s="4312">
        <v>418429711.76999998</v>
      </c>
      <c r="H31" s="4312">
        <v>418429711.76999998</v>
      </c>
    </row>
    <row r="32" spans="1:8" ht="15.75" customHeight="1">
      <c r="A32" s="4308" t="s">
        <v>9782</v>
      </c>
      <c r="B32" s="4311">
        <v>27</v>
      </c>
      <c r="C32" s="4312"/>
      <c r="D32" s="4312">
        <v>0</v>
      </c>
      <c r="E32" s="4308" t="s">
        <v>9783</v>
      </c>
      <c r="F32" s="4313">
        <v>61</v>
      </c>
      <c r="G32" s="4312">
        <v>117236089.79000001</v>
      </c>
      <c r="H32" s="4312">
        <v>122432794.52999997</v>
      </c>
    </row>
    <row r="33" spans="1:8" ht="15.75" customHeight="1">
      <c r="A33" s="4308" t="s">
        <v>9784</v>
      </c>
      <c r="B33" s="4311">
        <v>28</v>
      </c>
      <c r="C33" s="4312">
        <v>2665223355.0999999</v>
      </c>
      <c r="D33" s="4312">
        <v>2634344573.98</v>
      </c>
      <c r="E33" s="4308" t="s">
        <v>9785</v>
      </c>
      <c r="F33" s="4313">
        <v>62</v>
      </c>
      <c r="G33" s="4312"/>
      <c r="H33" s="4312">
        <v>0</v>
      </c>
    </row>
    <row r="34" spans="1:8" ht="15.75" customHeight="1">
      <c r="A34" s="4308"/>
      <c r="B34" s="4311">
        <v>30</v>
      </c>
      <c r="C34" s="4312"/>
      <c r="D34" s="4312">
        <v>0</v>
      </c>
      <c r="E34" s="4308" t="s">
        <v>9786</v>
      </c>
      <c r="F34" s="4313">
        <v>63</v>
      </c>
      <c r="G34" s="4312">
        <v>1135665801.5599999</v>
      </c>
      <c r="H34" s="4312">
        <v>1140862506.3</v>
      </c>
    </row>
    <row r="35" spans="1:8" ht="15.75" customHeight="1">
      <c r="A35" s="4308"/>
      <c r="B35" s="4311">
        <v>31</v>
      </c>
      <c r="C35" s="4312"/>
      <c r="D35" s="4312">
        <v>0</v>
      </c>
      <c r="E35" s="4308" t="s">
        <v>9787</v>
      </c>
      <c r="F35" s="4313">
        <v>64</v>
      </c>
      <c r="G35" s="4312"/>
      <c r="H35" s="4312">
        <v>0</v>
      </c>
    </row>
    <row r="36" spans="1:8" ht="15.75" customHeight="1">
      <c r="A36" s="4308"/>
      <c r="B36" s="4311">
        <v>32</v>
      </c>
      <c r="C36" s="4312"/>
      <c r="D36" s="4312">
        <v>0</v>
      </c>
      <c r="E36" s="4308" t="s">
        <v>9788</v>
      </c>
      <c r="F36" s="4313">
        <v>65</v>
      </c>
      <c r="G36" s="4312">
        <v>1135665801.5599999</v>
      </c>
      <c r="H36" s="4312">
        <v>1140862506.3</v>
      </c>
    </row>
    <row r="37" spans="1:8" ht="15.75" customHeight="1">
      <c r="A37" s="4308" t="s">
        <v>9789</v>
      </c>
      <c r="B37" s="4311">
        <v>33</v>
      </c>
      <c r="C37" s="4312">
        <v>3752681488.1999998</v>
      </c>
      <c r="D37" s="4312">
        <v>3720715070.5599999</v>
      </c>
      <c r="E37" s="4308" t="s">
        <v>9790</v>
      </c>
      <c r="F37" s="4313">
        <v>66</v>
      </c>
      <c r="G37" s="4312">
        <v>3752681488.1999998</v>
      </c>
      <c r="H37" s="4312">
        <v>3720715070.5599999</v>
      </c>
    </row>
  </sheetData>
  <mergeCells count="2">
    <mergeCell ref="A1:H1"/>
    <mergeCell ref="A2:C2"/>
  </mergeCells>
  <phoneticPr fontId="135"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764F6-F41F-4F6A-B031-FAF8FD4BE950}">
  <dimension ref="A1:E24"/>
  <sheetViews>
    <sheetView showZeros="0" workbookViewId="0">
      <selection activeCell="E7" sqref="E7"/>
    </sheetView>
  </sheetViews>
  <sheetFormatPr defaultRowHeight="13.5"/>
  <cols>
    <col min="1" max="1" width="44.5" style="4303" customWidth="1"/>
    <col min="2" max="2" width="6.875" style="4303" customWidth="1"/>
    <col min="3" max="4" width="17.75" style="4303" customWidth="1"/>
    <col min="5" max="51" width="8.875" style="4303" customWidth="1"/>
    <col min="52" max="52" width="8" style="4303" customWidth="1"/>
    <col min="53" max="16384" width="9" style="4303"/>
  </cols>
  <sheetData>
    <row r="1" spans="1:5" ht="15.75" customHeight="1">
      <c r="A1" s="4769" t="s">
        <v>9791</v>
      </c>
      <c r="B1" s="4769"/>
      <c r="C1" s="4769"/>
      <c r="D1" s="4769"/>
      <c r="E1" s="4314"/>
    </row>
    <row r="2" spans="1:5" ht="15.75" customHeight="1">
      <c r="A2" s="4315" t="s">
        <v>9719</v>
      </c>
      <c r="B2" s="4770" t="s">
        <v>9720</v>
      </c>
      <c r="C2" s="4770"/>
      <c r="D2" s="4315" t="s">
        <v>9792</v>
      </c>
      <c r="E2" s="4314"/>
    </row>
    <row r="3" spans="1:5" ht="15.75" customHeight="1">
      <c r="A3" s="4308" t="s">
        <v>9793</v>
      </c>
      <c r="B3" s="4308" t="s">
        <v>9722</v>
      </c>
      <c r="C3" s="4308" t="s">
        <v>9794</v>
      </c>
      <c r="D3" s="4308" t="s">
        <v>9795</v>
      </c>
      <c r="E3" s="4314" t="s">
        <v>3358</v>
      </c>
    </row>
    <row r="4" spans="1:5" ht="15.75" customHeight="1">
      <c r="A4" s="4308" t="s">
        <v>9796</v>
      </c>
      <c r="B4" s="4311">
        <v>1</v>
      </c>
      <c r="C4" s="4316">
        <v>14738303.029999999</v>
      </c>
      <c r="D4" s="4312">
        <v>140997504.69999999</v>
      </c>
      <c r="E4" s="4314"/>
    </row>
    <row r="5" spans="1:5" ht="15.75" customHeight="1">
      <c r="A5" s="4308" t="s">
        <v>9797</v>
      </c>
      <c r="B5" s="4311">
        <v>2</v>
      </c>
      <c r="C5" s="4316">
        <v>5590697.8799999999</v>
      </c>
      <c r="D5" s="4312">
        <v>52817328.829999998</v>
      </c>
      <c r="E5" s="4319">
        <f>D5/$D$4</f>
        <v>0.37459761392500729</v>
      </c>
    </row>
    <row r="6" spans="1:5" ht="15.75" customHeight="1">
      <c r="A6" s="4308" t="s">
        <v>9798</v>
      </c>
      <c r="B6" s="4311">
        <v>3</v>
      </c>
      <c r="C6" s="4316">
        <v>1318735.9099999999</v>
      </c>
      <c r="D6" s="4316">
        <v>12092934.42</v>
      </c>
      <c r="E6" s="4319"/>
    </row>
    <row r="7" spans="1:5" ht="15.75" customHeight="1">
      <c r="A7" s="4308" t="s">
        <v>9799</v>
      </c>
      <c r="B7" s="4311">
        <v>4</v>
      </c>
      <c r="C7" s="4316">
        <v>840748.25</v>
      </c>
      <c r="D7" s="4316">
        <v>7593606.3600000003</v>
      </c>
      <c r="E7" s="4319">
        <f t="shared" ref="E7" si="0">D7/$D$4</f>
        <v>5.3856317359352535E-2</v>
      </c>
    </row>
    <row r="8" spans="1:5" ht="15.75" customHeight="1">
      <c r="A8" s="4308" t="s">
        <v>9800</v>
      </c>
      <c r="B8" s="4311">
        <v>5</v>
      </c>
      <c r="C8" s="4316">
        <v>1271284.21</v>
      </c>
      <c r="D8" s="4316">
        <v>19422884.359999999</v>
      </c>
      <c r="E8" s="4319"/>
    </row>
    <row r="9" spans="1:5" ht="15.75" customHeight="1">
      <c r="A9" s="4308" t="s">
        <v>9801</v>
      </c>
      <c r="B9" s="4311">
        <v>6</v>
      </c>
      <c r="C9" s="4316">
        <v>13260108.07</v>
      </c>
      <c r="D9" s="4316">
        <v>42155202.850000001</v>
      </c>
      <c r="E9" s="4319"/>
    </row>
    <row r="10" spans="1:5" ht="15.75" customHeight="1">
      <c r="A10" s="4308" t="s">
        <v>9802</v>
      </c>
      <c r="B10" s="4311">
        <v>7</v>
      </c>
      <c r="C10" s="4316"/>
      <c r="D10" s="4316"/>
      <c r="E10" s="4314"/>
    </row>
    <row r="11" spans="1:5" ht="15.75" customHeight="1">
      <c r="A11" s="4308" t="s">
        <v>9803</v>
      </c>
      <c r="B11" s="4311">
        <v>8</v>
      </c>
      <c r="C11" s="4316"/>
      <c r="D11" s="4316">
        <v>4492.4399999999996</v>
      </c>
      <c r="E11" s="4314"/>
    </row>
    <row r="12" spans="1:5" ht="15.75" customHeight="1">
      <c r="A12" s="4308" t="s">
        <v>9804</v>
      </c>
      <c r="B12" s="4311">
        <v>9</v>
      </c>
      <c r="C12" s="4316"/>
      <c r="D12" s="4316"/>
      <c r="E12" s="4314"/>
    </row>
    <row r="13" spans="1:5" ht="15.75" customHeight="1">
      <c r="A13" s="4308" t="s">
        <v>9805</v>
      </c>
      <c r="B13" s="4311">
        <v>10</v>
      </c>
      <c r="C13" s="4316"/>
      <c r="D13" s="4316"/>
      <c r="E13" s="4314"/>
    </row>
    <row r="14" spans="1:5" ht="15.75" customHeight="1">
      <c r="A14" s="4308" t="s">
        <v>9806</v>
      </c>
      <c r="B14" s="4311">
        <v>11</v>
      </c>
      <c r="C14" s="4316"/>
      <c r="D14" s="4316"/>
      <c r="E14" s="4314"/>
    </row>
    <row r="15" spans="1:5" ht="15.75" customHeight="1">
      <c r="A15" s="4308" t="s">
        <v>9807</v>
      </c>
      <c r="B15" s="4311">
        <v>12</v>
      </c>
      <c r="C15" s="4316"/>
      <c r="D15" s="4316"/>
      <c r="E15" s="4314"/>
    </row>
    <row r="16" spans="1:5" ht="15.75" customHeight="1">
      <c r="A16" s="4308" t="s">
        <v>9808</v>
      </c>
      <c r="B16" s="4311">
        <v>13</v>
      </c>
      <c r="C16" s="4316">
        <v>-7543271.29</v>
      </c>
      <c r="D16" s="4316">
        <v>6920040.3200000003</v>
      </c>
      <c r="E16" s="4314"/>
    </row>
    <row r="17" spans="1:5" ht="15.75" customHeight="1">
      <c r="A17" s="4308" t="s">
        <v>9809</v>
      </c>
      <c r="B17" s="4311">
        <v>14</v>
      </c>
      <c r="C17" s="4316"/>
      <c r="D17" s="4316">
        <v>8899.33</v>
      </c>
      <c r="E17" s="4314"/>
    </row>
    <row r="18" spans="1:5" ht="15.75" customHeight="1">
      <c r="A18" s="4308" t="s">
        <v>9810</v>
      </c>
      <c r="B18" s="4311">
        <v>15</v>
      </c>
      <c r="C18" s="4316"/>
      <c r="D18" s="4316"/>
      <c r="E18" s="4314"/>
    </row>
    <row r="19" spans="1:5" ht="15.75" customHeight="1">
      <c r="A19" s="4308" t="s">
        <v>9811</v>
      </c>
      <c r="B19" s="4311">
        <v>16</v>
      </c>
      <c r="C19" s="4316"/>
      <c r="D19" s="4316"/>
      <c r="E19" s="4314"/>
    </row>
    <row r="20" spans="1:5" ht="15.75" customHeight="1">
      <c r="A20" s="4308" t="s">
        <v>9812</v>
      </c>
      <c r="B20" s="4311">
        <v>17</v>
      </c>
      <c r="C20" s="4316"/>
      <c r="D20" s="4316"/>
      <c r="E20" s="4314"/>
    </row>
    <row r="21" spans="1:5" ht="15.75" customHeight="1">
      <c r="A21" s="4308" t="s">
        <v>9813</v>
      </c>
      <c r="B21" s="4311">
        <v>18</v>
      </c>
      <c r="C21" s="4316">
        <v>-7543271.29</v>
      </c>
      <c r="D21" s="4316">
        <v>6928939.6500000004</v>
      </c>
      <c r="E21" s="4314"/>
    </row>
    <row r="22" spans="1:5" ht="15.75" customHeight="1">
      <c r="A22" s="4308" t="s">
        <v>9814</v>
      </c>
      <c r="B22" s="4311">
        <v>19</v>
      </c>
      <c r="C22" s="4316">
        <v>-1224516.24</v>
      </c>
      <c r="D22" s="4316">
        <v>1732234.91</v>
      </c>
      <c r="E22" s="4314"/>
    </row>
    <row r="23" spans="1:5" ht="15.75" customHeight="1">
      <c r="A23" s="4308" t="s">
        <v>9815</v>
      </c>
      <c r="B23" s="4311">
        <v>20</v>
      </c>
      <c r="C23" s="4316"/>
      <c r="D23" s="4316"/>
      <c r="E23" s="4314"/>
    </row>
    <row r="24" spans="1:5" ht="15.75" customHeight="1">
      <c r="A24" s="4308" t="s">
        <v>9816</v>
      </c>
      <c r="B24" s="4311">
        <v>21</v>
      </c>
      <c r="C24" s="4316">
        <v>-6318755.0499999998</v>
      </c>
      <c r="D24" s="4316">
        <v>5196704.74</v>
      </c>
      <c r="E24" s="4314"/>
    </row>
  </sheetData>
  <mergeCells count="2">
    <mergeCell ref="A1:D1"/>
    <mergeCell ref="B2:C2"/>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7D696-52AB-4324-B0F3-232C4E0C4FDE}">
  <dimension ref="A1:C39"/>
  <sheetViews>
    <sheetView showZeros="0" workbookViewId="0">
      <selection activeCell="E7" sqref="E7"/>
    </sheetView>
  </sheetViews>
  <sheetFormatPr defaultRowHeight="13.5"/>
  <cols>
    <col min="1" max="1" width="38.125" style="4303" customWidth="1"/>
    <col min="2" max="2" width="23.5" style="4303" customWidth="1"/>
    <col min="3" max="3" width="22.875" style="4303" customWidth="1"/>
    <col min="4" max="4" width="8" style="4303" customWidth="1"/>
    <col min="5" max="16384" width="9" style="4303"/>
  </cols>
  <sheetData>
    <row r="1" spans="1:3" ht="23.25" customHeight="1">
      <c r="A1" s="4771" t="s">
        <v>9817</v>
      </c>
      <c r="B1" s="4771"/>
      <c r="C1" s="4771"/>
    </row>
    <row r="2" spans="1:3" ht="18.75" customHeight="1">
      <c r="A2" s="4317" t="s">
        <v>9719</v>
      </c>
      <c r="B2" s="4317" t="s">
        <v>9720</v>
      </c>
      <c r="C2" s="4317" t="s">
        <v>9792</v>
      </c>
    </row>
    <row r="3" spans="1:3" ht="18.75" customHeight="1">
      <c r="A3" s="4311" t="s">
        <v>9818</v>
      </c>
      <c r="B3" s="4318" t="s">
        <v>9819</v>
      </c>
      <c r="C3" s="4318" t="s">
        <v>9820</v>
      </c>
    </row>
    <row r="4" spans="1:3" ht="18.75" customHeight="1">
      <c r="A4" s="4308" t="s">
        <v>9821</v>
      </c>
      <c r="B4" s="4312"/>
      <c r="C4" s="4312"/>
    </row>
    <row r="5" spans="1:3" ht="18.75" customHeight="1">
      <c r="A5" s="4311" t="s">
        <v>9822</v>
      </c>
      <c r="B5" s="4312">
        <v>18903146.84</v>
      </c>
      <c r="C5" s="4312">
        <v>140463498.40000001</v>
      </c>
    </row>
    <row r="6" spans="1:3" ht="18.75" customHeight="1">
      <c r="A6" s="4311" t="s">
        <v>9823</v>
      </c>
      <c r="B6" s="4312"/>
      <c r="C6" s="4312"/>
    </row>
    <row r="7" spans="1:3" ht="18.75" customHeight="1">
      <c r="A7" s="4311" t="s">
        <v>9824</v>
      </c>
      <c r="B7" s="4312">
        <v>5220435.42</v>
      </c>
      <c r="C7" s="4312">
        <v>110197866.91</v>
      </c>
    </row>
    <row r="8" spans="1:3" ht="18.75" customHeight="1">
      <c r="A8" s="4308" t="s">
        <v>9825</v>
      </c>
      <c r="B8" s="4312">
        <v>24123582.260000002</v>
      </c>
      <c r="C8" s="4312">
        <v>250661365.31</v>
      </c>
    </row>
    <row r="9" spans="1:3" ht="18.75" customHeight="1">
      <c r="A9" s="4311" t="s">
        <v>9826</v>
      </c>
      <c r="B9" s="4312">
        <v>5471384.2699999996</v>
      </c>
      <c r="C9" s="4312">
        <v>37151797</v>
      </c>
    </row>
    <row r="10" spans="1:3" ht="18.75" customHeight="1">
      <c r="A10" s="4311" t="s">
        <v>9827</v>
      </c>
      <c r="B10" s="4312">
        <v>25223.46</v>
      </c>
      <c r="C10" s="4312">
        <v>251552.35</v>
      </c>
    </row>
    <row r="11" spans="1:3" ht="18.75" customHeight="1">
      <c r="A11" s="4311" t="s">
        <v>9828</v>
      </c>
      <c r="B11" s="4312">
        <v>557706.75</v>
      </c>
      <c r="C11" s="4312">
        <v>12475657.85</v>
      </c>
    </row>
    <row r="12" spans="1:3" ht="18.75" customHeight="1">
      <c r="A12" s="4311" t="s">
        <v>9829</v>
      </c>
      <c r="B12" s="4312">
        <v>1406999.84</v>
      </c>
      <c r="C12" s="4312">
        <v>104600339.39</v>
      </c>
    </row>
    <row r="13" spans="1:3" ht="18.75" customHeight="1">
      <c r="A13" s="4308" t="s">
        <v>9830</v>
      </c>
      <c r="B13" s="4312">
        <v>7461314.3200000003</v>
      </c>
      <c r="C13" s="4312">
        <v>154479346.59</v>
      </c>
    </row>
    <row r="14" spans="1:3" ht="18.75" customHeight="1">
      <c r="A14" s="4308" t="s">
        <v>9831</v>
      </c>
      <c r="B14" s="4312">
        <v>16662267.939999999</v>
      </c>
      <c r="C14" s="4312">
        <v>96182018.719999999</v>
      </c>
    </row>
    <row r="15" spans="1:3" ht="18.75" customHeight="1">
      <c r="A15" s="4308" t="s">
        <v>9832</v>
      </c>
      <c r="B15" s="4312"/>
      <c r="C15" s="4312"/>
    </row>
    <row r="16" spans="1:3" ht="18.75" customHeight="1">
      <c r="A16" s="4311" t="s">
        <v>9833</v>
      </c>
      <c r="B16" s="4312"/>
      <c r="C16" s="4312"/>
    </row>
    <row r="17" spans="1:3" ht="18.75" customHeight="1">
      <c r="A17" s="4311" t="s">
        <v>9834</v>
      </c>
      <c r="B17" s="4312"/>
      <c r="C17" s="4312"/>
    </row>
    <row r="18" spans="1:3" ht="18.75" customHeight="1">
      <c r="A18" s="4311" t="s">
        <v>9835</v>
      </c>
      <c r="B18" s="4312"/>
      <c r="C18" s="4312"/>
    </row>
    <row r="19" spans="1:3" ht="18.75" customHeight="1">
      <c r="A19" s="4311" t="s">
        <v>9836</v>
      </c>
      <c r="B19" s="4312"/>
      <c r="C19" s="4312"/>
    </row>
    <row r="20" spans="1:3" ht="18.75" customHeight="1">
      <c r="A20" s="4308" t="s">
        <v>9837</v>
      </c>
      <c r="B20" s="4312"/>
      <c r="C20" s="4312"/>
    </row>
    <row r="21" spans="1:3" ht="18.75" customHeight="1">
      <c r="A21" s="4311" t="s">
        <v>9838</v>
      </c>
      <c r="B21" s="4312"/>
      <c r="C21" s="4312">
        <v>51383</v>
      </c>
    </row>
    <row r="22" spans="1:3" ht="18.75" customHeight="1">
      <c r="A22" s="4311" t="s">
        <v>9839</v>
      </c>
      <c r="B22" s="4312"/>
      <c r="C22" s="4312"/>
    </row>
    <row r="23" spans="1:3" ht="18.75" customHeight="1">
      <c r="A23" s="4311" t="s">
        <v>9840</v>
      </c>
      <c r="B23" s="4312"/>
      <c r="C23" s="4312"/>
    </row>
    <row r="24" spans="1:3" ht="18.75" customHeight="1">
      <c r="A24" s="4308" t="s">
        <v>9841</v>
      </c>
      <c r="B24" s="4312"/>
      <c r="C24" s="4312">
        <v>51383</v>
      </c>
    </row>
    <row r="25" spans="1:3" ht="18.75" customHeight="1">
      <c r="A25" s="4308" t="s">
        <v>9842</v>
      </c>
      <c r="B25" s="4312"/>
      <c r="C25" s="4312">
        <v>-51383</v>
      </c>
    </row>
    <row r="26" spans="1:3" ht="18.75" customHeight="1">
      <c r="A26" s="4308" t="s">
        <v>9843</v>
      </c>
      <c r="B26" s="4312"/>
      <c r="C26" s="4312"/>
    </row>
    <row r="27" spans="1:3" ht="18.75" customHeight="1">
      <c r="A27" s="4311" t="s">
        <v>9844</v>
      </c>
      <c r="B27" s="4312"/>
      <c r="C27" s="4312"/>
    </row>
    <row r="28" spans="1:3" ht="18.75" customHeight="1">
      <c r="A28" s="4311" t="s">
        <v>9845</v>
      </c>
      <c r="B28" s="4312"/>
      <c r="C28" s="4312"/>
    </row>
    <row r="29" spans="1:3" ht="18.75" customHeight="1">
      <c r="A29" s="4311" t="s">
        <v>9846</v>
      </c>
      <c r="B29" s="4312"/>
      <c r="C29" s="4312"/>
    </row>
    <row r="30" spans="1:3" ht="18.75" customHeight="1">
      <c r="A30" s="4308" t="s">
        <v>9847</v>
      </c>
      <c r="B30" s="4312"/>
      <c r="C30" s="4312"/>
    </row>
    <row r="31" spans="1:3" ht="18.75" customHeight="1">
      <c r="A31" s="4311" t="s">
        <v>9848</v>
      </c>
      <c r="B31" s="4312">
        <v>37000000</v>
      </c>
      <c r="C31" s="4312">
        <v>67000000</v>
      </c>
    </row>
    <row r="32" spans="1:3" ht="18.75" customHeight="1">
      <c r="A32" s="4311" t="s">
        <v>9849</v>
      </c>
      <c r="B32" s="4312">
        <v>13278256.67</v>
      </c>
      <c r="C32" s="4312">
        <v>26618180.010000002</v>
      </c>
    </row>
    <row r="33" spans="1:3" ht="18.75" customHeight="1">
      <c r="A33" s="4311" t="s">
        <v>9850</v>
      </c>
      <c r="B33" s="4312"/>
      <c r="C33" s="4312">
        <v>952751.5</v>
      </c>
    </row>
    <row r="34" spans="1:3" ht="18.75" customHeight="1">
      <c r="A34" s="4308" t="s">
        <v>9851</v>
      </c>
      <c r="B34" s="4312">
        <v>50278256.670000002</v>
      </c>
      <c r="C34" s="4312">
        <v>94570931.510000005</v>
      </c>
    </row>
    <row r="35" spans="1:3" ht="18.75" customHeight="1">
      <c r="A35" s="4308" t="s">
        <v>9852</v>
      </c>
      <c r="B35" s="4312">
        <v>-50278256.670000002</v>
      </c>
      <c r="C35" s="4312">
        <v>-94570931.510000005</v>
      </c>
    </row>
    <row r="36" spans="1:3" ht="18.75" customHeight="1">
      <c r="A36" s="4308" t="s">
        <v>9853</v>
      </c>
      <c r="B36" s="4312"/>
      <c r="C36" s="4312"/>
    </row>
    <row r="37" spans="1:3" ht="18.75" customHeight="1">
      <c r="A37" s="4308" t="s">
        <v>9854</v>
      </c>
      <c r="B37" s="4312">
        <v>-33615988.729999997</v>
      </c>
      <c r="C37" s="4312">
        <v>1559704.21</v>
      </c>
    </row>
    <row r="38" spans="1:3" ht="18.75" customHeight="1">
      <c r="A38" s="4308" t="s">
        <v>9855</v>
      </c>
      <c r="B38" s="4312">
        <v>105676246.5</v>
      </c>
      <c r="C38" s="4312">
        <v>70500553.560000002</v>
      </c>
    </row>
    <row r="39" spans="1:3" ht="18.75" customHeight="1">
      <c r="A39" s="4308" t="s">
        <v>9856</v>
      </c>
      <c r="B39" s="4312">
        <v>72060257.769999996</v>
      </c>
      <c r="C39" s="4312">
        <v>72060257.769999996</v>
      </c>
    </row>
  </sheetData>
  <mergeCells count="1">
    <mergeCell ref="A1:C1"/>
  </mergeCells>
  <phoneticPr fontId="135"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74" t="s">
        <v>2721</v>
      </c>
      <c r="B1" s="4774"/>
      <c r="C1" s="4774"/>
      <c r="D1" s="4774"/>
      <c r="E1" s="4774"/>
      <c r="F1" s="4774"/>
      <c r="G1" s="4775"/>
      <c r="I1" s="2310" t="s">
        <v>2722</v>
      </c>
      <c r="J1" s="2311" t="s">
        <v>2723</v>
      </c>
      <c r="K1" s="2311" t="s">
        <v>2724</v>
      </c>
      <c r="L1" s="2311" t="s">
        <v>2725</v>
      </c>
      <c r="M1" s="2311" t="s">
        <v>2726</v>
      </c>
      <c r="N1" s="2311" t="s">
        <v>2727</v>
      </c>
      <c r="O1" s="2311" t="s">
        <v>2728</v>
      </c>
      <c r="P1" s="2311" t="s">
        <v>2729</v>
      </c>
      <c r="Q1" s="2311" t="s">
        <v>2730</v>
      </c>
      <c r="R1" s="2311" t="s">
        <v>2731</v>
      </c>
      <c r="S1" s="2311" t="s">
        <v>2732</v>
      </c>
      <c r="T1" s="2312" t="s">
        <v>2733</v>
      </c>
    </row>
    <row r="2" spans="1:20" ht="12" thickBot="1">
      <c r="A2" s="2313" t="s">
        <v>2734</v>
      </c>
      <c r="B2" s="2313"/>
      <c r="C2" s="2313"/>
      <c r="D2" s="2313"/>
      <c r="E2" s="2313"/>
      <c r="F2" s="2313"/>
      <c r="G2" s="2314" t="s">
        <v>2735</v>
      </c>
      <c r="I2" s="2315" t="s">
        <v>2736</v>
      </c>
      <c r="J2" s="2315" t="s">
        <v>2737</v>
      </c>
      <c r="K2" s="2315" t="s">
        <v>2738</v>
      </c>
      <c r="L2" s="2315" t="s">
        <v>2739</v>
      </c>
      <c r="M2" s="2315" t="s">
        <v>2740</v>
      </c>
      <c r="N2" s="2315" t="s">
        <v>2741</v>
      </c>
      <c r="O2" s="2315" t="s">
        <v>2742</v>
      </c>
      <c r="P2" s="2315" t="s">
        <v>2743</v>
      </c>
      <c r="Q2" s="2315" t="s">
        <v>2744</v>
      </c>
      <c r="R2" s="2315" t="s">
        <v>2745</v>
      </c>
      <c r="S2" s="2315" t="s">
        <v>2746</v>
      </c>
      <c r="T2" s="2315" t="s">
        <v>2747</v>
      </c>
    </row>
    <row r="3" spans="1:20" s="2321" customFormat="1">
      <c r="A3" s="4772" t="s">
        <v>2748</v>
      </c>
      <c r="B3" s="2316"/>
      <c r="C3" s="2317" t="s">
        <v>2693</v>
      </c>
      <c r="D3" s="2317" t="s">
        <v>2749</v>
      </c>
      <c r="E3" s="2317" t="s">
        <v>2695</v>
      </c>
      <c r="F3" s="2317" t="s">
        <v>2750</v>
      </c>
      <c r="G3" s="2317" t="s">
        <v>2513</v>
      </c>
      <c r="H3" s="2318"/>
      <c r="I3" s="2319" t="s">
        <v>2751</v>
      </c>
      <c r="J3" s="2320" t="s">
        <v>126</v>
      </c>
      <c r="K3" s="2320" t="s">
        <v>127</v>
      </c>
      <c r="L3" s="2319" t="s">
        <v>128</v>
      </c>
      <c r="M3" s="2319" t="s">
        <v>129</v>
      </c>
      <c r="N3" s="2319" t="s">
        <v>130</v>
      </c>
      <c r="O3" s="2319" t="s">
        <v>131</v>
      </c>
      <c r="P3" s="2319" t="s">
        <v>132</v>
      </c>
      <c r="Q3" s="2319" t="s">
        <v>133</v>
      </c>
      <c r="R3" s="2319" t="s">
        <v>134</v>
      </c>
      <c r="S3" s="2319" t="s">
        <v>2752</v>
      </c>
      <c r="T3" s="2319" t="s">
        <v>2753</v>
      </c>
    </row>
    <row r="4" spans="1:20" s="2321" customFormat="1" ht="12" thickBot="1">
      <c r="A4" s="4773"/>
      <c r="B4" s="2322" t="s">
        <v>2754</v>
      </c>
      <c r="C4" s="2322" t="s">
        <v>2755</v>
      </c>
      <c r="D4" s="2322" t="s">
        <v>2755</v>
      </c>
      <c r="E4" s="2322" t="s">
        <v>2755</v>
      </c>
      <c r="F4" s="2323" t="s">
        <v>2755</v>
      </c>
      <c r="G4" s="2323" t="s">
        <v>2755</v>
      </c>
      <c r="H4" s="2318"/>
      <c r="I4" s="2320" t="s">
        <v>135</v>
      </c>
      <c r="J4" s="2320" t="s">
        <v>109</v>
      </c>
      <c r="K4" s="2320" t="s">
        <v>136</v>
      </c>
      <c r="L4" s="2319" t="s">
        <v>137</v>
      </c>
      <c r="M4" s="2319" t="s">
        <v>138</v>
      </c>
      <c r="N4" s="2319" t="s">
        <v>139</v>
      </c>
      <c r="O4" s="2319" t="s">
        <v>140</v>
      </c>
      <c r="P4" s="2319" t="s">
        <v>141</v>
      </c>
      <c r="Q4" s="2319" t="s">
        <v>2756</v>
      </c>
      <c r="R4" s="2319" t="s">
        <v>2757</v>
      </c>
      <c r="S4" s="2319" t="s">
        <v>2758</v>
      </c>
      <c r="T4" s="2319" t="s">
        <v>2759</v>
      </c>
    </row>
    <row r="5" spans="1:20">
      <c r="A5" s="2324" t="s">
        <v>2722</v>
      </c>
      <c r="B5" s="2315" t="s">
        <v>2736</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2760</v>
      </c>
      <c r="R5" s="2319" t="s">
        <v>2761</v>
      </c>
      <c r="S5" s="2319" t="s">
        <v>151</v>
      </c>
      <c r="T5" s="2319" t="s">
        <v>2762</v>
      </c>
    </row>
    <row r="6" spans="1:20" ht="12" thickBot="1">
      <c r="A6" s="2319" t="s">
        <v>142</v>
      </c>
      <c r="B6" s="2319" t="s">
        <v>2751</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2763</v>
      </c>
      <c r="Q6" s="2319" t="s">
        <v>2764</v>
      </c>
      <c r="R6" s="2319" t="s">
        <v>159</v>
      </c>
      <c r="S6" s="2319" t="s">
        <v>2765</v>
      </c>
      <c r="T6" s="2319" t="s">
        <v>2766</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2767</v>
      </c>
      <c r="Q7" s="2319" t="s">
        <v>2768</v>
      </c>
      <c r="R7" s="2319" t="s">
        <v>2769</v>
      </c>
      <c r="S7" s="2319" t="s">
        <v>2770</v>
      </c>
      <c r="T7" s="2319" t="s">
        <v>2771</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2772</v>
      </c>
      <c r="Q8" s="2319" t="s">
        <v>172</v>
      </c>
      <c r="R8" s="2319" t="s">
        <v>2773</v>
      </c>
      <c r="S8" s="2319" t="s">
        <v>2774</v>
      </c>
      <c r="T8" s="2326" t="s">
        <v>2775</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2776</v>
      </c>
      <c r="Q9" s="2319" t="s">
        <v>180</v>
      </c>
      <c r="R9" s="2319" t="s">
        <v>181</v>
      </c>
      <c r="S9" s="2319" t="s">
        <v>198</v>
      </c>
    </row>
    <row r="10" spans="1:20">
      <c r="A10" s="2324" t="s">
        <v>182</v>
      </c>
      <c r="B10" s="2315" t="s">
        <v>2737</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2777</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2778</v>
      </c>
      <c r="P11" s="2319" t="s">
        <v>189</v>
      </c>
      <c r="Q11" s="2319" t="s">
        <v>197</v>
      </c>
      <c r="R11" s="2319" t="s">
        <v>2779</v>
      </c>
      <c r="S11" s="2319" t="s">
        <v>2780</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2781</v>
      </c>
      <c r="P12" s="2319" t="s">
        <v>2782</v>
      </c>
      <c r="Q12" s="2319" t="s">
        <v>2783</v>
      </c>
      <c r="R12" s="2319" t="s">
        <v>2784</v>
      </c>
      <c r="S12" s="2319" t="s">
        <v>2785</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2786</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2787</v>
      </c>
      <c r="K14" s="2320" t="s">
        <v>213</v>
      </c>
      <c r="L14" s="2319" t="s">
        <v>214</v>
      </c>
      <c r="M14" s="2319" t="s">
        <v>215</v>
      </c>
      <c r="N14" s="2319" t="s">
        <v>216</v>
      </c>
      <c r="O14" s="2319" t="s">
        <v>238</v>
      </c>
      <c r="P14" s="2319" t="s">
        <v>211</v>
      </c>
      <c r="Q14" s="2319" t="s">
        <v>2788</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2789</v>
      </c>
      <c r="P15" s="2319" t="s">
        <v>2790</v>
      </c>
      <c r="Q15" s="2319" t="s">
        <v>240</v>
      </c>
      <c r="R15" s="2319" t="s">
        <v>2791</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2792</v>
      </c>
      <c r="P16" s="2319" t="s">
        <v>225</v>
      </c>
      <c r="Q16" s="2319" t="s">
        <v>248</v>
      </c>
      <c r="R16" s="2319" t="s">
        <v>205</v>
      </c>
      <c r="S16" s="2319" t="s">
        <v>2793</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2794</v>
      </c>
      <c r="P17" s="2319" t="s">
        <v>2795</v>
      </c>
      <c r="Q17" s="2319" t="s">
        <v>254</v>
      </c>
      <c r="R17" s="2319" t="s">
        <v>2796</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2797</v>
      </c>
      <c r="P18" s="2319" t="s">
        <v>239</v>
      </c>
      <c r="Q18" s="2319" t="s">
        <v>2798</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2799</v>
      </c>
      <c r="P19" s="2319" t="s">
        <v>247</v>
      </c>
      <c r="Q19" s="2319" t="s">
        <v>2800</v>
      </c>
      <c r="R19" s="2319" t="s">
        <v>263</v>
      </c>
      <c r="S19" s="2319" t="s">
        <v>2801</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2802</v>
      </c>
      <c r="P20" s="2319" t="s">
        <v>2803</v>
      </c>
      <c r="Q20" s="2319" t="s">
        <v>288</v>
      </c>
      <c r="R20" s="2319" t="s">
        <v>2804</v>
      </c>
      <c r="S20" s="2319" t="s">
        <v>275</v>
      </c>
    </row>
    <row r="21" spans="1:19" ht="14.25" customHeight="1" thickBot="1">
      <c r="A21" s="2319" t="s">
        <v>182</v>
      </c>
      <c r="B21" s="2320" t="s">
        <v>206</v>
      </c>
      <c r="C21" s="2976">
        <v>32370</v>
      </c>
      <c r="D21" s="2976">
        <v>26730</v>
      </c>
      <c r="E21" s="2976">
        <v>26640</v>
      </c>
      <c r="F21" s="2976"/>
      <c r="G21" s="2976">
        <v>19440</v>
      </c>
      <c r="J21" s="2326" t="s">
        <v>2805</v>
      </c>
      <c r="K21" s="2320" t="s">
        <v>265</v>
      </c>
      <c r="L21" s="2319" t="s">
        <v>266</v>
      </c>
      <c r="M21" s="2319" t="s">
        <v>267</v>
      </c>
      <c r="N21" s="2319" t="s">
        <v>268</v>
      </c>
      <c r="O21" s="2319" t="s">
        <v>262</v>
      </c>
      <c r="P21" s="2319" t="s">
        <v>281</v>
      </c>
      <c r="Q21" s="2319" t="s">
        <v>291</v>
      </c>
      <c r="R21" s="2319" t="s">
        <v>2806</v>
      </c>
      <c r="S21" s="2326" t="s">
        <v>2807</v>
      </c>
    </row>
    <row r="22" spans="1:19" ht="14.25" customHeight="1">
      <c r="A22" s="2319" t="s">
        <v>182</v>
      </c>
      <c r="B22" s="2320" t="s">
        <v>2787</v>
      </c>
      <c r="C22" s="2976">
        <v>29830</v>
      </c>
      <c r="D22" s="2976">
        <v>27600</v>
      </c>
      <c r="E22" s="2976">
        <v>28150</v>
      </c>
      <c r="F22" s="2976"/>
      <c r="G22" s="2976">
        <v>20080</v>
      </c>
      <c r="K22" s="2320" t="s">
        <v>2808</v>
      </c>
      <c r="L22" s="2319" t="s">
        <v>270</v>
      </c>
      <c r="M22" s="2319" t="s">
        <v>271</v>
      </c>
      <c r="N22" s="2319" t="s">
        <v>272</v>
      </c>
      <c r="O22" s="2319" t="s">
        <v>2809</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2810</v>
      </c>
      <c r="L23" s="2319" t="s">
        <v>276</v>
      </c>
      <c r="M23" s="2319" t="s">
        <v>277</v>
      </c>
      <c r="N23" s="2319" t="s">
        <v>2811</v>
      </c>
      <c r="O23" s="2319" t="s">
        <v>2812</v>
      </c>
      <c r="P23" s="2319" t="s">
        <v>287</v>
      </c>
      <c r="Q23" s="2319" t="s">
        <v>296</v>
      </c>
      <c r="R23" s="2319" t="s">
        <v>2813</v>
      </c>
    </row>
    <row r="24" spans="1:19" ht="14.25" customHeight="1">
      <c r="A24" s="2319" t="s">
        <v>182</v>
      </c>
      <c r="B24" s="2320" t="s">
        <v>228</v>
      </c>
      <c r="C24" s="2976">
        <v>27930</v>
      </c>
      <c r="D24" s="2976">
        <v>32260</v>
      </c>
      <c r="E24" s="2976">
        <v>32120</v>
      </c>
      <c r="F24" s="2976"/>
      <c r="G24" s="2976">
        <v>23470</v>
      </c>
      <c r="K24" s="2320" t="s">
        <v>2814</v>
      </c>
      <c r="L24" s="2319" t="s">
        <v>279</v>
      </c>
      <c r="M24" s="2319" t="s">
        <v>280</v>
      </c>
      <c r="N24" s="2319" t="s">
        <v>2815</v>
      </c>
      <c r="O24" s="2319" t="s">
        <v>283</v>
      </c>
      <c r="P24" s="2319" t="s">
        <v>2816</v>
      </c>
      <c r="Q24" s="2328" t="s">
        <v>2817</v>
      </c>
      <c r="R24" s="2319" t="s">
        <v>2818</v>
      </c>
    </row>
    <row r="25" spans="1:19" ht="14.25" customHeight="1">
      <c r="A25" s="2319" t="s">
        <v>182</v>
      </c>
      <c r="B25" s="2320" t="s">
        <v>233</v>
      </c>
      <c r="C25" s="2976">
        <v>32230</v>
      </c>
      <c r="D25" s="2976">
        <v>29640</v>
      </c>
      <c r="E25" s="2976">
        <v>29510</v>
      </c>
      <c r="F25" s="2976"/>
      <c r="G25" s="2976">
        <v>21560</v>
      </c>
      <c r="K25" s="2320" t="s">
        <v>2819</v>
      </c>
      <c r="L25" s="2319" t="s">
        <v>2820</v>
      </c>
      <c r="M25" s="2319" t="s">
        <v>282</v>
      </c>
      <c r="N25" s="2319" t="s">
        <v>290</v>
      </c>
      <c r="O25" s="2319" t="s">
        <v>286</v>
      </c>
      <c r="P25" s="2319" t="s">
        <v>273</v>
      </c>
      <c r="Q25" s="2328" t="s">
        <v>269</v>
      </c>
      <c r="R25" s="2319" t="s">
        <v>2821</v>
      </c>
    </row>
    <row r="26" spans="1:19" ht="14.25" customHeight="1" thickBot="1">
      <c r="A26" s="2319" t="s">
        <v>182</v>
      </c>
      <c r="B26" s="2320" t="s">
        <v>242</v>
      </c>
      <c r="C26" s="2976">
        <v>31690</v>
      </c>
      <c r="D26" s="2976">
        <v>27650</v>
      </c>
      <c r="E26" s="2976">
        <v>28200</v>
      </c>
      <c r="F26" s="2976"/>
      <c r="G26" s="2976">
        <v>20110</v>
      </c>
      <c r="K26" s="2325" t="s">
        <v>2822</v>
      </c>
      <c r="L26" s="2319" t="s">
        <v>2823</v>
      </c>
      <c r="M26" s="2319" t="s">
        <v>285</v>
      </c>
      <c r="N26" s="2319" t="s">
        <v>292</v>
      </c>
      <c r="O26" s="2319" t="s">
        <v>2824</v>
      </c>
      <c r="P26" s="2319" t="s">
        <v>2825</v>
      </c>
      <c r="Q26" s="2328" t="s">
        <v>274</v>
      </c>
      <c r="R26" s="2319" t="s">
        <v>2826</v>
      </c>
    </row>
    <row r="27" spans="1:19" ht="14.25" customHeight="1">
      <c r="A27" s="2319" t="s">
        <v>182</v>
      </c>
      <c r="B27" s="2320" t="s">
        <v>249</v>
      </c>
      <c r="C27" s="2976">
        <v>29610</v>
      </c>
      <c r="D27" s="2976">
        <v>27770</v>
      </c>
      <c r="E27" s="2976">
        <v>28300</v>
      </c>
      <c r="F27" s="2976"/>
      <c r="G27" s="2976">
        <v>20210</v>
      </c>
      <c r="L27" s="2319" t="s">
        <v>2827</v>
      </c>
      <c r="M27" s="2319" t="s">
        <v>289</v>
      </c>
      <c r="N27" s="2319" t="s">
        <v>295</v>
      </c>
      <c r="O27" s="2319" t="s">
        <v>2828</v>
      </c>
      <c r="P27" s="2319" t="s">
        <v>2829</v>
      </c>
      <c r="Q27" s="2319" t="s">
        <v>2830</v>
      </c>
      <c r="R27" s="2319" t="s">
        <v>2831</v>
      </c>
    </row>
    <row r="28" spans="1:19" ht="14.25" customHeight="1">
      <c r="A28" s="2319" t="s">
        <v>182</v>
      </c>
      <c r="B28" s="2320" t="s">
        <v>257</v>
      </c>
      <c r="C28" s="2976"/>
      <c r="D28" s="2976">
        <v>31520</v>
      </c>
      <c r="E28" s="2976">
        <v>31410</v>
      </c>
      <c r="F28" s="2976"/>
      <c r="G28" s="2976">
        <v>22940</v>
      </c>
      <c r="L28" s="2319" t="s">
        <v>2832</v>
      </c>
      <c r="M28" s="2319" t="s">
        <v>2833</v>
      </c>
      <c r="N28" s="2319" t="s">
        <v>2834</v>
      </c>
      <c r="O28" s="2319" t="s">
        <v>2835</v>
      </c>
      <c r="P28" s="2319" t="s">
        <v>2836</v>
      </c>
      <c r="Q28" s="2319" t="s">
        <v>2837</v>
      </c>
      <c r="R28" s="2319" t="s">
        <v>2838</v>
      </c>
    </row>
    <row r="29" spans="1:19" ht="14.25" customHeight="1" thickBot="1">
      <c r="A29" s="2327" t="s">
        <v>182</v>
      </c>
      <c r="B29" s="2329" t="s">
        <v>2805</v>
      </c>
      <c r="C29" s="2978"/>
      <c r="D29" s="2978">
        <v>29460</v>
      </c>
      <c r="E29" s="2978">
        <v>28640</v>
      </c>
      <c r="F29" s="2978"/>
      <c r="G29" s="2978">
        <v>21430</v>
      </c>
      <c r="L29" s="2319" t="s">
        <v>2839</v>
      </c>
      <c r="M29" s="2319" t="s">
        <v>2840</v>
      </c>
      <c r="N29" s="2319" t="s">
        <v>2841</v>
      </c>
      <c r="O29" s="2319" t="s">
        <v>2842</v>
      </c>
      <c r="P29" s="2319" t="s">
        <v>2843</v>
      </c>
      <c r="Q29" s="2319" t="s">
        <v>2844</v>
      </c>
      <c r="R29" s="2319" t="s">
        <v>278</v>
      </c>
    </row>
    <row r="30" spans="1:19" ht="14.25" customHeight="1">
      <c r="A30" s="2324" t="s">
        <v>294</v>
      </c>
      <c r="B30" s="2315" t="s">
        <v>2738</v>
      </c>
      <c r="C30" s="2975">
        <v>26890</v>
      </c>
      <c r="D30" s="2975">
        <v>26770</v>
      </c>
      <c r="E30" s="2975">
        <v>25700</v>
      </c>
      <c r="F30" s="2975">
        <v>8180</v>
      </c>
      <c r="G30" s="2979">
        <v>18740</v>
      </c>
      <c r="L30" s="2319" t="s">
        <v>2845</v>
      </c>
      <c r="M30" s="2319" t="s">
        <v>2846</v>
      </c>
      <c r="N30" s="2319" t="s">
        <v>2847</v>
      </c>
      <c r="O30" s="2319" t="s">
        <v>2848</v>
      </c>
      <c r="P30" s="2319" t="s">
        <v>2849</v>
      </c>
      <c r="Q30" s="2319" t="s">
        <v>2850</v>
      </c>
      <c r="R30" s="2319" t="s">
        <v>2851</v>
      </c>
    </row>
    <row r="31" spans="1:19" ht="14.25" customHeight="1">
      <c r="A31" s="2319" t="s">
        <v>294</v>
      </c>
      <c r="B31" s="2320" t="s">
        <v>127</v>
      </c>
      <c r="C31" s="2976">
        <v>24550</v>
      </c>
      <c r="D31" s="2976">
        <v>23990</v>
      </c>
      <c r="E31" s="2976">
        <v>22930</v>
      </c>
      <c r="F31" s="2976">
        <v>7470</v>
      </c>
      <c r="G31" s="2980">
        <v>16790</v>
      </c>
      <c r="L31" s="2319" t="s">
        <v>2852</v>
      </c>
      <c r="M31" s="2319" t="s">
        <v>2853</v>
      </c>
      <c r="N31" s="2319" t="s">
        <v>2854</v>
      </c>
      <c r="O31" s="2319" t="s">
        <v>2855</v>
      </c>
      <c r="P31" s="2319" t="s">
        <v>2856</v>
      </c>
      <c r="Q31" s="2319" t="s">
        <v>2857</v>
      </c>
      <c r="R31" s="2319" t="s">
        <v>2858</v>
      </c>
    </row>
    <row r="32" spans="1:19" ht="14.25" customHeight="1" thickBot="1">
      <c r="A32" s="2319" t="s">
        <v>294</v>
      </c>
      <c r="B32" s="2320" t="s">
        <v>136</v>
      </c>
      <c r="C32" s="2976">
        <v>27210</v>
      </c>
      <c r="D32" s="2976">
        <v>23240</v>
      </c>
      <c r="E32" s="2976">
        <v>23260</v>
      </c>
      <c r="F32" s="2976">
        <v>7130</v>
      </c>
      <c r="G32" s="2980">
        <v>16270</v>
      </c>
      <c r="L32" s="2319" t="s">
        <v>2859</v>
      </c>
      <c r="M32" s="2319" t="s">
        <v>2860</v>
      </c>
      <c r="N32" s="2319" t="s">
        <v>298</v>
      </c>
      <c r="O32" s="2319" t="s">
        <v>2861</v>
      </c>
      <c r="P32" s="2319" t="s">
        <v>297</v>
      </c>
      <c r="Q32" s="2319" t="s">
        <v>2862</v>
      </c>
      <c r="R32" s="2326" t="s">
        <v>2863</v>
      </c>
    </row>
    <row r="33" spans="1:17" ht="14.25" customHeight="1" thickBot="1">
      <c r="A33" s="2319" t="s">
        <v>294</v>
      </c>
      <c r="B33" s="2320" t="s">
        <v>145</v>
      </c>
      <c r="C33" s="2976">
        <v>27300</v>
      </c>
      <c r="D33" s="2976">
        <v>22980</v>
      </c>
      <c r="E33" s="2976">
        <v>24260</v>
      </c>
      <c r="F33" s="2976">
        <v>5860</v>
      </c>
      <c r="G33" s="2980">
        <v>16090</v>
      </c>
      <c r="L33" s="2326" t="s">
        <v>2864</v>
      </c>
      <c r="M33" s="2319" t="s">
        <v>2865</v>
      </c>
      <c r="N33" s="2319" t="s">
        <v>299</v>
      </c>
      <c r="O33" s="2319" t="s">
        <v>2866</v>
      </c>
      <c r="P33" s="2319" t="s">
        <v>2867</v>
      </c>
      <c r="Q33" s="2319" t="s">
        <v>2868</v>
      </c>
    </row>
    <row r="34" spans="1:17" ht="14.25" customHeight="1">
      <c r="A34" s="2319" t="s">
        <v>294</v>
      </c>
      <c r="B34" s="2320" t="s">
        <v>154</v>
      </c>
      <c r="C34" s="2976">
        <v>23090</v>
      </c>
      <c r="D34" s="2976">
        <v>23390</v>
      </c>
      <c r="E34" s="2976">
        <v>23510</v>
      </c>
      <c r="F34" s="2976">
        <v>6700</v>
      </c>
      <c r="G34" s="2980">
        <v>16370</v>
      </c>
      <c r="M34" s="2319" t="s">
        <v>2869</v>
      </c>
      <c r="N34" s="2319" t="s">
        <v>300</v>
      </c>
      <c r="O34" s="2319" t="s">
        <v>2870</v>
      </c>
      <c r="P34" s="2319" t="s">
        <v>2871</v>
      </c>
      <c r="Q34" s="2319" t="s">
        <v>2872</v>
      </c>
    </row>
    <row r="35" spans="1:17" ht="14.25" customHeight="1">
      <c r="A35" s="2319" t="s">
        <v>294</v>
      </c>
      <c r="B35" s="2320" t="s">
        <v>161</v>
      </c>
      <c r="C35" s="2976">
        <v>27270</v>
      </c>
      <c r="D35" s="2976">
        <v>24270</v>
      </c>
      <c r="E35" s="2976">
        <v>24950</v>
      </c>
      <c r="F35" s="2976">
        <v>6600</v>
      </c>
      <c r="G35" s="2980">
        <v>16990</v>
      </c>
      <c r="M35" s="2319" t="s">
        <v>2873</v>
      </c>
      <c r="N35" s="2319" t="s">
        <v>2874</v>
      </c>
      <c r="O35" s="2319" t="s">
        <v>2875</v>
      </c>
      <c r="P35" s="2319" t="s">
        <v>2876</v>
      </c>
      <c r="Q35" s="2319" t="s">
        <v>2877</v>
      </c>
    </row>
    <row r="36" spans="1:17" ht="14.25" customHeight="1">
      <c r="A36" s="2319" t="s">
        <v>294</v>
      </c>
      <c r="B36" s="2320" t="s">
        <v>167</v>
      </c>
      <c r="C36" s="2976">
        <v>23490</v>
      </c>
      <c r="D36" s="2976">
        <v>23020</v>
      </c>
      <c r="E36" s="2976">
        <v>25230</v>
      </c>
      <c r="F36" s="2976">
        <v>6780</v>
      </c>
      <c r="G36" s="2980">
        <v>16120</v>
      </c>
      <c r="M36" s="2319" t="s">
        <v>2878</v>
      </c>
      <c r="N36" s="2319" t="s">
        <v>2879</v>
      </c>
      <c r="O36" s="2319" t="s">
        <v>2880</v>
      </c>
      <c r="P36" s="2319" t="s">
        <v>2881</v>
      </c>
      <c r="Q36" s="2319" t="s">
        <v>2882</v>
      </c>
    </row>
    <row r="37" spans="1:17" ht="14.25" customHeight="1">
      <c r="A37" s="2319" t="s">
        <v>294</v>
      </c>
      <c r="B37" s="2320" t="s">
        <v>174</v>
      </c>
      <c r="C37" s="2976">
        <v>24380</v>
      </c>
      <c r="D37" s="2976">
        <v>22240</v>
      </c>
      <c r="E37" s="2976">
        <v>25980</v>
      </c>
      <c r="F37" s="2976">
        <v>8160</v>
      </c>
      <c r="G37" s="2980">
        <v>15570</v>
      </c>
      <c r="M37" s="2319" t="s">
        <v>2883</v>
      </c>
      <c r="N37" s="2319" t="s">
        <v>2884</v>
      </c>
      <c r="O37" s="2319" t="s">
        <v>2885</v>
      </c>
      <c r="P37" s="2319" t="s">
        <v>2886</v>
      </c>
      <c r="Q37" s="2319" t="s">
        <v>2887</v>
      </c>
    </row>
    <row r="38" spans="1:17" ht="14.25" customHeight="1">
      <c r="A38" s="2319" t="s">
        <v>294</v>
      </c>
      <c r="B38" s="2320" t="s">
        <v>184</v>
      </c>
      <c r="C38" s="2976">
        <v>23120</v>
      </c>
      <c r="D38" s="2976">
        <v>24630</v>
      </c>
      <c r="E38" s="2976">
        <v>25030</v>
      </c>
      <c r="F38" s="2976">
        <v>7710</v>
      </c>
      <c r="G38" s="2980">
        <v>17240</v>
      </c>
      <c r="M38" s="2319" t="s">
        <v>2888</v>
      </c>
      <c r="N38" s="2319" t="s">
        <v>2889</v>
      </c>
      <c r="O38" s="2319" t="s">
        <v>2890</v>
      </c>
      <c r="P38" s="2319" t="s">
        <v>2891</v>
      </c>
      <c r="Q38" s="2319" t="s">
        <v>2892</v>
      </c>
    </row>
    <row r="39" spans="1:17" ht="14.25" customHeight="1">
      <c r="A39" s="2319" t="s">
        <v>294</v>
      </c>
      <c r="B39" s="2320" t="s">
        <v>193</v>
      </c>
      <c r="C39" s="2976">
        <v>22330</v>
      </c>
      <c r="D39" s="2976">
        <v>21140</v>
      </c>
      <c r="E39" s="2976">
        <v>23970</v>
      </c>
      <c r="F39" s="2976">
        <v>7940</v>
      </c>
      <c r="G39" s="2980">
        <v>14790</v>
      </c>
      <c r="M39" s="2319" t="s">
        <v>2893</v>
      </c>
      <c r="N39" s="2319" t="s">
        <v>2894</v>
      </c>
      <c r="O39" s="2319" t="s">
        <v>2895</v>
      </c>
      <c r="P39" s="2319" t="s">
        <v>2896</v>
      </c>
      <c r="Q39" s="2319" t="s">
        <v>2897</v>
      </c>
    </row>
    <row r="40" spans="1:17" ht="14.25" customHeight="1">
      <c r="A40" s="2319" t="s">
        <v>294</v>
      </c>
      <c r="B40" s="2320" t="s">
        <v>200</v>
      </c>
      <c r="C40" s="2976">
        <v>24740</v>
      </c>
      <c r="D40" s="2976">
        <v>24690</v>
      </c>
      <c r="E40" s="2976">
        <v>22610</v>
      </c>
      <c r="F40" s="2976"/>
      <c r="G40" s="2980">
        <v>17280</v>
      </c>
      <c r="M40" s="2319" t="s">
        <v>2898</v>
      </c>
      <c r="N40" s="2319" t="s">
        <v>2899</v>
      </c>
      <c r="O40" s="2319" t="s">
        <v>2900</v>
      </c>
      <c r="P40" s="2319" t="s">
        <v>2901</v>
      </c>
      <c r="Q40" s="2319" t="s">
        <v>2902</v>
      </c>
    </row>
    <row r="41" spans="1:17" ht="14.25" customHeight="1" thickBot="1">
      <c r="A41" s="2319" t="s">
        <v>294</v>
      </c>
      <c r="B41" s="2320" t="s">
        <v>207</v>
      </c>
      <c r="C41" s="2976">
        <v>21220</v>
      </c>
      <c r="D41" s="2976">
        <v>21120</v>
      </c>
      <c r="E41" s="2976">
        <v>22590</v>
      </c>
      <c r="F41" s="2976"/>
      <c r="G41" s="2980">
        <v>14780</v>
      </c>
      <c r="M41" s="2326" t="s">
        <v>2903</v>
      </c>
      <c r="N41" s="2319" t="s">
        <v>2904</v>
      </c>
      <c r="O41" s="2319" t="s">
        <v>2905</v>
      </c>
      <c r="P41" s="2319" t="s">
        <v>2906</v>
      </c>
      <c r="Q41" s="2319" t="s">
        <v>2907</v>
      </c>
    </row>
    <row r="42" spans="1:17" ht="14.25" customHeight="1">
      <c r="A42" s="2319" t="s">
        <v>294</v>
      </c>
      <c r="B42" s="2320" t="s">
        <v>213</v>
      </c>
      <c r="C42" s="2976">
        <v>24800</v>
      </c>
      <c r="D42" s="2976">
        <v>22280</v>
      </c>
      <c r="E42" s="2976">
        <v>24350</v>
      </c>
      <c r="F42" s="2976"/>
      <c r="G42" s="2980">
        <v>15590</v>
      </c>
      <c r="N42" s="2319" t="s">
        <v>2908</v>
      </c>
      <c r="O42" s="2319" t="s">
        <v>2909</v>
      </c>
      <c r="P42" s="2319" t="s">
        <v>2910</v>
      </c>
      <c r="Q42" s="2319" t="s">
        <v>2911</v>
      </c>
    </row>
    <row r="43" spans="1:17" ht="14.25" customHeight="1">
      <c r="A43" s="2319" t="s">
        <v>2912</v>
      </c>
      <c r="B43" s="2320" t="s">
        <v>221</v>
      </c>
      <c r="C43" s="2976">
        <v>21210</v>
      </c>
      <c r="D43" s="2976">
        <v>21160</v>
      </c>
      <c r="E43" s="2976">
        <v>22650</v>
      </c>
      <c r="F43" s="2976"/>
      <c r="G43" s="2980">
        <v>14800</v>
      </c>
      <c r="N43" s="2319" t="s">
        <v>2913</v>
      </c>
      <c r="O43" s="2319" t="s">
        <v>2914</v>
      </c>
      <c r="P43" s="2319" t="s">
        <v>2915</v>
      </c>
      <c r="Q43" s="2319" t="s">
        <v>2916</v>
      </c>
    </row>
    <row r="44" spans="1:17" ht="14.25" customHeight="1" thickBot="1">
      <c r="A44" s="2319" t="s">
        <v>294</v>
      </c>
      <c r="B44" s="2320" t="s">
        <v>229</v>
      </c>
      <c r="C44" s="2976">
        <v>22370</v>
      </c>
      <c r="D44" s="2976">
        <v>23140</v>
      </c>
      <c r="E44" s="2976">
        <v>25090</v>
      </c>
      <c r="F44" s="2976"/>
      <c r="G44" s="2980">
        <v>16190</v>
      </c>
      <c r="N44" s="2319" t="s">
        <v>2917</v>
      </c>
      <c r="O44" s="2319" t="s">
        <v>2918</v>
      </c>
      <c r="P44" s="2326" t="s">
        <v>2919</v>
      </c>
      <c r="Q44" s="2319" t="s">
        <v>2920</v>
      </c>
    </row>
    <row r="45" spans="1:17" ht="14.25" customHeight="1" thickBot="1">
      <c r="A45" s="2319" t="s">
        <v>294</v>
      </c>
      <c r="B45" s="2320" t="s">
        <v>234</v>
      </c>
      <c r="C45" s="2976">
        <v>21240</v>
      </c>
      <c r="D45" s="2976">
        <v>27050</v>
      </c>
      <c r="E45" s="2976">
        <v>28000</v>
      </c>
      <c r="F45" s="2976"/>
      <c r="G45" s="2980">
        <v>18940</v>
      </c>
      <c r="N45" s="2319" t="s">
        <v>2921</v>
      </c>
      <c r="O45" s="2326" t="s">
        <v>2922</v>
      </c>
      <c r="Q45" s="2319" t="s">
        <v>2923</v>
      </c>
    </row>
    <row r="46" spans="1:17" ht="14.25" customHeight="1">
      <c r="A46" s="2319" t="s">
        <v>294</v>
      </c>
      <c r="B46" s="2320" t="s">
        <v>243</v>
      </c>
      <c r="C46" s="2976">
        <v>23240</v>
      </c>
      <c r="D46" s="2976">
        <v>23000</v>
      </c>
      <c r="E46" s="2976">
        <v>24980</v>
      </c>
      <c r="F46" s="2976"/>
      <c r="G46" s="2980">
        <v>16100</v>
      </c>
      <c r="N46" s="2319" t="s">
        <v>2924</v>
      </c>
      <c r="Q46" s="2319" t="s">
        <v>2925</v>
      </c>
    </row>
    <row r="47" spans="1:17" ht="14.25" customHeight="1">
      <c r="A47" s="2319" t="s">
        <v>294</v>
      </c>
      <c r="B47" s="2320" t="s">
        <v>250</v>
      </c>
      <c r="C47" s="2976">
        <v>27150</v>
      </c>
      <c r="D47" s="2976">
        <v>23310</v>
      </c>
      <c r="E47" s="2976">
        <v>25150</v>
      </c>
      <c r="F47" s="2976"/>
      <c r="G47" s="2980">
        <v>16310</v>
      </c>
      <c r="N47" s="2319" t="s">
        <v>2926</v>
      </c>
      <c r="Q47" s="2319" t="s">
        <v>2927</v>
      </c>
    </row>
    <row r="48" spans="1:17" ht="14.25" customHeight="1">
      <c r="A48" s="2319" t="s">
        <v>294</v>
      </c>
      <c r="B48" s="2320" t="s">
        <v>258</v>
      </c>
      <c r="C48" s="2976">
        <v>23100</v>
      </c>
      <c r="D48" s="2976">
        <v>21110</v>
      </c>
      <c r="E48" s="2976">
        <v>23080</v>
      </c>
      <c r="F48" s="2976"/>
      <c r="G48" s="2980">
        <v>14780</v>
      </c>
      <c r="N48" s="2319" t="s">
        <v>2928</v>
      </c>
      <c r="Q48" s="2319" t="s">
        <v>2929</v>
      </c>
    </row>
    <row r="49" spans="1:17" ht="14.25" customHeight="1">
      <c r="A49" s="2319" t="s">
        <v>294</v>
      </c>
      <c r="B49" s="2320" t="s">
        <v>265</v>
      </c>
      <c r="C49" s="2976">
        <v>23400</v>
      </c>
      <c r="D49" s="2976">
        <v>22920</v>
      </c>
      <c r="E49" s="2976">
        <v>24900</v>
      </c>
      <c r="F49" s="2976"/>
      <c r="G49" s="2980">
        <v>16040</v>
      </c>
      <c r="N49" s="2319" t="s">
        <v>2930</v>
      </c>
      <c r="Q49" s="2319" t="s">
        <v>2931</v>
      </c>
    </row>
    <row r="50" spans="1:17" ht="14.25" customHeight="1">
      <c r="A50" s="2319" t="s">
        <v>294</v>
      </c>
      <c r="B50" s="2320" t="s">
        <v>2808</v>
      </c>
      <c r="C50" s="2976">
        <v>21200</v>
      </c>
      <c r="D50" s="2976">
        <v>26540</v>
      </c>
      <c r="E50" s="2976">
        <v>23200</v>
      </c>
      <c r="F50" s="2976"/>
      <c r="G50" s="2980">
        <v>18580</v>
      </c>
      <c r="N50" s="2319" t="s">
        <v>2932</v>
      </c>
      <c r="Q50" s="2320" t="s">
        <v>2933</v>
      </c>
    </row>
    <row r="51" spans="1:17" ht="14.25" customHeight="1" thickBot="1">
      <c r="A51" s="2319" t="s">
        <v>294</v>
      </c>
      <c r="B51" s="2320" t="s">
        <v>2810</v>
      </c>
      <c r="C51" s="2976">
        <v>23000</v>
      </c>
      <c r="D51" s="2976">
        <v>23460</v>
      </c>
      <c r="E51" s="2976">
        <v>25290</v>
      </c>
      <c r="F51" s="2976"/>
      <c r="G51" s="2980">
        <v>16420</v>
      </c>
      <c r="N51" s="2319" t="s">
        <v>2934</v>
      </c>
      <c r="Q51" s="2326" t="s">
        <v>2935</v>
      </c>
    </row>
    <row r="52" spans="1:17" ht="14.25" customHeight="1">
      <c r="A52" s="2319" t="s">
        <v>294</v>
      </c>
      <c r="B52" s="2320" t="s">
        <v>2814</v>
      </c>
      <c r="C52" s="2976">
        <v>26660</v>
      </c>
      <c r="D52" s="2976">
        <v>22350</v>
      </c>
      <c r="E52" s="2976">
        <v>22920</v>
      </c>
      <c r="F52" s="2976"/>
      <c r="G52" s="2980">
        <v>15640</v>
      </c>
      <c r="N52" s="2319" t="s">
        <v>2936</v>
      </c>
    </row>
    <row r="53" spans="1:17" ht="14.25" customHeight="1">
      <c r="A53" s="2319" t="s">
        <v>294</v>
      </c>
      <c r="B53" s="2320" t="s">
        <v>2819</v>
      </c>
      <c r="C53" s="2976">
        <v>23580</v>
      </c>
      <c r="D53" s="2976"/>
      <c r="E53" s="2976">
        <v>24280</v>
      </c>
      <c r="F53" s="2976"/>
      <c r="G53" s="2980"/>
      <c r="N53" s="2319" t="s">
        <v>2937</v>
      </c>
    </row>
    <row r="54" spans="1:17" ht="14.25" customHeight="1" thickBot="1">
      <c r="A54" s="2331" t="s">
        <v>294</v>
      </c>
      <c r="B54" s="2325" t="s">
        <v>2822</v>
      </c>
      <c r="C54" s="2977">
        <v>22460</v>
      </c>
      <c r="D54" s="2977"/>
      <c r="E54" s="2977"/>
      <c r="F54" s="2977"/>
      <c r="G54" s="2981"/>
      <c r="N54" s="2319" t="s">
        <v>2938</v>
      </c>
    </row>
    <row r="55" spans="1:17" ht="14.25" customHeight="1">
      <c r="A55" s="2324" t="s">
        <v>108</v>
      </c>
      <c r="B55" s="2315" t="s">
        <v>2939</v>
      </c>
      <c r="C55" s="2976">
        <v>21970</v>
      </c>
      <c r="D55" s="2976">
        <v>20370</v>
      </c>
      <c r="E55" s="2976">
        <v>20180</v>
      </c>
      <c r="F55" s="2976">
        <v>5730</v>
      </c>
      <c r="G55" s="2976">
        <v>13820</v>
      </c>
      <c r="N55" s="2319" t="s">
        <v>2940</v>
      </c>
    </row>
    <row r="56" spans="1:17" ht="14.25" customHeight="1">
      <c r="A56" s="2319" t="s">
        <v>108</v>
      </c>
      <c r="B56" s="2319" t="s">
        <v>128</v>
      </c>
      <c r="C56" s="2976">
        <v>20470</v>
      </c>
      <c r="D56" s="2976">
        <v>20700</v>
      </c>
      <c r="E56" s="2976">
        <v>20380</v>
      </c>
      <c r="F56" s="2976">
        <v>4760</v>
      </c>
      <c r="G56" s="2976">
        <v>14050</v>
      </c>
      <c r="N56" s="2319" t="s">
        <v>2941</v>
      </c>
    </row>
    <row r="57" spans="1:17" ht="14.25" customHeight="1">
      <c r="A57" s="2319" t="s">
        <v>108</v>
      </c>
      <c r="B57" s="2319" t="s">
        <v>137</v>
      </c>
      <c r="C57" s="2976">
        <v>20790</v>
      </c>
      <c r="D57" s="2976">
        <v>21370</v>
      </c>
      <c r="E57" s="2976">
        <v>20890</v>
      </c>
      <c r="F57" s="2976">
        <v>4910</v>
      </c>
      <c r="G57" s="2976">
        <v>14510</v>
      </c>
      <c r="N57" s="2319" t="s">
        <v>2942</v>
      </c>
    </row>
    <row r="58" spans="1:17" ht="14.25" customHeight="1">
      <c r="A58" s="2319" t="s">
        <v>108</v>
      </c>
      <c r="B58" s="2319" t="s">
        <v>146</v>
      </c>
      <c r="C58" s="2976">
        <v>21460</v>
      </c>
      <c r="D58" s="2976">
        <v>20920</v>
      </c>
      <c r="E58" s="2976">
        <v>23410</v>
      </c>
      <c r="F58" s="2976">
        <v>5100</v>
      </c>
      <c r="G58" s="2976">
        <v>14200</v>
      </c>
      <c r="N58" s="2319" t="s">
        <v>2943</v>
      </c>
    </row>
    <row r="59" spans="1:17" ht="14.25" customHeight="1">
      <c r="A59" s="2319" t="s">
        <v>108</v>
      </c>
      <c r="B59" s="2319" t="s">
        <v>155</v>
      </c>
      <c r="C59" s="2976">
        <v>21000</v>
      </c>
      <c r="D59" s="2976">
        <v>21550</v>
      </c>
      <c r="E59" s="2976">
        <v>21150</v>
      </c>
      <c r="F59" s="2976">
        <v>5250</v>
      </c>
      <c r="G59" s="2976">
        <v>14630</v>
      </c>
      <c r="N59" s="2319" t="s">
        <v>2944</v>
      </c>
    </row>
    <row r="60" spans="1:17" ht="14.25" customHeight="1">
      <c r="A60" s="2319" t="s">
        <v>108</v>
      </c>
      <c r="B60" s="2319" t="s">
        <v>162</v>
      </c>
      <c r="C60" s="2976">
        <v>21640</v>
      </c>
      <c r="D60" s="2976">
        <v>21260</v>
      </c>
      <c r="E60" s="2976">
        <v>24040</v>
      </c>
      <c r="F60" s="2976">
        <v>4470</v>
      </c>
      <c r="G60" s="2976">
        <v>14430</v>
      </c>
      <c r="N60" s="2319" t="s">
        <v>2945</v>
      </c>
    </row>
    <row r="61" spans="1:17" ht="14.25" customHeight="1">
      <c r="A61" s="2319" t="s">
        <v>108</v>
      </c>
      <c r="B61" s="2319" t="s">
        <v>168</v>
      </c>
      <c r="C61" s="2976">
        <v>21330</v>
      </c>
      <c r="D61" s="2976">
        <v>18640</v>
      </c>
      <c r="E61" s="2976">
        <v>21190</v>
      </c>
      <c r="F61" s="2976">
        <v>4180</v>
      </c>
      <c r="G61" s="2976">
        <v>12650</v>
      </c>
      <c r="N61" s="2319" t="s">
        <v>2946</v>
      </c>
    </row>
    <row r="62" spans="1:17" ht="14.25" customHeight="1">
      <c r="A62" s="2319" t="s">
        <v>108</v>
      </c>
      <c r="B62" s="2319" t="s">
        <v>175</v>
      </c>
      <c r="C62" s="2976">
        <v>18710</v>
      </c>
      <c r="D62" s="2976">
        <v>19400</v>
      </c>
      <c r="E62" s="2976">
        <v>23750</v>
      </c>
      <c r="F62" s="2976">
        <v>4860</v>
      </c>
      <c r="G62" s="2976">
        <v>13170</v>
      </c>
      <c r="N62" s="2319" t="s">
        <v>2947</v>
      </c>
    </row>
    <row r="63" spans="1:17" ht="14.25" customHeight="1">
      <c r="A63" s="2319" t="s">
        <v>108</v>
      </c>
      <c r="B63" s="2319" t="s">
        <v>185</v>
      </c>
      <c r="C63" s="2976">
        <v>19480</v>
      </c>
      <c r="D63" s="2976">
        <v>16830</v>
      </c>
      <c r="E63" s="2976">
        <v>21590</v>
      </c>
      <c r="F63" s="2976">
        <v>4560</v>
      </c>
      <c r="G63" s="2976">
        <v>11420</v>
      </c>
      <c r="N63" s="2319" t="s">
        <v>2948</v>
      </c>
    </row>
    <row r="64" spans="1:17" ht="14.25" customHeight="1" thickBot="1">
      <c r="A64" s="2319" t="s">
        <v>108</v>
      </c>
      <c r="B64" s="2319" t="s">
        <v>194</v>
      </c>
      <c r="C64" s="2976">
        <v>16920</v>
      </c>
      <c r="D64" s="2976">
        <v>19190</v>
      </c>
      <c r="E64" s="2976">
        <v>22200</v>
      </c>
      <c r="F64" s="2976">
        <v>4390</v>
      </c>
      <c r="G64" s="2976">
        <v>13030</v>
      </c>
      <c r="N64" s="2326" t="s">
        <v>2949</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2820</v>
      </c>
      <c r="C78" s="2976">
        <v>19820</v>
      </c>
      <c r="D78" s="2976">
        <v>19780</v>
      </c>
      <c r="E78" s="2976">
        <v>18560</v>
      </c>
      <c r="F78" s="2976"/>
      <c r="G78" s="2976">
        <v>13430</v>
      </c>
    </row>
    <row r="79" spans="1:7" s="2191" customFormat="1" ht="14.25" customHeight="1">
      <c r="A79" s="2319" t="s">
        <v>108</v>
      </c>
      <c r="B79" s="2319" t="s">
        <v>2823</v>
      </c>
      <c r="C79" s="2976">
        <v>21660</v>
      </c>
      <c r="D79" s="2976">
        <v>18000</v>
      </c>
      <c r="E79" s="2976">
        <v>22570</v>
      </c>
      <c r="F79" s="2976"/>
      <c r="G79" s="2976">
        <v>12220</v>
      </c>
    </row>
    <row r="80" spans="1:7" s="2191" customFormat="1" ht="14.25" customHeight="1">
      <c r="A80" s="2319" t="s">
        <v>108</v>
      </c>
      <c r="B80" s="2319" t="s">
        <v>2827</v>
      </c>
      <c r="C80" s="2976">
        <v>19850</v>
      </c>
      <c r="D80" s="2976"/>
      <c r="E80" s="2976">
        <v>21700</v>
      </c>
      <c r="F80" s="2976"/>
      <c r="G80" s="2976"/>
    </row>
    <row r="81" spans="1:7" s="2191" customFormat="1" ht="14.25" customHeight="1">
      <c r="A81" s="2319" t="s">
        <v>108</v>
      </c>
      <c r="B81" s="2319" t="s">
        <v>2832</v>
      </c>
      <c r="C81" s="2976">
        <v>18080</v>
      </c>
      <c r="D81" s="2976"/>
      <c r="E81" s="2976">
        <v>20900</v>
      </c>
      <c r="F81" s="2976"/>
      <c r="G81" s="2976"/>
    </row>
    <row r="82" spans="1:7" s="2191" customFormat="1" ht="14.25" customHeight="1">
      <c r="A82" s="2319" t="s">
        <v>108</v>
      </c>
      <c r="B82" s="2319" t="s">
        <v>2839</v>
      </c>
      <c r="C82" s="2976"/>
      <c r="D82" s="2976"/>
      <c r="E82" s="2976">
        <v>20840</v>
      </c>
      <c r="F82" s="2976"/>
      <c r="G82" s="2976"/>
    </row>
    <row r="83" spans="1:7" s="2191" customFormat="1" ht="14.25" customHeight="1">
      <c r="A83" s="2319" t="s">
        <v>108</v>
      </c>
      <c r="B83" s="2319" t="s">
        <v>2950</v>
      </c>
      <c r="C83" s="2976"/>
      <c r="D83" s="2976"/>
      <c r="E83" s="2976"/>
      <c r="F83" s="2976">
        <v>4770</v>
      </c>
      <c r="G83" s="2976"/>
    </row>
    <row r="84" spans="1:7" s="2191" customFormat="1" ht="14.25" customHeight="1">
      <c r="A84" s="2319" t="s">
        <v>108</v>
      </c>
      <c r="B84" s="2319" t="s">
        <v>2951</v>
      </c>
      <c r="C84" s="2976"/>
      <c r="D84" s="2976"/>
      <c r="E84" s="2976"/>
      <c r="F84" s="2976">
        <v>4600</v>
      </c>
      <c r="G84" s="2976"/>
    </row>
    <row r="85" spans="1:7" s="2191" customFormat="1" ht="14.25" customHeight="1">
      <c r="A85" s="2319" t="s">
        <v>108</v>
      </c>
      <c r="B85" s="2319" t="s">
        <v>2952</v>
      </c>
      <c r="C85" s="2976"/>
      <c r="D85" s="2976"/>
      <c r="E85" s="2976"/>
      <c r="F85" s="2976">
        <v>4680</v>
      </c>
      <c r="G85" s="2976"/>
    </row>
    <row r="86" spans="1:7" s="2191" customFormat="1" ht="14.25" customHeight="1" thickBot="1">
      <c r="A86" s="2327" t="s">
        <v>108</v>
      </c>
      <c r="B86" s="2329" t="s">
        <v>2953</v>
      </c>
      <c r="C86" s="2978">
        <v>16610</v>
      </c>
      <c r="D86" s="2978">
        <v>16540</v>
      </c>
      <c r="E86" s="2978">
        <v>18850</v>
      </c>
      <c r="F86" s="2978"/>
      <c r="G86" s="2978">
        <v>11220</v>
      </c>
    </row>
    <row r="87" spans="1:7" s="2191" customFormat="1" ht="14.25" customHeight="1">
      <c r="A87" s="2324" t="s">
        <v>301</v>
      </c>
      <c r="B87" s="2315" t="s">
        <v>2954</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2833</v>
      </c>
      <c r="C113" s="2976">
        <v>15520</v>
      </c>
      <c r="D113" s="2976">
        <v>15450</v>
      </c>
      <c r="E113" s="2976"/>
      <c r="F113" s="2976"/>
      <c r="G113" s="2980">
        <v>10210</v>
      </c>
    </row>
    <row r="114" spans="1:7" s="2191" customFormat="1" ht="14.25" customHeight="1">
      <c r="A114" s="2319" t="s">
        <v>301</v>
      </c>
      <c r="B114" s="2319" t="s">
        <v>2840</v>
      </c>
      <c r="C114" s="2976">
        <v>13110</v>
      </c>
      <c r="D114" s="2976">
        <v>13050</v>
      </c>
      <c r="E114" s="2976"/>
      <c r="F114" s="2976"/>
      <c r="G114" s="2980">
        <v>8620</v>
      </c>
    </row>
    <row r="115" spans="1:7" s="2191" customFormat="1" ht="14.25" customHeight="1">
      <c r="A115" s="2319" t="s">
        <v>301</v>
      </c>
      <c r="B115" s="2319" t="s">
        <v>2846</v>
      </c>
      <c r="C115" s="2976">
        <v>12460</v>
      </c>
      <c r="D115" s="2976">
        <v>12390</v>
      </c>
      <c r="E115" s="2976"/>
      <c r="F115" s="2976"/>
      <c r="G115" s="2980">
        <v>8190</v>
      </c>
    </row>
    <row r="116" spans="1:7" s="2191" customFormat="1" ht="14.25" customHeight="1">
      <c r="A116" s="2319" t="s">
        <v>301</v>
      </c>
      <c r="B116" s="2319" t="s">
        <v>2853</v>
      </c>
      <c r="C116" s="2976">
        <v>13580</v>
      </c>
      <c r="D116" s="2976">
        <v>13520</v>
      </c>
      <c r="E116" s="2976"/>
      <c r="F116" s="2976"/>
      <c r="G116" s="2980">
        <v>8930</v>
      </c>
    </row>
    <row r="117" spans="1:7" s="2191" customFormat="1" ht="14.25" customHeight="1">
      <c r="A117" s="2319" t="s">
        <v>301</v>
      </c>
      <c r="B117" s="2319" t="s">
        <v>2860</v>
      </c>
      <c r="C117" s="2976">
        <v>17120</v>
      </c>
      <c r="D117" s="2976">
        <v>17040</v>
      </c>
      <c r="E117" s="2976"/>
      <c r="F117" s="2976"/>
      <c r="G117" s="2980">
        <v>11260</v>
      </c>
    </row>
    <row r="118" spans="1:7" s="2191" customFormat="1" ht="14.25" customHeight="1">
      <c r="A118" s="2319" t="s">
        <v>301</v>
      </c>
      <c r="B118" s="2319" t="s">
        <v>2865</v>
      </c>
      <c r="C118" s="2976">
        <v>14860</v>
      </c>
      <c r="D118" s="2976">
        <v>14790</v>
      </c>
      <c r="E118" s="2976"/>
      <c r="F118" s="2976"/>
      <c r="G118" s="2980">
        <v>9780</v>
      </c>
    </row>
    <row r="119" spans="1:7" s="2191" customFormat="1" ht="14.25" customHeight="1">
      <c r="A119" s="2319" t="s">
        <v>301</v>
      </c>
      <c r="B119" s="2319" t="s">
        <v>2869</v>
      </c>
      <c r="C119" s="2976">
        <v>16470</v>
      </c>
      <c r="D119" s="2976">
        <v>16400</v>
      </c>
      <c r="E119" s="2976"/>
      <c r="F119" s="2976"/>
      <c r="G119" s="2980">
        <v>10840</v>
      </c>
    </row>
    <row r="120" spans="1:7" s="2191" customFormat="1" ht="14.25" customHeight="1">
      <c r="A120" s="2319" t="s">
        <v>301</v>
      </c>
      <c r="B120" s="2319" t="s">
        <v>2955</v>
      </c>
      <c r="C120" s="2976"/>
      <c r="D120" s="2976"/>
      <c r="E120" s="2976"/>
      <c r="F120" s="2976">
        <v>4160</v>
      </c>
      <c r="G120" s="2980"/>
    </row>
    <row r="121" spans="1:7" s="2191" customFormat="1" ht="14.25" customHeight="1">
      <c r="A121" s="2319" t="s">
        <v>301</v>
      </c>
      <c r="B121" s="2319" t="s">
        <v>2956</v>
      </c>
      <c r="C121" s="2976"/>
      <c r="D121" s="2976"/>
      <c r="E121" s="2976"/>
      <c r="F121" s="2976">
        <v>3880</v>
      </c>
      <c r="G121" s="2980"/>
    </row>
    <row r="122" spans="1:7" s="2191" customFormat="1" ht="14.25" customHeight="1">
      <c r="A122" s="2319" t="s">
        <v>301</v>
      </c>
      <c r="B122" s="2319" t="s">
        <v>2957</v>
      </c>
      <c r="C122" s="2976">
        <v>13750</v>
      </c>
      <c r="D122" s="2976">
        <v>13680</v>
      </c>
      <c r="E122" s="2976">
        <v>16460</v>
      </c>
      <c r="F122" s="2976">
        <v>2880</v>
      </c>
      <c r="G122" s="2980">
        <v>9040</v>
      </c>
    </row>
    <row r="123" spans="1:7" s="2191" customFormat="1" ht="14.25" customHeight="1">
      <c r="A123" s="2319" t="s">
        <v>301</v>
      </c>
      <c r="B123" s="2319" t="s">
        <v>2888</v>
      </c>
      <c r="C123" s="2976">
        <v>13590</v>
      </c>
      <c r="D123" s="2976">
        <v>13520</v>
      </c>
      <c r="E123" s="2976">
        <v>16290</v>
      </c>
      <c r="F123" s="2976">
        <v>2790</v>
      </c>
      <c r="G123" s="2980">
        <v>8930</v>
      </c>
    </row>
    <row r="124" spans="1:7" s="2191" customFormat="1" ht="14.25" customHeight="1">
      <c r="A124" s="2319" t="s">
        <v>301</v>
      </c>
      <c r="B124" s="2319" t="s">
        <v>2893</v>
      </c>
      <c r="C124" s="2976">
        <v>13400</v>
      </c>
      <c r="D124" s="2976">
        <v>13320</v>
      </c>
      <c r="E124" s="2976">
        <v>16100</v>
      </c>
      <c r="F124" s="2976">
        <v>2320</v>
      </c>
      <c r="G124" s="2980">
        <v>8800</v>
      </c>
    </row>
    <row r="125" spans="1:7" s="2191" customFormat="1" ht="14.25" customHeight="1">
      <c r="A125" s="2319" t="s">
        <v>301</v>
      </c>
      <c r="B125" s="2319" t="s">
        <v>2898</v>
      </c>
      <c r="C125" s="2976">
        <v>12860</v>
      </c>
      <c r="D125" s="2976">
        <v>12790</v>
      </c>
      <c r="E125" s="2976">
        <v>15370</v>
      </c>
      <c r="F125" s="2976">
        <v>2280</v>
      </c>
      <c r="G125" s="2980">
        <v>8450</v>
      </c>
    </row>
    <row r="126" spans="1:7" s="2191" customFormat="1" ht="14.25" customHeight="1" thickBot="1">
      <c r="A126" s="2331" t="s">
        <v>301</v>
      </c>
      <c r="B126" s="2326" t="s">
        <v>2903</v>
      </c>
      <c r="C126" s="2977">
        <v>12960</v>
      </c>
      <c r="D126" s="2977">
        <v>12890</v>
      </c>
      <c r="E126" s="2977">
        <v>15530</v>
      </c>
      <c r="F126" s="2977">
        <v>2910</v>
      </c>
      <c r="G126" s="2981">
        <v>8520</v>
      </c>
    </row>
    <row r="127" spans="1:7" s="2191" customFormat="1" ht="14.25" customHeight="1">
      <c r="A127" s="2324" t="s">
        <v>27</v>
      </c>
      <c r="B127" s="2315" t="s">
        <v>2958</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2959</v>
      </c>
      <c r="C148" s="2976">
        <v>10370</v>
      </c>
      <c r="D148" s="2976">
        <v>10310</v>
      </c>
      <c r="E148" s="2976">
        <v>12970</v>
      </c>
      <c r="F148" s="2976"/>
      <c r="G148" s="2976">
        <v>6630</v>
      </c>
    </row>
    <row r="149" spans="1:7" s="2191" customFormat="1" ht="14.25" customHeight="1">
      <c r="A149" s="2319" t="s">
        <v>27</v>
      </c>
      <c r="B149" s="2319" t="s">
        <v>2960</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2834</v>
      </c>
      <c r="C153" s="2976">
        <v>10880</v>
      </c>
      <c r="D153" s="2976">
        <v>10820</v>
      </c>
      <c r="E153" s="2976">
        <v>13660</v>
      </c>
      <c r="F153" s="2976">
        <v>2260</v>
      </c>
      <c r="G153" s="2976">
        <v>6970</v>
      </c>
    </row>
    <row r="154" spans="1:7" s="2191" customFormat="1" ht="14.25" customHeight="1">
      <c r="A154" s="2319" t="s">
        <v>27</v>
      </c>
      <c r="B154" s="2319" t="s">
        <v>2961</v>
      </c>
      <c r="C154" s="2976">
        <v>11220</v>
      </c>
      <c r="D154" s="2976">
        <v>11160</v>
      </c>
      <c r="E154" s="2976">
        <v>14130</v>
      </c>
      <c r="F154" s="2976">
        <v>2230</v>
      </c>
      <c r="G154" s="2976">
        <v>7180</v>
      </c>
    </row>
    <row r="155" spans="1:7" s="2191" customFormat="1" ht="14.25" customHeight="1">
      <c r="A155" s="2319" t="s">
        <v>27</v>
      </c>
      <c r="B155" s="2319" t="s">
        <v>2847</v>
      </c>
      <c r="C155" s="2976">
        <v>10430</v>
      </c>
      <c r="D155" s="2976">
        <v>10380</v>
      </c>
      <c r="E155" s="2976">
        <v>13140</v>
      </c>
      <c r="F155" s="2976">
        <v>2080</v>
      </c>
      <c r="G155" s="2976">
        <v>6650</v>
      </c>
    </row>
    <row r="156" spans="1:7" s="2191" customFormat="1" ht="14.25" customHeight="1">
      <c r="A156" s="2319" t="s">
        <v>27</v>
      </c>
      <c r="B156" s="2319" t="s">
        <v>2962</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2963</v>
      </c>
      <c r="C160" s="2976">
        <v>11180</v>
      </c>
      <c r="D160" s="2976">
        <v>11140</v>
      </c>
      <c r="E160" s="2976">
        <v>14050</v>
      </c>
      <c r="F160" s="2976">
        <v>2270</v>
      </c>
      <c r="G160" s="2976">
        <v>7170</v>
      </c>
    </row>
    <row r="161" spans="1:7" s="2191" customFormat="1" ht="14.25" customHeight="1">
      <c r="A161" s="2319" t="s">
        <v>27</v>
      </c>
      <c r="B161" s="2319" t="s">
        <v>2879</v>
      </c>
      <c r="C161" s="2976">
        <v>11160</v>
      </c>
      <c r="D161" s="2976">
        <v>11120</v>
      </c>
      <c r="E161" s="2976">
        <v>14020</v>
      </c>
      <c r="F161" s="2976">
        <v>2150</v>
      </c>
      <c r="G161" s="2976">
        <v>7160</v>
      </c>
    </row>
    <row r="162" spans="1:7" s="2191" customFormat="1" ht="14.25" customHeight="1">
      <c r="A162" s="2319" t="s">
        <v>27</v>
      </c>
      <c r="B162" s="2319" t="s">
        <v>2884</v>
      </c>
      <c r="C162" s="2976">
        <v>9620</v>
      </c>
      <c r="D162" s="2976">
        <v>9570</v>
      </c>
      <c r="E162" s="2976">
        <v>12320</v>
      </c>
      <c r="F162" s="2976">
        <v>2010</v>
      </c>
      <c r="G162" s="2976">
        <v>6160</v>
      </c>
    </row>
    <row r="163" spans="1:7" s="2191" customFormat="1" ht="14.25" customHeight="1">
      <c r="A163" s="2319" t="s">
        <v>27</v>
      </c>
      <c r="B163" s="2319" t="s">
        <v>2889</v>
      </c>
      <c r="C163" s="2976">
        <v>9320</v>
      </c>
      <c r="D163" s="2976">
        <v>9270</v>
      </c>
      <c r="E163" s="2976">
        <v>11790</v>
      </c>
      <c r="F163" s="2976">
        <v>1920</v>
      </c>
      <c r="G163" s="2976">
        <v>5960</v>
      </c>
    </row>
    <row r="164" spans="1:7" s="2191" customFormat="1" ht="14.25" customHeight="1">
      <c r="A164" s="2319" t="s">
        <v>27</v>
      </c>
      <c r="B164" s="2319" t="s">
        <v>2894</v>
      </c>
      <c r="C164" s="2976"/>
      <c r="D164" s="2976"/>
      <c r="E164" s="2976"/>
      <c r="F164" s="2976">
        <v>1980</v>
      </c>
      <c r="G164" s="2976"/>
    </row>
    <row r="165" spans="1:7" s="2191" customFormat="1" ht="14.25" customHeight="1">
      <c r="A165" s="2319" t="s">
        <v>27</v>
      </c>
      <c r="B165" s="2319" t="s">
        <v>2964</v>
      </c>
      <c r="C165" s="2976">
        <v>11060</v>
      </c>
      <c r="D165" s="2976">
        <v>11030</v>
      </c>
      <c r="E165" s="2976">
        <v>13850</v>
      </c>
      <c r="F165" s="2976">
        <v>2170</v>
      </c>
      <c r="G165" s="2976">
        <v>7090</v>
      </c>
    </row>
    <row r="166" spans="1:7" s="2191" customFormat="1" ht="14.25" customHeight="1">
      <c r="A166" s="2319" t="s">
        <v>27</v>
      </c>
      <c r="B166" s="2319" t="s">
        <v>2904</v>
      </c>
      <c r="C166" s="2976">
        <v>11050</v>
      </c>
      <c r="D166" s="2976">
        <v>11010</v>
      </c>
      <c r="E166" s="2976">
        <v>13920</v>
      </c>
      <c r="F166" s="2976">
        <v>2140</v>
      </c>
      <c r="G166" s="2976">
        <v>7080</v>
      </c>
    </row>
    <row r="167" spans="1:7" s="2191" customFormat="1" ht="14.25" customHeight="1">
      <c r="A167" s="2319" t="s">
        <v>27</v>
      </c>
      <c r="B167" s="2319" t="s">
        <v>2908</v>
      </c>
      <c r="C167" s="2976">
        <v>10930</v>
      </c>
      <c r="D167" s="2976">
        <v>10890</v>
      </c>
      <c r="E167" s="2976">
        <v>13790</v>
      </c>
      <c r="F167" s="2976">
        <v>2010</v>
      </c>
      <c r="G167" s="2976">
        <v>7000</v>
      </c>
    </row>
    <row r="168" spans="1:7" s="2191" customFormat="1" ht="14.25" customHeight="1">
      <c r="A168" s="2319" t="s">
        <v>27</v>
      </c>
      <c r="B168" s="2319" t="s">
        <v>2913</v>
      </c>
      <c r="C168" s="2976">
        <v>9420</v>
      </c>
      <c r="D168" s="2976">
        <v>9380</v>
      </c>
      <c r="E168" s="2976">
        <v>11970</v>
      </c>
      <c r="F168" s="2976"/>
      <c r="G168" s="2976">
        <v>6040</v>
      </c>
    </row>
    <row r="169" spans="1:7" s="2191" customFormat="1" ht="14.25" customHeight="1">
      <c r="A169" s="2319" t="s">
        <v>27</v>
      </c>
      <c r="B169" s="2319" t="s">
        <v>2965</v>
      </c>
      <c r="C169" s="2976"/>
      <c r="D169" s="2976"/>
      <c r="E169" s="2976"/>
      <c r="F169" s="2976">
        <v>2880</v>
      </c>
      <c r="G169" s="2976"/>
    </row>
    <row r="170" spans="1:7" s="2191" customFormat="1" ht="14.25" customHeight="1">
      <c r="A170" s="2319" t="s">
        <v>27</v>
      </c>
      <c r="B170" s="2319" t="s">
        <v>2921</v>
      </c>
      <c r="C170" s="2976"/>
      <c r="D170" s="2976"/>
      <c r="E170" s="2976"/>
      <c r="F170" s="2976">
        <v>2880</v>
      </c>
      <c r="G170" s="2976"/>
    </row>
    <row r="171" spans="1:7" s="2191" customFormat="1" ht="14.25" customHeight="1">
      <c r="A171" s="2319" t="s">
        <v>27</v>
      </c>
      <c r="B171" s="2319" t="s">
        <v>2924</v>
      </c>
      <c r="C171" s="2976"/>
      <c r="D171" s="2976"/>
      <c r="E171" s="2976"/>
      <c r="F171" s="2976">
        <v>2880</v>
      </c>
      <c r="G171" s="2976"/>
    </row>
    <row r="172" spans="1:7" s="2191" customFormat="1" ht="14.25" customHeight="1">
      <c r="A172" s="2319" t="s">
        <v>27</v>
      </c>
      <c r="B172" s="2319" t="s">
        <v>2926</v>
      </c>
      <c r="C172" s="2976"/>
      <c r="D172" s="2976"/>
      <c r="E172" s="2976"/>
      <c r="F172" s="2976">
        <v>2880</v>
      </c>
      <c r="G172" s="2976"/>
    </row>
    <row r="173" spans="1:7" s="2191" customFormat="1" ht="14.25" customHeight="1">
      <c r="A173" s="2319" t="s">
        <v>27</v>
      </c>
      <c r="B173" s="2319" t="s">
        <v>2928</v>
      </c>
      <c r="C173" s="2976"/>
      <c r="D173" s="2976"/>
      <c r="E173" s="2976"/>
      <c r="F173" s="2976">
        <v>2150</v>
      </c>
      <c r="G173" s="2976"/>
    </row>
    <row r="174" spans="1:7" s="2191" customFormat="1" ht="14.25" customHeight="1">
      <c r="A174" s="2319" t="s">
        <v>27</v>
      </c>
      <c r="B174" s="2319" t="s">
        <v>2930</v>
      </c>
      <c r="C174" s="2976"/>
      <c r="D174" s="2976"/>
      <c r="E174" s="2976"/>
      <c r="F174" s="2976">
        <v>2030</v>
      </c>
      <c r="G174" s="2976"/>
    </row>
    <row r="175" spans="1:7" s="2191" customFormat="1" ht="14.25" customHeight="1">
      <c r="A175" s="2319" t="s">
        <v>27</v>
      </c>
      <c r="B175" s="2319" t="s">
        <v>2932</v>
      </c>
      <c r="C175" s="2976"/>
      <c r="D175" s="2976"/>
      <c r="E175" s="2976"/>
      <c r="F175" s="2976">
        <v>2780</v>
      </c>
      <c r="G175" s="2976"/>
    </row>
    <row r="176" spans="1:7" s="2191" customFormat="1" ht="14.25" customHeight="1">
      <c r="A176" s="2319" t="s">
        <v>27</v>
      </c>
      <c r="B176" s="2319" t="s">
        <v>2934</v>
      </c>
      <c r="C176" s="2976"/>
      <c r="D176" s="2976"/>
      <c r="E176" s="2976"/>
      <c r="F176" s="2976">
        <v>2780</v>
      </c>
      <c r="G176" s="2976"/>
    </row>
    <row r="177" spans="1:7" s="2191" customFormat="1" ht="14.25" customHeight="1">
      <c r="A177" s="2319" t="s">
        <v>27</v>
      </c>
      <c r="B177" s="2319" t="s">
        <v>2966</v>
      </c>
      <c r="C177" s="2976"/>
      <c r="D177" s="2976"/>
      <c r="E177" s="2976"/>
      <c r="F177" s="2976">
        <v>2780</v>
      </c>
      <c r="G177" s="2976"/>
    </row>
    <row r="178" spans="1:7" s="2191" customFormat="1" ht="14.25" customHeight="1">
      <c r="A178" s="2319" t="s">
        <v>27</v>
      </c>
      <c r="B178" s="2319" t="s">
        <v>2967</v>
      </c>
      <c r="C178" s="2976"/>
      <c r="D178" s="2976"/>
      <c r="E178" s="2976"/>
      <c r="F178" s="2976">
        <v>2060</v>
      </c>
      <c r="G178" s="2976"/>
    </row>
    <row r="179" spans="1:7" s="2191" customFormat="1" ht="14.25" customHeight="1">
      <c r="A179" s="2319" t="s">
        <v>27</v>
      </c>
      <c r="B179" s="2319" t="s">
        <v>2968</v>
      </c>
      <c r="C179" s="2976"/>
      <c r="D179" s="2976"/>
      <c r="E179" s="2976"/>
      <c r="F179" s="2976">
        <v>2120</v>
      </c>
      <c r="G179" s="2976"/>
    </row>
    <row r="180" spans="1:7" s="2191" customFormat="1" ht="14.25" customHeight="1">
      <c r="A180" s="2319" t="s">
        <v>27</v>
      </c>
      <c r="B180" s="2319" t="s">
        <v>2940</v>
      </c>
      <c r="C180" s="2976"/>
      <c r="D180" s="2976"/>
      <c r="E180" s="2976"/>
      <c r="F180" s="2976">
        <v>2340</v>
      </c>
      <c r="G180" s="2976"/>
    </row>
    <row r="181" spans="1:7" s="2191" customFormat="1" ht="14.25" customHeight="1">
      <c r="A181" s="2319" t="s">
        <v>27</v>
      </c>
      <c r="B181" s="2319" t="s">
        <v>2941</v>
      </c>
      <c r="C181" s="2976"/>
      <c r="D181" s="2976"/>
      <c r="E181" s="2976"/>
      <c r="F181" s="2976">
        <v>2340</v>
      </c>
      <c r="G181" s="2976"/>
    </row>
    <row r="182" spans="1:7" s="2191" customFormat="1" ht="14.25" customHeight="1">
      <c r="A182" s="2319" t="s">
        <v>27</v>
      </c>
      <c r="B182" s="2319" t="s">
        <v>2942</v>
      </c>
      <c r="C182" s="2976"/>
      <c r="D182" s="2976"/>
      <c r="E182" s="2976"/>
      <c r="F182" s="2976">
        <v>2340</v>
      </c>
      <c r="G182" s="2976"/>
    </row>
    <row r="183" spans="1:7" s="2191" customFormat="1" ht="14.25" customHeight="1">
      <c r="A183" s="2319" t="s">
        <v>27</v>
      </c>
      <c r="B183" s="2319" t="s">
        <v>2943</v>
      </c>
      <c r="C183" s="2976"/>
      <c r="D183" s="2976"/>
      <c r="E183" s="2976"/>
      <c r="F183" s="2976">
        <v>2340</v>
      </c>
      <c r="G183" s="2976"/>
    </row>
    <row r="184" spans="1:7" s="2191" customFormat="1" ht="14.25" customHeight="1">
      <c r="A184" s="2319" t="s">
        <v>27</v>
      </c>
      <c r="B184" s="2319" t="s">
        <v>2944</v>
      </c>
      <c r="C184" s="2976"/>
      <c r="D184" s="2976"/>
      <c r="E184" s="2976"/>
      <c r="F184" s="2976">
        <v>2340</v>
      </c>
      <c r="G184" s="2976"/>
    </row>
    <row r="185" spans="1:7" s="2191" customFormat="1" ht="14.25" customHeight="1">
      <c r="A185" s="2319" t="s">
        <v>27</v>
      </c>
      <c r="B185" s="2319" t="s">
        <v>2945</v>
      </c>
      <c r="C185" s="2976"/>
      <c r="D185" s="2976"/>
      <c r="E185" s="2976"/>
      <c r="F185" s="2976">
        <v>2530</v>
      </c>
      <c r="G185" s="2976"/>
    </row>
    <row r="186" spans="1:7" s="2191" customFormat="1" ht="14.25" customHeight="1">
      <c r="A186" s="2319" t="s">
        <v>27</v>
      </c>
      <c r="B186" s="2319" t="s">
        <v>2946</v>
      </c>
      <c r="C186" s="2976"/>
      <c r="D186" s="2976"/>
      <c r="E186" s="2976"/>
      <c r="F186" s="2976">
        <v>2550</v>
      </c>
      <c r="G186" s="2976"/>
    </row>
    <row r="187" spans="1:7" s="2191" customFormat="1" ht="14.25" customHeight="1">
      <c r="A187" s="2319" t="s">
        <v>27</v>
      </c>
      <c r="B187" s="2319" t="s">
        <v>2947</v>
      </c>
      <c r="C187" s="2976"/>
      <c r="D187" s="2976"/>
      <c r="E187" s="2976"/>
      <c r="F187" s="2976">
        <v>2070</v>
      </c>
      <c r="G187" s="2976"/>
    </row>
    <row r="188" spans="1:7" s="2191" customFormat="1" ht="14.25" customHeight="1">
      <c r="A188" s="2319" t="s">
        <v>27</v>
      </c>
      <c r="B188" s="2319" t="s">
        <v>2948</v>
      </c>
      <c r="C188" s="2976"/>
      <c r="D188" s="2976"/>
      <c r="E188" s="2976"/>
      <c r="F188" s="2976">
        <v>2340</v>
      </c>
      <c r="G188" s="2976"/>
    </row>
    <row r="189" spans="1:7" s="2191" customFormat="1" ht="14.25" customHeight="1" thickBot="1">
      <c r="A189" s="2327" t="s">
        <v>27</v>
      </c>
      <c r="B189" s="2330" t="s">
        <v>2949</v>
      </c>
      <c r="C189" s="2978"/>
      <c r="D189" s="2978"/>
      <c r="E189" s="2978"/>
      <c r="F189" s="2978">
        <v>2050</v>
      </c>
      <c r="G189" s="2978"/>
    </row>
    <row r="190" spans="1:7" s="2191" customFormat="1" ht="14.25" customHeight="1">
      <c r="A190" s="2324" t="s">
        <v>302</v>
      </c>
      <c r="B190" s="2315" t="s">
        <v>2969</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2970</v>
      </c>
      <c r="C199" s="2976">
        <v>8690</v>
      </c>
      <c r="D199" s="2976">
        <v>8630</v>
      </c>
      <c r="E199" s="2976">
        <v>11350</v>
      </c>
      <c r="F199" s="2976">
        <v>1600</v>
      </c>
      <c r="G199" s="2980">
        <v>5450</v>
      </c>
    </row>
    <row r="200" spans="1:7" s="2191" customFormat="1" ht="14.25" customHeight="1">
      <c r="A200" s="2319" t="s">
        <v>302</v>
      </c>
      <c r="B200" s="2319" t="s">
        <v>2781</v>
      </c>
      <c r="C200" s="2976"/>
      <c r="D200" s="2976"/>
      <c r="E200" s="2976"/>
      <c r="F200" s="2976">
        <v>1510</v>
      </c>
      <c r="G200" s="2980"/>
    </row>
    <row r="201" spans="1:7" s="2191" customFormat="1" ht="14.25" customHeight="1">
      <c r="A201" s="2319" t="s">
        <v>302</v>
      </c>
      <c r="B201" s="2319" t="s">
        <v>2971</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2972</v>
      </c>
      <c r="C203" s="2976">
        <v>8130</v>
      </c>
      <c r="D203" s="2976">
        <v>8070</v>
      </c>
      <c r="E203" s="2976">
        <v>10820</v>
      </c>
      <c r="F203" s="2976">
        <v>1690</v>
      </c>
      <c r="G203" s="2980">
        <v>5100</v>
      </c>
    </row>
    <row r="204" spans="1:7" s="2191" customFormat="1" ht="14.25" customHeight="1">
      <c r="A204" s="2319" t="s">
        <v>302</v>
      </c>
      <c r="B204" s="2319" t="s">
        <v>2792</v>
      </c>
      <c r="C204" s="2976">
        <v>8350</v>
      </c>
      <c r="D204" s="2976">
        <v>8290</v>
      </c>
      <c r="E204" s="2976">
        <v>11080</v>
      </c>
      <c r="F204" s="2976">
        <v>1450</v>
      </c>
      <c r="G204" s="2980">
        <v>5240</v>
      </c>
    </row>
    <row r="205" spans="1:7" s="2191" customFormat="1" ht="14.25" customHeight="1">
      <c r="A205" s="2319" t="s">
        <v>302</v>
      </c>
      <c r="B205" s="2319" t="s">
        <v>2794</v>
      </c>
      <c r="C205" s="2976">
        <v>7190</v>
      </c>
      <c r="D205" s="2976">
        <v>7130</v>
      </c>
      <c r="E205" s="2976">
        <v>9490</v>
      </c>
      <c r="F205" s="2976">
        <v>1470</v>
      </c>
      <c r="G205" s="2980">
        <v>4510</v>
      </c>
    </row>
    <row r="206" spans="1:7" s="2191" customFormat="1" ht="14.25" customHeight="1">
      <c r="A206" s="2319" t="s">
        <v>302</v>
      </c>
      <c r="B206" s="2319" t="s">
        <v>2797</v>
      </c>
      <c r="C206" s="2976">
        <v>7000</v>
      </c>
      <c r="D206" s="2976">
        <v>6950</v>
      </c>
      <c r="E206" s="2976">
        <v>9170</v>
      </c>
      <c r="F206" s="2976">
        <v>1400</v>
      </c>
      <c r="G206" s="2980">
        <v>4380</v>
      </c>
    </row>
    <row r="207" spans="1:7" s="2191" customFormat="1" ht="14.25" customHeight="1">
      <c r="A207" s="2319" t="s">
        <v>302</v>
      </c>
      <c r="B207" s="2319" t="s">
        <v>2799</v>
      </c>
      <c r="C207" s="2976">
        <v>6950</v>
      </c>
      <c r="D207" s="2976">
        <v>6900</v>
      </c>
      <c r="E207" s="2976">
        <v>9110</v>
      </c>
      <c r="F207" s="2976">
        <v>1790</v>
      </c>
      <c r="G207" s="2980">
        <v>4360</v>
      </c>
    </row>
    <row r="208" spans="1:7" s="2191" customFormat="1" ht="14.25" customHeight="1">
      <c r="A208" s="2319" t="s">
        <v>302</v>
      </c>
      <c r="B208" s="2319" t="s">
        <v>2973</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2809</v>
      </c>
      <c r="C210" s="2976">
        <v>8710</v>
      </c>
      <c r="D210" s="2976">
        <v>8660</v>
      </c>
      <c r="E210" s="2976">
        <v>11440</v>
      </c>
      <c r="F210" s="2976">
        <v>1740</v>
      </c>
      <c r="G210" s="2980">
        <v>5470</v>
      </c>
    </row>
    <row r="211" spans="1:7" s="2191" customFormat="1" ht="14.25" customHeight="1">
      <c r="A211" s="2319" t="s">
        <v>302</v>
      </c>
      <c r="B211" s="2319" t="s">
        <v>2974</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2975</v>
      </c>
      <c r="C214" s="2976">
        <v>8090</v>
      </c>
      <c r="D214" s="2976">
        <v>8030</v>
      </c>
      <c r="E214" s="2976">
        <v>10780</v>
      </c>
      <c r="F214" s="2976">
        <v>1570</v>
      </c>
      <c r="G214" s="2980">
        <v>5070</v>
      </c>
    </row>
    <row r="215" spans="1:7" s="2191" customFormat="1" ht="14.25" customHeight="1">
      <c r="A215" s="2319" t="s">
        <v>302</v>
      </c>
      <c r="B215" s="2319" t="s">
        <v>2976</v>
      </c>
      <c r="C215" s="2976">
        <v>7950</v>
      </c>
      <c r="D215" s="2976">
        <v>7900</v>
      </c>
      <c r="E215" s="2976">
        <v>10560</v>
      </c>
      <c r="F215" s="2976">
        <v>1630</v>
      </c>
      <c r="G215" s="2980">
        <v>4990</v>
      </c>
    </row>
    <row r="216" spans="1:7" s="2191" customFormat="1" ht="14.25" customHeight="1">
      <c r="A216" s="2319" t="s">
        <v>302</v>
      </c>
      <c r="B216" s="2319" t="s">
        <v>2977</v>
      </c>
      <c r="C216" s="2976">
        <v>8490</v>
      </c>
      <c r="D216" s="2976">
        <v>8440</v>
      </c>
      <c r="E216" s="2976">
        <v>11260</v>
      </c>
      <c r="F216" s="2976">
        <v>1690</v>
      </c>
      <c r="G216" s="2980">
        <v>5330</v>
      </c>
    </row>
    <row r="217" spans="1:7" s="2191" customFormat="1" ht="14.25" customHeight="1">
      <c r="A217" s="2319" t="s">
        <v>302</v>
      </c>
      <c r="B217" s="2319" t="s">
        <v>2842</v>
      </c>
      <c r="C217" s="2976">
        <v>8200</v>
      </c>
      <c r="D217" s="2976">
        <v>8150</v>
      </c>
      <c r="E217" s="2976">
        <v>10910</v>
      </c>
      <c r="F217" s="2976">
        <v>1670</v>
      </c>
      <c r="G217" s="2980">
        <v>5150</v>
      </c>
    </row>
    <row r="218" spans="1:7" s="2191" customFormat="1" ht="14.25" customHeight="1">
      <c r="A218" s="2319" t="s">
        <v>302</v>
      </c>
      <c r="B218" s="2319" t="s">
        <v>2978</v>
      </c>
      <c r="C218" s="2976"/>
      <c r="D218" s="2976"/>
      <c r="E218" s="2976"/>
      <c r="F218" s="2976">
        <v>2040</v>
      </c>
      <c r="G218" s="2980"/>
    </row>
    <row r="219" spans="1:7" s="2191" customFormat="1" ht="14.25" customHeight="1">
      <c r="A219" s="2319" t="s">
        <v>302</v>
      </c>
      <c r="B219" s="2319" t="s">
        <v>2979</v>
      </c>
      <c r="C219" s="2976"/>
      <c r="D219" s="2976"/>
      <c r="E219" s="2976"/>
      <c r="F219" s="2976">
        <v>2040</v>
      </c>
      <c r="G219" s="2980"/>
    </row>
    <row r="220" spans="1:7" s="2191" customFormat="1" ht="14.25" customHeight="1">
      <c r="A220" s="2319" t="s">
        <v>302</v>
      </c>
      <c r="B220" s="2319" t="s">
        <v>2980</v>
      </c>
      <c r="C220" s="2976"/>
      <c r="D220" s="2976"/>
      <c r="E220" s="2976"/>
      <c r="F220" s="2976">
        <v>2040</v>
      </c>
      <c r="G220" s="2980"/>
    </row>
    <row r="221" spans="1:7" s="2191" customFormat="1" ht="14.25" customHeight="1">
      <c r="A221" s="2319" t="s">
        <v>302</v>
      </c>
      <c r="B221" s="2319" t="s">
        <v>2981</v>
      </c>
      <c r="C221" s="2976"/>
      <c r="D221" s="2976"/>
      <c r="E221" s="2976"/>
      <c r="F221" s="2976">
        <v>2040</v>
      </c>
      <c r="G221" s="2980"/>
    </row>
    <row r="222" spans="1:7" s="2191" customFormat="1" ht="14.25" customHeight="1">
      <c r="A222" s="2319" t="s">
        <v>302</v>
      </c>
      <c r="B222" s="2319" t="s">
        <v>2982</v>
      </c>
      <c r="C222" s="2976"/>
      <c r="D222" s="2976"/>
      <c r="E222" s="2976"/>
      <c r="F222" s="2976">
        <v>2040</v>
      </c>
      <c r="G222" s="2980"/>
    </row>
    <row r="223" spans="1:7" s="2191" customFormat="1" ht="14.25" customHeight="1">
      <c r="A223" s="2319" t="s">
        <v>302</v>
      </c>
      <c r="B223" s="2319" t="s">
        <v>2983</v>
      </c>
      <c r="C223" s="2976"/>
      <c r="D223" s="2976"/>
      <c r="E223" s="2976"/>
      <c r="F223" s="2976">
        <v>1930</v>
      </c>
      <c r="G223" s="2980"/>
    </row>
    <row r="224" spans="1:7" s="2191" customFormat="1" ht="14.25" customHeight="1">
      <c r="A224" s="2319" t="s">
        <v>302</v>
      </c>
      <c r="B224" s="2319" t="s">
        <v>2984</v>
      </c>
      <c r="C224" s="2976"/>
      <c r="D224" s="2976"/>
      <c r="E224" s="2976"/>
      <c r="F224" s="2976">
        <v>1930</v>
      </c>
      <c r="G224" s="2980"/>
    </row>
    <row r="225" spans="1:7" s="2191" customFormat="1" ht="14.25" customHeight="1">
      <c r="A225" s="2319" t="s">
        <v>302</v>
      </c>
      <c r="B225" s="2319" t="s">
        <v>2985</v>
      </c>
      <c r="C225" s="2976"/>
      <c r="D225" s="2976"/>
      <c r="E225" s="2976"/>
      <c r="F225" s="2976">
        <v>1930</v>
      </c>
      <c r="G225" s="2980"/>
    </row>
    <row r="226" spans="1:7" s="2191" customFormat="1" ht="14.25" customHeight="1">
      <c r="A226" s="2319" t="s">
        <v>302</v>
      </c>
      <c r="B226" s="2319" t="s">
        <v>2986</v>
      </c>
      <c r="C226" s="2976"/>
      <c r="D226" s="2976"/>
      <c r="E226" s="2976"/>
      <c r="F226" s="2976">
        <v>1700</v>
      </c>
      <c r="G226" s="2980"/>
    </row>
    <row r="227" spans="1:7" s="2191" customFormat="1" ht="14.25" customHeight="1">
      <c r="A227" s="2319" t="s">
        <v>302</v>
      </c>
      <c r="B227" s="2319" t="s">
        <v>2987</v>
      </c>
      <c r="C227" s="2976"/>
      <c r="D227" s="2976"/>
      <c r="E227" s="2976"/>
      <c r="F227" s="2976">
        <v>1520</v>
      </c>
      <c r="G227" s="2980"/>
    </row>
    <row r="228" spans="1:7" s="2191" customFormat="1" ht="14.25" customHeight="1">
      <c r="A228" s="2319" t="s">
        <v>302</v>
      </c>
      <c r="B228" s="2319" t="s">
        <v>2988</v>
      </c>
      <c r="C228" s="2976"/>
      <c r="D228" s="2976"/>
      <c r="E228" s="2976"/>
      <c r="F228" s="2976">
        <v>1520</v>
      </c>
      <c r="G228" s="2980"/>
    </row>
    <row r="229" spans="1:7" s="2191" customFormat="1" ht="14.25" customHeight="1">
      <c r="A229" s="2319" t="s">
        <v>302</v>
      </c>
      <c r="B229" s="2319" t="s">
        <v>2905</v>
      </c>
      <c r="C229" s="2976"/>
      <c r="D229" s="2976"/>
      <c r="E229" s="2976"/>
      <c r="F229" s="2976">
        <v>1520</v>
      </c>
      <c r="G229" s="2980"/>
    </row>
    <row r="230" spans="1:7" s="2191" customFormat="1" ht="14.25" customHeight="1">
      <c r="A230" s="2319" t="s">
        <v>302</v>
      </c>
      <c r="B230" s="2319" t="s">
        <v>2989</v>
      </c>
      <c r="C230" s="2976"/>
      <c r="D230" s="2976"/>
      <c r="E230" s="2976"/>
      <c r="F230" s="2976">
        <v>1820</v>
      </c>
      <c r="G230" s="2980"/>
    </row>
    <row r="231" spans="1:7" s="2191" customFormat="1" ht="14.25" customHeight="1">
      <c r="A231" s="2319" t="s">
        <v>302</v>
      </c>
      <c r="B231" s="2319" t="s">
        <v>2990</v>
      </c>
      <c r="C231" s="2976"/>
      <c r="D231" s="2976"/>
      <c r="E231" s="2976"/>
      <c r="F231" s="2976">
        <v>1760</v>
      </c>
      <c r="G231" s="2980"/>
    </row>
    <row r="232" spans="1:7" s="2191" customFormat="1" ht="14.25" customHeight="1">
      <c r="A232" s="2319" t="s">
        <v>302</v>
      </c>
      <c r="B232" s="2319" t="s">
        <v>2991</v>
      </c>
      <c r="C232" s="2976"/>
      <c r="D232" s="2976"/>
      <c r="E232" s="2976"/>
      <c r="F232" s="2976">
        <v>1840</v>
      </c>
      <c r="G232" s="2980"/>
    </row>
    <row r="233" spans="1:7" s="2191" customFormat="1" ht="14.25" customHeight="1" thickBot="1">
      <c r="A233" s="2331" t="s">
        <v>302</v>
      </c>
      <c r="B233" s="2326" t="s">
        <v>2922</v>
      </c>
      <c r="C233" s="2977"/>
      <c r="D233" s="2977"/>
      <c r="E233" s="2977"/>
      <c r="F233" s="2977">
        <v>1770</v>
      </c>
      <c r="G233" s="2981"/>
    </row>
    <row r="234" spans="1:7" s="2191" customFormat="1" ht="14.25" customHeight="1">
      <c r="A234" s="2324" t="s">
        <v>303</v>
      </c>
      <c r="B234" s="2315" t="s">
        <v>2992</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2763</v>
      </c>
      <c r="C238" s="2976">
        <v>6920</v>
      </c>
      <c r="D238" s="2976">
        <v>6890</v>
      </c>
      <c r="E238" s="2976">
        <v>8640</v>
      </c>
      <c r="F238" s="2976">
        <v>1310</v>
      </c>
      <c r="G238" s="2976">
        <v>4230</v>
      </c>
    </row>
    <row r="239" spans="1:7" s="2191" customFormat="1" ht="14.25" customHeight="1">
      <c r="A239" s="2319" t="s">
        <v>303</v>
      </c>
      <c r="B239" s="2319" t="s">
        <v>2993</v>
      </c>
      <c r="C239" s="2976">
        <v>6780</v>
      </c>
      <c r="D239" s="2976">
        <v>6750</v>
      </c>
      <c r="E239" s="2976">
        <v>8440</v>
      </c>
      <c r="F239" s="2976">
        <v>1160</v>
      </c>
      <c r="G239" s="2976">
        <v>4140</v>
      </c>
    </row>
    <row r="240" spans="1:7" s="2191" customFormat="1" ht="14.25" customHeight="1">
      <c r="A240" s="2319" t="s">
        <v>303</v>
      </c>
      <c r="B240" s="2319" t="s">
        <v>2994</v>
      </c>
      <c r="C240" s="2976">
        <v>5420</v>
      </c>
      <c r="D240" s="2976">
        <v>5380</v>
      </c>
      <c r="E240" s="2976">
        <v>6640</v>
      </c>
      <c r="F240" s="2976">
        <v>1020</v>
      </c>
      <c r="G240" s="2976">
        <v>3300</v>
      </c>
    </row>
    <row r="241" spans="1:7" s="2191" customFormat="1" ht="14.25" customHeight="1">
      <c r="A241" s="2319" t="s">
        <v>303</v>
      </c>
      <c r="B241" s="2319" t="s">
        <v>2995</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2996</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2997</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2998</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2999</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3000</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2825</v>
      </c>
      <c r="C258" s="2976">
        <v>6190</v>
      </c>
      <c r="D258" s="2976">
        <v>6160</v>
      </c>
      <c r="E258" s="2976">
        <v>7680</v>
      </c>
      <c r="F258" s="2976">
        <v>1170</v>
      </c>
      <c r="G258" s="2976">
        <v>3780</v>
      </c>
    </row>
    <row r="259" spans="1:7" s="2191" customFormat="1" ht="14.25" customHeight="1">
      <c r="A259" s="2319" t="s">
        <v>303</v>
      </c>
      <c r="B259" s="2319" t="s">
        <v>3001</v>
      </c>
      <c r="C259" s="2976">
        <v>7610</v>
      </c>
      <c r="D259" s="2976">
        <v>7570</v>
      </c>
      <c r="E259" s="2976">
        <v>9350</v>
      </c>
      <c r="F259" s="2976">
        <v>1350</v>
      </c>
      <c r="G259" s="2976">
        <v>4650</v>
      </c>
    </row>
    <row r="260" spans="1:7" s="2191" customFormat="1" ht="14.25" customHeight="1">
      <c r="A260" s="2319" t="s">
        <v>303</v>
      </c>
      <c r="B260" s="2319" t="s">
        <v>3002</v>
      </c>
      <c r="C260" s="2976">
        <v>6920</v>
      </c>
      <c r="D260" s="2976">
        <v>6880</v>
      </c>
      <c r="E260" s="2976">
        <v>8380</v>
      </c>
      <c r="F260" s="2976">
        <v>1160</v>
      </c>
      <c r="G260" s="2976">
        <v>4220</v>
      </c>
    </row>
    <row r="261" spans="1:7" s="2191" customFormat="1" ht="14.25" customHeight="1">
      <c r="A261" s="2319" t="s">
        <v>303</v>
      </c>
      <c r="B261" s="2319" t="s">
        <v>3003</v>
      </c>
      <c r="C261" s="2976">
        <v>6850</v>
      </c>
      <c r="D261" s="2976">
        <v>6810</v>
      </c>
      <c r="E261" s="2976">
        <v>8290</v>
      </c>
      <c r="F261" s="2976">
        <v>1130</v>
      </c>
      <c r="G261" s="2976">
        <v>4180</v>
      </c>
    </row>
    <row r="262" spans="1:7" s="2191" customFormat="1" ht="14.25" customHeight="1">
      <c r="A262" s="2319" t="s">
        <v>303</v>
      </c>
      <c r="B262" s="2319" t="s">
        <v>3004</v>
      </c>
      <c r="C262" s="2976">
        <v>5860</v>
      </c>
      <c r="D262" s="2976">
        <v>5820</v>
      </c>
      <c r="E262" s="2976">
        <v>7640</v>
      </c>
      <c r="F262" s="2976">
        <v>1070</v>
      </c>
      <c r="G262" s="2976">
        <v>3570</v>
      </c>
    </row>
    <row r="263" spans="1:7" s="2191" customFormat="1" ht="14.25" customHeight="1">
      <c r="A263" s="2319" t="s">
        <v>303</v>
      </c>
      <c r="B263" s="2319" t="s">
        <v>3005</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3006</v>
      </c>
      <c r="C265" s="2976"/>
      <c r="D265" s="2976"/>
      <c r="E265" s="2976"/>
      <c r="F265" s="2976">
        <v>1500</v>
      </c>
      <c r="G265" s="2976"/>
    </row>
    <row r="266" spans="1:7" s="2191" customFormat="1" ht="14.25" customHeight="1">
      <c r="A266" s="2319" t="s">
        <v>303</v>
      </c>
      <c r="B266" s="2319" t="s">
        <v>3007</v>
      </c>
      <c r="C266" s="2976"/>
      <c r="D266" s="2976"/>
      <c r="E266" s="2976"/>
      <c r="F266" s="2976">
        <v>1500</v>
      </c>
      <c r="G266" s="2976"/>
    </row>
    <row r="267" spans="1:7" s="2191" customFormat="1" ht="14.25" customHeight="1">
      <c r="A267" s="2319" t="s">
        <v>303</v>
      </c>
      <c r="B267" s="2319" t="s">
        <v>3008</v>
      </c>
      <c r="C267" s="2976"/>
      <c r="D267" s="2976"/>
      <c r="E267" s="2976"/>
      <c r="F267" s="2976">
        <v>1500</v>
      </c>
      <c r="G267" s="2976"/>
    </row>
    <row r="268" spans="1:7" s="2191" customFormat="1" ht="14.25" customHeight="1">
      <c r="A268" s="2319" t="s">
        <v>303</v>
      </c>
      <c r="B268" s="2319" t="s">
        <v>3009</v>
      </c>
      <c r="C268" s="2976"/>
      <c r="D268" s="2976"/>
      <c r="E268" s="2976"/>
      <c r="F268" s="2976">
        <v>1290</v>
      </c>
      <c r="G268" s="2976"/>
    </row>
    <row r="269" spans="1:7" s="2191" customFormat="1" ht="14.25" customHeight="1">
      <c r="A269" s="2319" t="s">
        <v>303</v>
      </c>
      <c r="B269" s="2319" t="s">
        <v>3010</v>
      </c>
      <c r="C269" s="2976"/>
      <c r="D269" s="2976"/>
      <c r="E269" s="2976"/>
      <c r="F269" s="2976">
        <v>1150</v>
      </c>
      <c r="G269" s="2976"/>
    </row>
    <row r="270" spans="1:7" s="2191" customFormat="1" ht="14.25" customHeight="1">
      <c r="A270" s="2319" t="s">
        <v>303</v>
      </c>
      <c r="B270" s="2319" t="s">
        <v>3011</v>
      </c>
      <c r="C270" s="2976"/>
      <c r="D270" s="2976"/>
      <c r="E270" s="2976"/>
      <c r="F270" s="2976">
        <v>1380</v>
      </c>
      <c r="G270" s="2976"/>
    </row>
    <row r="271" spans="1:7" s="2191" customFormat="1" ht="14.25" customHeight="1">
      <c r="A271" s="2319" t="s">
        <v>303</v>
      </c>
      <c r="B271" s="2319" t="s">
        <v>3012</v>
      </c>
      <c r="C271" s="2976"/>
      <c r="D271" s="2976"/>
      <c r="E271" s="2976"/>
      <c r="F271" s="2976">
        <v>1460</v>
      </c>
      <c r="G271" s="2976"/>
    </row>
    <row r="272" spans="1:7" s="2191" customFormat="1" ht="14.25" customHeight="1">
      <c r="A272" s="2319" t="s">
        <v>303</v>
      </c>
      <c r="B272" s="2319" t="s">
        <v>3013</v>
      </c>
      <c r="C272" s="2976"/>
      <c r="D272" s="2976"/>
      <c r="E272" s="2976"/>
      <c r="F272" s="2976">
        <v>1460</v>
      </c>
      <c r="G272" s="2976"/>
    </row>
    <row r="273" spans="1:7" s="2191" customFormat="1" ht="14.25" customHeight="1">
      <c r="A273" s="2319" t="s">
        <v>303</v>
      </c>
      <c r="B273" s="2319" t="s">
        <v>2906</v>
      </c>
      <c r="C273" s="2976"/>
      <c r="D273" s="2976"/>
      <c r="E273" s="2976"/>
      <c r="F273" s="2976">
        <v>1490</v>
      </c>
      <c r="G273" s="2976"/>
    </row>
    <row r="274" spans="1:7" s="2191" customFormat="1" ht="14.25" customHeight="1">
      <c r="A274" s="2319" t="s">
        <v>303</v>
      </c>
      <c r="B274" s="2319" t="s">
        <v>3014</v>
      </c>
      <c r="C274" s="2976"/>
      <c r="D274" s="2976"/>
      <c r="E274" s="2976"/>
      <c r="F274" s="2976">
        <v>1490</v>
      </c>
      <c r="G274" s="2976"/>
    </row>
    <row r="275" spans="1:7" s="2191" customFormat="1" ht="14.25" customHeight="1">
      <c r="A275" s="2319" t="s">
        <v>303</v>
      </c>
      <c r="B275" s="2319" t="s">
        <v>3015</v>
      </c>
      <c r="C275" s="2976"/>
      <c r="D275" s="2976"/>
      <c r="E275" s="2976"/>
      <c r="F275" s="2976">
        <v>1220</v>
      </c>
      <c r="G275" s="2976"/>
    </row>
    <row r="276" spans="1:7" s="2191" customFormat="1" ht="14.25" customHeight="1" thickBot="1">
      <c r="A276" s="2327" t="s">
        <v>303</v>
      </c>
      <c r="B276" s="2329" t="s">
        <v>3016</v>
      </c>
      <c r="C276" s="2978"/>
      <c r="D276" s="2978"/>
      <c r="E276" s="2978"/>
      <c r="F276" s="2978">
        <v>1380</v>
      </c>
      <c r="G276" s="2978"/>
    </row>
    <row r="277" spans="1:7" s="2191" customFormat="1" ht="14.25" customHeight="1">
      <c r="A277" s="2324" t="s">
        <v>304</v>
      </c>
      <c r="B277" s="2315" t="s">
        <v>3017</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3018</v>
      </c>
      <c r="C279" s="2976">
        <v>4760</v>
      </c>
      <c r="D279" s="2976">
        <v>4720</v>
      </c>
      <c r="E279" s="2976">
        <v>5540</v>
      </c>
      <c r="F279" s="2976">
        <v>810</v>
      </c>
      <c r="G279" s="2980">
        <v>2850</v>
      </c>
    </row>
    <row r="280" spans="1:7" s="2191" customFormat="1" ht="14.25" customHeight="1">
      <c r="A280" s="2319" t="s">
        <v>304</v>
      </c>
      <c r="B280" s="2319" t="s">
        <v>3019</v>
      </c>
      <c r="C280" s="2976">
        <v>4010</v>
      </c>
      <c r="D280" s="2976">
        <v>3950</v>
      </c>
      <c r="E280" s="2976">
        <v>4710</v>
      </c>
      <c r="F280" s="2976">
        <v>800</v>
      </c>
      <c r="G280" s="2980">
        <v>2390</v>
      </c>
    </row>
    <row r="281" spans="1:7" s="2191" customFormat="1" ht="14.25" customHeight="1">
      <c r="A281" s="2319" t="s">
        <v>304</v>
      </c>
      <c r="B281" s="2319" t="s">
        <v>3020</v>
      </c>
      <c r="C281" s="2976">
        <v>4480</v>
      </c>
      <c r="D281" s="2976">
        <v>4420</v>
      </c>
      <c r="E281" s="2976">
        <v>5230</v>
      </c>
      <c r="F281" s="2976">
        <v>870</v>
      </c>
      <c r="G281" s="2980">
        <v>2660</v>
      </c>
    </row>
    <row r="282" spans="1:7" s="2191" customFormat="1" ht="14.25" customHeight="1">
      <c r="A282" s="2319" t="s">
        <v>304</v>
      </c>
      <c r="B282" s="2319" t="s">
        <v>3021</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3022</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3023</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2798</v>
      </c>
      <c r="C293" s="2976">
        <v>5320</v>
      </c>
      <c r="D293" s="2976">
        <v>5270</v>
      </c>
      <c r="E293" s="2976">
        <v>6160</v>
      </c>
      <c r="F293" s="2976">
        <v>990</v>
      </c>
      <c r="G293" s="2980">
        <v>3170</v>
      </c>
    </row>
    <row r="294" spans="1:7" s="2191" customFormat="1" ht="14.25" customHeight="1">
      <c r="A294" s="2319" t="s">
        <v>304</v>
      </c>
      <c r="B294" s="2319" t="s">
        <v>3024</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2817</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3025</v>
      </c>
      <c r="C302" s="2976">
        <v>5520</v>
      </c>
      <c r="D302" s="2976">
        <v>5470</v>
      </c>
      <c r="E302" s="2976">
        <v>6410</v>
      </c>
      <c r="F302" s="2976">
        <v>950</v>
      </c>
      <c r="G302" s="2980">
        <v>3300</v>
      </c>
    </row>
    <row r="303" spans="1:7" s="2191" customFormat="1" ht="14.25" customHeight="1">
      <c r="A303" s="2319" t="s">
        <v>304</v>
      </c>
      <c r="B303" s="2319" t="s">
        <v>2837</v>
      </c>
      <c r="C303" s="2976">
        <v>5630</v>
      </c>
      <c r="D303" s="2976">
        <v>5590</v>
      </c>
      <c r="E303" s="2976">
        <v>6550</v>
      </c>
      <c r="F303" s="2976">
        <v>1010</v>
      </c>
      <c r="G303" s="2980">
        <v>3370</v>
      </c>
    </row>
    <row r="304" spans="1:7" s="2191" customFormat="1" ht="14.25" customHeight="1">
      <c r="A304" s="2319" t="s">
        <v>304</v>
      </c>
      <c r="B304" s="2319" t="s">
        <v>2844</v>
      </c>
      <c r="C304" s="2976">
        <v>5680</v>
      </c>
      <c r="D304" s="2976">
        <v>5620</v>
      </c>
      <c r="E304" s="2976">
        <v>6620</v>
      </c>
      <c r="F304" s="2976">
        <v>1050</v>
      </c>
      <c r="G304" s="2980">
        <v>3390</v>
      </c>
    </row>
    <row r="305" spans="1:7" s="2191" customFormat="1" ht="14.25" customHeight="1">
      <c r="A305" s="2319" t="s">
        <v>304</v>
      </c>
      <c r="B305" s="2319" t="s">
        <v>2850</v>
      </c>
      <c r="C305" s="2976">
        <v>5590</v>
      </c>
      <c r="D305" s="2976">
        <v>5530</v>
      </c>
      <c r="E305" s="2976">
        <v>6460</v>
      </c>
      <c r="F305" s="2976">
        <v>900</v>
      </c>
      <c r="G305" s="2980">
        <v>3340</v>
      </c>
    </row>
    <row r="306" spans="1:7" s="2191" customFormat="1" ht="14.25" customHeight="1">
      <c r="A306" s="2319" t="s">
        <v>304</v>
      </c>
      <c r="B306" s="2319" t="s">
        <v>3026</v>
      </c>
      <c r="C306" s="2976">
        <v>5560</v>
      </c>
      <c r="D306" s="2976">
        <v>5510</v>
      </c>
      <c r="E306" s="2976">
        <v>6440</v>
      </c>
      <c r="F306" s="2976">
        <v>900</v>
      </c>
      <c r="G306" s="2980">
        <v>3320</v>
      </c>
    </row>
    <row r="307" spans="1:7" s="2191" customFormat="1" ht="14.25" customHeight="1">
      <c r="A307" s="2319" t="s">
        <v>304</v>
      </c>
      <c r="B307" s="2319" t="s">
        <v>2862</v>
      </c>
      <c r="C307" s="2976">
        <v>5650</v>
      </c>
      <c r="D307" s="2976">
        <v>5600</v>
      </c>
      <c r="E307" s="2976">
        <v>6590</v>
      </c>
      <c r="F307" s="2976">
        <v>930</v>
      </c>
      <c r="G307" s="2980">
        <v>3380</v>
      </c>
    </row>
    <row r="308" spans="1:7" s="2191" customFormat="1" ht="14.25" customHeight="1">
      <c r="A308" s="2319" t="s">
        <v>304</v>
      </c>
      <c r="B308" s="2319" t="s">
        <v>3027</v>
      </c>
      <c r="C308" s="2976">
        <v>5620</v>
      </c>
      <c r="D308" s="2976">
        <v>5580</v>
      </c>
      <c r="E308" s="2976">
        <v>6540</v>
      </c>
      <c r="F308" s="2976">
        <v>910</v>
      </c>
      <c r="G308" s="2980">
        <v>3370</v>
      </c>
    </row>
    <row r="309" spans="1:7" s="2191" customFormat="1" ht="14.25" customHeight="1">
      <c r="A309" s="2319" t="s">
        <v>304</v>
      </c>
      <c r="B309" s="2319" t="s">
        <v>3028</v>
      </c>
      <c r="C309" s="2976">
        <v>5060</v>
      </c>
      <c r="D309" s="2976">
        <v>5020</v>
      </c>
      <c r="E309" s="2976">
        <v>6370</v>
      </c>
      <c r="F309" s="2976">
        <v>800</v>
      </c>
      <c r="G309" s="2980">
        <v>3020</v>
      </c>
    </row>
    <row r="310" spans="1:7" s="2191" customFormat="1" ht="14.25" customHeight="1">
      <c r="A310" s="2319" t="s">
        <v>304</v>
      </c>
      <c r="B310" s="2319" t="s">
        <v>2877</v>
      </c>
      <c r="C310" s="2976">
        <v>5150</v>
      </c>
      <c r="D310" s="2976">
        <v>5110</v>
      </c>
      <c r="E310" s="2976">
        <v>6500</v>
      </c>
      <c r="F310" s="2976">
        <v>880</v>
      </c>
      <c r="G310" s="2980">
        <v>3080</v>
      </c>
    </row>
    <row r="311" spans="1:7" s="2191" customFormat="1" ht="14.25" customHeight="1">
      <c r="A311" s="2319" t="s">
        <v>304</v>
      </c>
      <c r="B311" s="2319" t="s">
        <v>3029</v>
      </c>
      <c r="C311" s="2976">
        <v>4750</v>
      </c>
      <c r="D311" s="2976">
        <v>4710</v>
      </c>
      <c r="E311" s="2976">
        <v>5510</v>
      </c>
      <c r="F311" s="2976">
        <v>880</v>
      </c>
      <c r="G311" s="2980">
        <v>2840</v>
      </c>
    </row>
    <row r="312" spans="1:7" s="2191" customFormat="1" ht="14.25" customHeight="1">
      <c r="A312" s="2319" t="s">
        <v>304</v>
      </c>
      <c r="B312" s="2319" t="s">
        <v>2887</v>
      </c>
      <c r="C312" s="2976">
        <v>4690</v>
      </c>
      <c r="D312" s="2976">
        <v>4640</v>
      </c>
      <c r="E312" s="2976">
        <v>5420</v>
      </c>
      <c r="F312" s="2976">
        <v>800</v>
      </c>
      <c r="G312" s="2980">
        <v>2800</v>
      </c>
    </row>
    <row r="313" spans="1:7" s="2191" customFormat="1" ht="14.25" customHeight="1">
      <c r="A313" s="2319" t="s">
        <v>304</v>
      </c>
      <c r="B313" s="2319" t="s">
        <v>2892</v>
      </c>
      <c r="C313" s="2976">
        <v>4810</v>
      </c>
      <c r="D313" s="2976">
        <v>4760</v>
      </c>
      <c r="E313" s="2976">
        <v>5550</v>
      </c>
      <c r="F313" s="2976">
        <v>920</v>
      </c>
      <c r="G313" s="2980">
        <v>2870</v>
      </c>
    </row>
    <row r="314" spans="1:7" s="2191" customFormat="1" ht="14.25" customHeight="1">
      <c r="A314" s="2319" t="s">
        <v>304</v>
      </c>
      <c r="B314" s="2319" t="s">
        <v>3030</v>
      </c>
      <c r="C314" s="2976"/>
      <c r="D314" s="2976"/>
      <c r="E314" s="2976"/>
      <c r="F314" s="2976">
        <v>1020</v>
      </c>
      <c r="G314" s="2980"/>
    </row>
    <row r="315" spans="1:7" s="2191" customFormat="1" ht="14.25" customHeight="1">
      <c r="A315" s="2319" t="s">
        <v>304</v>
      </c>
      <c r="B315" s="2319" t="s">
        <v>3031</v>
      </c>
      <c r="C315" s="2976"/>
      <c r="D315" s="2976"/>
      <c r="E315" s="2976"/>
      <c r="F315" s="2976">
        <v>1050</v>
      </c>
      <c r="G315" s="2980"/>
    </row>
    <row r="316" spans="1:7" s="2191" customFormat="1" ht="14.25" customHeight="1">
      <c r="A316" s="2319" t="s">
        <v>304</v>
      </c>
      <c r="B316" s="2319" t="s">
        <v>2907</v>
      </c>
      <c r="C316" s="2976"/>
      <c r="D316" s="2976"/>
      <c r="E316" s="2976"/>
      <c r="F316" s="2976">
        <v>900</v>
      </c>
      <c r="G316" s="2980"/>
    </row>
    <row r="317" spans="1:7" s="2191" customFormat="1" ht="14.25" customHeight="1">
      <c r="A317" s="2319" t="s">
        <v>304</v>
      </c>
      <c r="B317" s="2319" t="s">
        <v>3032</v>
      </c>
      <c r="C317" s="2976"/>
      <c r="D317" s="2976"/>
      <c r="E317" s="2976"/>
      <c r="F317" s="2976">
        <v>920</v>
      </c>
      <c r="G317" s="2980"/>
    </row>
    <row r="318" spans="1:7" s="2191" customFormat="1" ht="14.25" customHeight="1">
      <c r="A318" s="2319" t="s">
        <v>304</v>
      </c>
      <c r="B318" s="2319" t="s">
        <v>3033</v>
      </c>
      <c r="C318" s="2976"/>
      <c r="D318" s="2976"/>
      <c r="E318" s="2976"/>
      <c r="F318" s="2976">
        <v>1080</v>
      </c>
      <c r="G318" s="2980"/>
    </row>
    <row r="319" spans="1:7" s="2191" customFormat="1" ht="14.25" customHeight="1">
      <c r="A319" s="2319" t="s">
        <v>304</v>
      </c>
      <c r="B319" s="2319" t="s">
        <v>2920</v>
      </c>
      <c r="C319" s="2976"/>
      <c r="D319" s="2976"/>
      <c r="E319" s="2976"/>
      <c r="F319" s="2976">
        <v>1020</v>
      </c>
      <c r="G319" s="2980"/>
    </row>
    <row r="320" spans="1:7" s="2191" customFormat="1" ht="14.25" customHeight="1">
      <c r="A320" s="2319" t="s">
        <v>304</v>
      </c>
      <c r="B320" s="2319" t="s">
        <v>2923</v>
      </c>
      <c r="C320" s="2976"/>
      <c r="D320" s="2976"/>
      <c r="E320" s="2976"/>
      <c r="F320" s="2976">
        <v>1050</v>
      </c>
      <c r="G320" s="2980"/>
    </row>
    <row r="321" spans="1:7" s="2191" customFormat="1" ht="14.25" customHeight="1">
      <c r="A321" s="2319" t="s">
        <v>304</v>
      </c>
      <c r="B321" s="2319" t="s">
        <v>2925</v>
      </c>
      <c r="C321" s="2976"/>
      <c r="D321" s="2976"/>
      <c r="E321" s="2976"/>
      <c r="F321" s="2976">
        <v>960</v>
      </c>
      <c r="G321" s="2980"/>
    </row>
    <row r="322" spans="1:7" s="2191" customFormat="1" ht="14.25" customHeight="1">
      <c r="A322" s="2319" t="s">
        <v>304</v>
      </c>
      <c r="B322" s="2319" t="s">
        <v>2927</v>
      </c>
      <c r="C322" s="2976"/>
      <c r="D322" s="2976"/>
      <c r="E322" s="2976"/>
      <c r="F322" s="2976">
        <v>960</v>
      </c>
      <c r="G322" s="2980"/>
    </row>
    <row r="323" spans="1:7" s="2191" customFormat="1" ht="14.25" customHeight="1">
      <c r="A323" s="2319" t="s">
        <v>304</v>
      </c>
      <c r="B323" s="2319" t="s">
        <v>2929</v>
      </c>
      <c r="C323" s="2976"/>
      <c r="D323" s="2976"/>
      <c r="E323" s="2976"/>
      <c r="F323" s="2976">
        <v>880</v>
      </c>
      <c r="G323" s="2980"/>
    </row>
    <row r="324" spans="1:7" s="2191" customFormat="1" ht="14.25" customHeight="1">
      <c r="A324" s="2319" t="s">
        <v>304</v>
      </c>
      <c r="B324" s="2319" t="s">
        <v>2931</v>
      </c>
      <c r="C324" s="2976"/>
      <c r="D324" s="2976"/>
      <c r="E324" s="2976"/>
      <c r="F324" s="2976">
        <v>930</v>
      </c>
      <c r="G324" s="2980"/>
    </row>
    <row r="325" spans="1:7" s="2191" customFormat="1" ht="14.25" customHeight="1">
      <c r="A325" s="2319" t="s">
        <v>304</v>
      </c>
      <c r="B325" s="2320" t="s">
        <v>2933</v>
      </c>
      <c r="C325" s="2976"/>
      <c r="D325" s="2976"/>
      <c r="E325" s="2976"/>
      <c r="F325" s="2976">
        <v>900</v>
      </c>
      <c r="G325" s="2980"/>
    </row>
    <row r="326" spans="1:7" s="2191" customFormat="1" ht="14.25" customHeight="1" thickBot="1">
      <c r="A326" s="2331" t="s">
        <v>304</v>
      </c>
      <c r="B326" s="2326" t="s">
        <v>2935</v>
      </c>
      <c r="C326" s="2977"/>
      <c r="D326" s="2977"/>
      <c r="E326" s="2977"/>
      <c r="F326" s="2977">
        <v>790</v>
      </c>
      <c r="G326" s="2981"/>
    </row>
    <row r="327" spans="1:7" s="2191" customFormat="1" ht="14.25" customHeight="1">
      <c r="A327" s="2324" t="s">
        <v>305</v>
      </c>
      <c r="B327" s="2315" t="s">
        <v>3034</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3035</v>
      </c>
      <c r="C329" s="2976">
        <v>2730</v>
      </c>
      <c r="D329" s="2976">
        <v>2690</v>
      </c>
      <c r="E329" s="2976">
        <v>3100</v>
      </c>
      <c r="F329" s="2976">
        <v>660</v>
      </c>
      <c r="G329" s="2976">
        <v>1610</v>
      </c>
    </row>
    <row r="330" spans="1:7" s="2191" customFormat="1" ht="14.25" customHeight="1">
      <c r="A330" s="2319" t="s">
        <v>305</v>
      </c>
      <c r="B330" s="2319" t="s">
        <v>3036</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2769</v>
      </c>
      <c r="C332" s="2976">
        <v>3520</v>
      </c>
      <c r="D332" s="2976">
        <v>3480</v>
      </c>
      <c r="E332" s="2976">
        <v>3830</v>
      </c>
      <c r="F332" s="2976">
        <v>720</v>
      </c>
      <c r="G332" s="2976">
        <v>2090</v>
      </c>
    </row>
    <row r="333" spans="1:7" s="2191" customFormat="1" ht="14.25" customHeight="1">
      <c r="A333" s="2319" t="s">
        <v>305</v>
      </c>
      <c r="B333" s="2319" t="s">
        <v>3037</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2779</v>
      </c>
      <c r="C336" s="2976">
        <v>3570</v>
      </c>
      <c r="D336" s="2976">
        <v>3530</v>
      </c>
      <c r="E336" s="2976">
        <v>3880</v>
      </c>
      <c r="F336" s="2976">
        <v>770</v>
      </c>
      <c r="G336" s="2976">
        <v>2110</v>
      </c>
    </row>
    <row r="337" spans="1:10" s="2191" customFormat="1" ht="14.25" customHeight="1">
      <c r="A337" s="2319" t="s">
        <v>305</v>
      </c>
      <c r="B337" s="2319" t="s">
        <v>3038</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3039</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3040</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2804</v>
      </c>
      <c r="C345" s="2976">
        <v>3190</v>
      </c>
      <c r="D345" s="2976">
        <v>3140</v>
      </c>
      <c r="E345" s="2976">
        <v>3450</v>
      </c>
      <c r="F345" s="2976">
        <v>720</v>
      </c>
      <c r="G345" s="2976">
        <v>1880</v>
      </c>
      <c r="J345" s="2191"/>
    </row>
    <row r="346" spans="1:10">
      <c r="A346" s="2319" t="s">
        <v>305</v>
      </c>
      <c r="B346" s="2319" t="s">
        <v>3041</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2813</v>
      </c>
      <c r="C348" s="2976">
        <v>4000</v>
      </c>
      <c r="D348" s="2976">
        <v>3950</v>
      </c>
      <c r="E348" s="2976">
        <v>4430</v>
      </c>
      <c r="F348" s="2976">
        <v>760</v>
      </c>
      <c r="G348" s="2976">
        <v>2360</v>
      </c>
      <c r="J348" s="2191"/>
    </row>
    <row r="349" spans="1:10">
      <c r="A349" s="2319" t="s">
        <v>305</v>
      </c>
      <c r="B349" s="2319" t="s">
        <v>2818</v>
      </c>
      <c r="C349" s="2976">
        <v>3820</v>
      </c>
      <c r="D349" s="2976">
        <v>3780</v>
      </c>
      <c r="E349" s="2976">
        <v>4170</v>
      </c>
      <c r="F349" s="2976">
        <v>710</v>
      </c>
      <c r="G349" s="2976">
        <v>2260</v>
      </c>
      <c r="J349" s="2191"/>
    </row>
    <row r="350" spans="1:10">
      <c r="A350" s="2319" t="s">
        <v>305</v>
      </c>
      <c r="B350" s="2319" t="s">
        <v>3042</v>
      </c>
      <c r="C350" s="2976">
        <v>3760</v>
      </c>
      <c r="D350" s="2976">
        <v>3730</v>
      </c>
      <c r="E350" s="2976">
        <v>4100</v>
      </c>
      <c r="F350" s="2976">
        <v>800</v>
      </c>
      <c r="G350" s="2976">
        <v>2230</v>
      </c>
      <c r="J350" s="2191"/>
    </row>
    <row r="351" spans="1:10">
      <c r="A351" s="2319" t="s">
        <v>305</v>
      </c>
      <c r="B351" s="2319" t="s">
        <v>2826</v>
      </c>
      <c r="C351" s="2976">
        <v>3610</v>
      </c>
      <c r="D351" s="2976">
        <v>3580</v>
      </c>
      <c r="E351" s="2976">
        <v>3930</v>
      </c>
      <c r="F351" s="2976">
        <v>700</v>
      </c>
      <c r="G351" s="2976">
        <v>2140</v>
      </c>
      <c r="J351" s="2191"/>
    </row>
    <row r="352" spans="1:10">
      <c r="A352" s="2319" t="s">
        <v>305</v>
      </c>
      <c r="B352" s="2319" t="s">
        <v>2831</v>
      </c>
      <c r="C352" s="2976">
        <v>3670</v>
      </c>
      <c r="D352" s="2976">
        <v>3630</v>
      </c>
      <c r="E352" s="2976">
        <v>4000</v>
      </c>
      <c r="F352" s="2976">
        <v>750</v>
      </c>
      <c r="G352" s="2976">
        <v>2180</v>
      </c>
    </row>
    <row r="353" spans="1:7" s="2192" customFormat="1">
      <c r="A353" s="2319" t="s">
        <v>305</v>
      </c>
      <c r="B353" s="2319" t="s">
        <v>3043</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2851</v>
      </c>
      <c r="C355" s="2976">
        <v>3650</v>
      </c>
      <c r="D355" s="2976">
        <v>3610</v>
      </c>
      <c r="E355" s="2976">
        <v>4200</v>
      </c>
      <c r="F355" s="2976">
        <v>640</v>
      </c>
      <c r="G355" s="2976">
        <v>2160</v>
      </c>
    </row>
    <row r="356" spans="1:7" s="2192" customFormat="1">
      <c r="A356" s="2319" t="s">
        <v>305</v>
      </c>
      <c r="B356" s="2319" t="s">
        <v>2858</v>
      </c>
      <c r="C356" s="2976">
        <v>3260</v>
      </c>
      <c r="D356" s="2976">
        <v>3230</v>
      </c>
      <c r="E356" s="2976">
        <v>3740</v>
      </c>
      <c r="F356" s="2976">
        <v>600</v>
      </c>
      <c r="G356" s="2976">
        <v>1930</v>
      </c>
    </row>
    <row r="357" spans="1:7" s="2192" customFormat="1" ht="12" thickBot="1">
      <c r="A357" s="2327" t="s">
        <v>305</v>
      </c>
      <c r="B357" s="2330" t="s">
        <v>3044</v>
      </c>
      <c r="C357" s="2978">
        <v>3690</v>
      </c>
      <c r="D357" s="2978">
        <v>3650</v>
      </c>
      <c r="E357" s="2978">
        <v>4020</v>
      </c>
      <c r="F357" s="2978">
        <v>700</v>
      </c>
      <c r="G357" s="2978">
        <v>2190</v>
      </c>
    </row>
    <row r="358" spans="1:7" s="2192" customFormat="1">
      <c r="A358" s="2324" t="s">
        <v>3045</v>
      </c>
      <c r="B358" s="2315" t="s">
        <v>3046</v>
      </c>
      <c r="C358" s="2975">
        <v>2080</v>
      </c>
      <c r="D358" s="2975">
        <v>2040</v>
      </c>
      <c r="E358" s="2975">
        <v>2010</v>
      </c>
      <c r="F358" s="2975">
        <v>530</v>
      </c>
      <c r="G358" s="2979">
        <v>1230</v>
      </c>
    </row>
    <row r="359" spans="1:7" s="2192" customFormat="1">
      <c r="A359" s="2319" t="s">
        <v>3045</v>
      </c>
      <c r="B359" s="2319" t="s">
        <v>3047</v>
      </c>
      <c r="C359" s="2976">
        <v>1850</v>
      </c>
      <c r="D359" s="2976">
        <v>1820</v>
      </c>
      <c r="E359" s="2976">
        <v>1780</v>
      </c>
      <c r="F359" s="2976">
        <v>520</v>
      </c>
      <c r="G359" s="2980">
        <v>1100</v>
      </c>
    </row>
    <row r="360" spans="1:7" s="2192" customFormat="1">
      <c r="A360" s="2319" t="s">
        <v>3045</v>
      </c>
      <c r="B360" s="2319" t="s">
        <v>3048</v>
      </c>
      <c r="C360" s="2976">
        <v>2020</v>
      </c>
      <c r="D360" s="2976">
        <v>1990</v>
      </c>
      <c r="E360" s="2976">
        <v>1950</v>
      </c>
      <c r="F360" s="2976">
        <v>500</v>
      </c>
      <c r="G360" s="2980">
        <v>1200</v>
      </c>
    </row>
    <row r="361" spans="1:7" s="2192" customFormat="1">
      <c r="A361" s="2319" t="s">
        <v>3045</v>
      </c>
      <c r="B361" s="2319" t="s">
        <v>151</v>
      </c>
      <c r="C361" s="2976">
        <v>2260</v>
      </c>
      <c r="D361" s="2976">
        <v>2220</v>
      </c>
      <c r="E361" s="2976">
        <v>2180</v>
      </c>
      <c r="F361" s="2976">
        <v>580</v>
      </c>
      <c r="G361" s="2980">
        <v>1340</v>
      </c>
    </row>
    <row r="362" spans="1:7" s="2192" customFormat="1">
      <c r="A362" s="2319" t="s">
        <v>3045</v>
      </c>
      <c r="B362" s="2319" t="s">
        <v>3049</v>
      </c>
      <c r="C362" s="2976">
        <v>2650</v>
      </c>
      <c r="D362" s="2976">
        <v>2610</v>
      </c>
      <c r="E362" s="2976">
        <v>2570</v>
      </c>
      <c r="F362" s="2976">
        <v>630</v>
      </c>
      <c r="G362" s="2980">
        <v>1570</v>
      </c>
    </row>
    <row r="363" spans="1:7" s="2192" customFormat="1">
      <c r="A363" s="2319" t="s">
        <v>3045</v>
      </c>
      <c r="B363" s="2319" t="s">
        <v>2770</v>
      </c>
      <c r="C363" s="2976">
        <v>2390</v>
      </c>
      <c r="D363" s="2976">
        <v>2360</v>
      </c>
      <c r="E363" s="2976">
        <v>2320</v>
      </c>
      <c r="F363" s="2976">
        <v>600</v>
      </c>
      <c r="G363" s="2980">
        <v>1420</v>
      </c>
    </row>
    <row r="364" spans="1:7" s="2192" customFormat="1">
      <c r="A364" s="2319" t="s">
        <v>3045</v>
      </c>
      <c r="B364" s="2319" t="s">
        <v>3050</v>
      </c>
      <c r="C364" s="2976">
        <v>2050</v>
      </c>
      <c r="D364" s="2976">
        <v>2030</v>
      </c>
      <c r="E364" s="2976">
        <v>1990</v>
      </c>
      <c r="F364" s="2976">
        <v>550</v>
      </c>
      <c r="G364" s="2980">
        <v>1220</v>
      </c>
    </row>
    <row r="365" spans="1:7" s="2192" customFormat="1">
      <c r="A365" s="2319" t="s">
        <v>3045</v>
      </c>
      <c r="B365" s="2319" t="s">
        <v>198</v>
      </c>
      <c r="C365" s="2976">
        <v>2140</v>
      </c>
      <c r="D365" s="2976">
        <v>2100</v>
      </c>
      <c r="E365" s="2976">
        <v>2060</v>
      </c>
      <c r="F365" s="2976">
        <v>540</v>
      </c>
      <c r="G365" s="2980">
        <v>1270</v>
      </c>
    </row>
    <row r="366" spans="1:7" s="2192" customFormat="1">
      <c r="A366" s="2319" t="s">
        <v>3045</v>
      </c>
      <c r="B366" s="2319" t="s">
        <v>2777</v>
      </c>
      <c r="C366" s="2976">
        <v>2410</v>
      </c>
      <c r="D366" s="2976">
        <v>2370</v>
      </c>
      <c r="E366" s="2976">
        <v>2330</v>
      </c>
      <c r="F366" s="2976">
        <v>570</v>
      </c>
      <c r="G366" s="2980">
        <v>1440</v>
      </c>
    </row>
    <row r="367" spans="1:7" s="2192" customFormat="1">
      <c r="A367" s="2319" t="s">
        <v>3045</v>
      </c>
      <c r="B367" s="2319" t="s">
        <v>3051</v>
      </c>
      <c r="C367" s="2976">
        <v>2300</v>
      </c>
      <c r="D367" s="2976">
        <v>2260</v>
      </c>
      <c r="E367" s="2976">
        <v>2220</v>
      </c>
      <c r="F367" s="2976">
        <v>560</v>
      </c>
      <c r="G367" s="2980">
        <v>1370</v>
      </c>
    </row>
    <row r="368" spans="1:7" s="2192" customFormat="1">
      <c r="A368" s="2319" t="s">
        <v>3045</v>
      </c>
      <c r="B368" s="2319" t="s">
        <v>3052</v>
      </c>
      <c r="C368" s="2976">
        <v>2430</v>
      </c>
      <c r="D368" s="2976">
        <v>2390</v>
      </c>
      <c r="E368" s="2976">
        <v>2350</v>
      </c>
      <c r="F368" s="2976">
        <v>570</v>
      </c>
      <c r="G368" s="2980">
        <v>1450</v>
      </c>
    </row>
    <row r="369" spans="1:7" s="2192" customFormat="1">
      <c r="A369" s="2319" t="s">
        <v>3045</v>
      </c>
      <c r="B369" s="2319" t="s">
        <v>212</v>
      </c>
      <c r="C369" s="2976">
        <v>2320</v>
      </c>
      <c r="D369" s="2976">
        <v>2290</v>
      </c>
      <c r="E369" s="2976">
        <v>2250</v>
      </c>
      <c r="F369" s="2976">
        <v>550</v>
      </c>
      <c r="G369" s="2980">
        <v>1380</v>
      </c>
    </row>
    <row r="370" spans="1:7" s="2192" customFormat="1">
      <c r="A370" s="2319" t="s">
        <v>3045</v>
      </c>
      <c r="B370" s="2319" t="s">
        <v>219</v>
      </c>
      <c r="C370" s="2976">
        <v>2190</v>
      </c>
      <c r="D370" s="2976">
        <v>2170</v>
      </c>
      <c r="E370" s="2976">
        <v>2130</v>
      </c>
      <c r="F370" s="2976">
        <v>530</v>
      </c>
      <c r="G370" s="2980">
        <v>1310</v>
      </c>
    </row>
    <row r="371" spans="1:7" s="2192" customFormat="1">
      <c r="A371" s="2319" t="s">
        <v>3045</v>
      </c>
      <c r="B371" s="2319" t="s">
        <v>227</v>
      </c>
      <c r="C371" s="2976">
        <v>2460</v>
      </c>
      <c r="D371" s="2976">
        <v>2420</v>
      </c>
      <c r="E371" s="2976">
        <v>2370</v>
      </c>
      <c r="F371" s="2976">
        <v>560</v>
      </c>
      <c r="G371" s="2980">
        <v>1470</v>
      </c>
    </row>
    <row r="372" spans="1:7" s="2192" customFormat="1">
      <c r="A372" s="2319" t="s">
        <v>3045</v>
      </c>
      <c r="B372" s="2319" t="s">
        <v>3053</v>
      </c>
      <c r="C372" s="2976">
        <v>2250</v>
      </c>
      <c r="D372" s="2976">
        <v>2210</v>
      </c>
      <c r="E372" s="2976">
        <v>2180</v>
      </c>
      <c r="F372" s="2976">
        <v>550</v>
      </c>
      <c r="G372" s="2980">
        <v>1340</v>
      </c>
    </row>
    <row r="373" spans="1:7" s="2192" customFormat="1">
      <c r="A373" s="2319" t="s">
        <v>3045</v>
      </c>
      <c r="B373" s="2319" t="s">
        <v>256</v>
      </c>
      <c r="C373" s="2976">
        <v>2210</v>
      </c>
      <c r="D373" s="2976">
        <v>2190</v>
      </c>
      <c r="E373" s="2976">
        <v>2150</v>
      </c>
      <c r="F373" s="2976">
        <v>530</v>
      </c>
      <c r="G373" s="2980">
        <v>1320</v>
      </c>
    </row>
    <row r="374" spans="1:7" s="2192" customFormat="1">
      <c r="A374" s="2319" t="s">
        <v>3045</v>
      </c>
      <c r="B374" s="2319" t="s">
        <v>264</v>
      </c>
      <c r="C374" s="2976">
        <v>2320</v>
      </c>
      <c r="D374" s="2976">
        <v>2280</v>
      </c>
      <c r="E374" s="2976">
        <v>2230</v>
      </c>
      <c r="F374" s="2976">
        <v>580</v>
      </c>
      <c r="G374" s="2980">
        <v>1380</v>
      </c>
    </row>
    <row r="375" spans="1:7" s="2192" customFormat="1">
      <c r="A375" s="2319" t="s">
        <v>3045</v>
      </c>
      <c r="B375" s="2319" t="s">
        <v>3054</v>
      </c>
      <c r="C375" s="2976">
        <v>2090</v>
      </c>
      <c r="D375" s="2976">
        <v>2050</v>
      </c>
      <c r="E375" s="2976">
        <v>2020</v>
      </c>
      <c r="F375" s="2976">
        <v>520</v>
      </c>
      <c r="G375" s="2980">
        <v>1240</v>
      </c>
    </row>
    <row r="376" spans="1:7" s="2192" customFormat="1">
      <c r="A376" s="2319" t="s">
        <v>3045</v>
      </c>
      <c r="B376" s="2319" t="s">
        <v>275</v>
      </c>
      <c r="C376" s="2976">
        <v>2010</v>
      </c>
      <c r="D376" s="2976">
        <v>1980</v>
      </c>
      <c r="E376" s="2976">
        <v>1940</v>
      </c>
      <c r="F376" s="2976">
        <v>540</v>
      </c>
      <c r="G376" s="2980">
        <v>1190</v>
      </c>
    </row>
    <row r="377" spans="1:7" s="2192" customFormat="1" ht="12" thickBot="1">
      <c r="A377" s="2327" t="s">
        <v>3045</v>
      </c>
      <c r="B377" s="2330" t="s">
        <v>2807</v>
      </c>
      <c r="C377" s="2978">
        <v>1930</v>
      </c>
      <c r="D377" s="2978">
        <v>1890</v>
      </c>
      <c r="E377" s="2978">
        <v>1860</v>
      </c>
      <c r="F377" s="2978">
        <v>530</v>
      </c>
      <c r="G377" s="2982">
        <v>1150</v>
      </c>
    </row>
    <row r="378" spans="1:7" s="2192" customFormat="1">
      <c r="A378" s="2332" t="s">
        <v>3055</v>
      </c>
      <c r="B378" s="2315" t="s">
        <v>3056</v>
      </c>
      <c r="C378" s="2975">
        <v>1520</v>
      </c>
      <c r="D378" s="2975">
        <v>1490</v>
      </c>
      <c r="E378" s="2975">
        <v>1460</v>
      </c>
      <c r="F378" s="2975">
        <v>460</v>
      </c>
      <c r="G378" s="2979">
        <v>940</v>
      </c>
    </row>
    <row r="379" spans="1:7" s="2192" customFormat="1">
      <c r="A379" s="2333" t="s">
        <v>3055</v>
      </c>
      <c r="B379" s="2319" t="s">
        <v>3057</v>
      </c>
      <c r="C379" s="2976">
        <v>1500</v>
      </c>
      <c r="D379" s="2976">
        <v>1470</v>
      </c>
      <c r="E379" s="2976">
        <v>1430</v>
      </c>
      <c r="F379" s="2976">
        <v>460</v>
      </c>
      <c r="G379" s="2980">
        <v>920</v>
      </c>
    </row>
    <row r="380" spans="1:7" s="2192" customFormat="1">
      <c r="A380" s="2333" t="s">
        <v>3055</v>
      </c>
      <c r="B380" s="2319" t="s">
        <v>3058</v>
      </c>
      <c r="C380" s="2976">
        <v>1620</v>
      </c>
      <c r="D380" s="2976">
        <v>1590</v>
      </c>
      <c r="E380" s="2976">
        <v>1560</v>
      </c>
      <c r="F380" s="2976">
        <v>480</v>
      </c>
      <c r="G380" s="2980">
        <v>1000</v>
      </c>
    </row>
    <row r="381" spans="1:7" s="2192" customFormat="1">
      <c r="A381" s="2333" t="s">
        <v>3055</v>
      </c>
      <c r="B381" s="2319" t="s">
        <v>3059</v>
      </c>
      <c r="C381" s="2976">
        <v>1460</v>
      </c>
      <c r="D381" s="2976">
        <v>1430</v>
      </c>
      <c r="E381" s="2976">
        <v>1390</v>
      </c>
      <c r="F381" s="2976">
        <v>450</v>
      </c>
      <c r="G381" s="2980">
        <v>900</v>
      </c>
    </row>
    <row r="382" spans="1:7" s="2192" customFormat="1">
      <c r="A382" s="2333" t="s">
        <v>3055</v>
      </c>
      <c r="B382" s="2319" t="s">
        <v>3060</v>
      </c>
      <c r="C382" s="2976">
        <v>1310</v>
      </c>
      <c r="D382" s="2976">
        <v>1280</v>
      </c>
      <c r="E382" s="2976">
        <v>1250</v>
      </c>
      <c r="F382" s="2976">
        <v>440</v>
      </c>
      <c r="G382" s="2980">
        <v>800</v>
      </c>
    </row>
    <row r="383" spans="1:7" s="2192" customFormat="1">
      <c r="A383" s="2333" t="s">
        <v>3055</v>
      </c>
      <c r="B383" s="2319" t="s">
        <v>3061</v>
      </c>
      <c r="C383" s="2976">
        <v>1260</v>
      </c>
      <c r="D383" s="2976">
        <v>1230</v>
      </c>
      <c r="E383" s="2976">
        <v>1200</v>
      </c>
      <c r="F383" s="2976">
        <v>420</v>
      </c>
      <c r="G383" s="2980">
        <v>770</v>
      </c>
    </row>
    <row r="384" spans="1:7" s="2192" customFormat="1" ht="12" thickBot="1">
      <c r="A384" s="2334" t="s">
        <v>3055</v>
      </c>
      <c r="B384" s="2326" t="s">
        <v>3062</v>
      </c>
      <c r="C384" s="2977">
        <v>1170</v>
      </c>
      <c r="D384" s="2977">
        <v>1140</v>
      </c>
      <c r="E384" s="2977">
        <v>1120</v>
      </c>
      <c r="F384" s="2977">
        <v>400</v>
      </c>
      <c r="G384" s="2981">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53" t="s">
        <v>933</v>
      </c>
      <c r="B1" s="4353"/>
      <c r="C1" s="4353"/>
      <c r="D1" s="4353"/>
    </row>
    <row r="2" spans="1:4" ht="18">
      <c r="A2" s="4354" t="s">
        <v>917</v>
      </c>
      <c r="B2" s="4354"/>
      <c r="C2" s="4354"/>
      <c r="D2" s="4354"/>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54" t="s">
        <v>923</v>
      </c>
      <c r="B6" s="4354"/>
      <c r="C6" s="4354"/>
      <c r="D6" s="4354"/>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55" t="s">
        <v>926</v>
      </c>
      <c r="B11" s="4347"/>
      <c r="C11" s="4347"/>
      <c r="D11" s="4347"/>
    </row>
    <row r="12" spans="1:4" ht="15.75">
      <c r="A12" s="4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2"/>
      <c r="C12" s="4352"/>
      <c r="D12" s="4352"/>
    </row>
    <row r="13" spans="1:4" ht="30" customHeight="1">
      <c r="A13" s="4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2"/>
      <c r="C13" s="4352"/>
      <c r="D13" s="4352"/>
    </row>
    <row r="14" spans="1:4" ht="15.75" customHeight="1">
      <c r="A14" s="4347" t="str">
        <f>IF(项目基本情况!B8="抵押","4.本次评估估价师所知悉的法定优先受偿款情况说明如下：","——")</f>
        <v>4.本次评估估价师所知悉的法定优先受偿款情况说明如下：</v>
      </c>
      <c r="B14" s="4352"/>
      <c r="C14" s="4352"/>
      <c r="D14" s="4352"/>
    </row>
    <row r="15" spans="1:4" ht="42" customHeight="1">
      <c r="A15" s="4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7"/>
      <c r="C15" s="4347"/>
      <c r="D15" s="4347"/>
    </row>
    <row r="16" spans="1:4" ht="30" customHeight="1">
      <c r="A16" s="4349" t="s">
        <v>927</v>
      </c>
      <c r="B16" s="4349"/>
      <c r="C16" s="4349"/>
      <c r="D16" s="4349"/>
    </row>
    <row r="17" spans="1:4" ht="144" customHeight="1">
      <c r="A17" s="4349" t="s">
        <v>928</v>
      </c>
      <c r="B17" s="4349"/>
      <c r="C17" s="4349"/>
      <c r="D17" s="4349"/>
    </row>
    <row r="18" spans="1:4" ht="15.75" customHeight="1">
      <c r="A18" s="4347" t="str">
        <f>IF(项目基本情况!B8="抵押",结果表!K120,"——")</f>
        <v>故，本次评估不存在估价师知悉的法定优先受偿款</v>
      </c>
      <c r="B18" s="4347"/>
      <c r="C18" s="4347"/>
      <c r="D18" s="4347"/>
    </row>
    <row r="19" spans="1:4" ht="46.5" customHeight="1">
      <c r="A19" s="4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7"/>
      <c r="C19" s="4347"/>
      <c r="D19" s="4347"/>
    </row>
    <row r="20" spans="1:4" ht="57.75" customHeight="1">
      <c r="A20" s="4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7"/>
      <c r="C20" s="4347"/>
      <c r="D20" s="4347"/>
    </row>
    <row r="21" spans="1:4" ht="57.75" customHeight="1">
      <c r="A21" s="43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0"/>
      <c r="C21" s="4350"/>
      <c r="D21" s="4350"/>
    </row>
    <row r="22" spans="1:4" ht="18.75" customHeight="1">
      <c r="A22" s="4351" t="s">
        <v>929</v>
      </c>
      <c r="B22" s="4351"/>
      <c r="C22" s="4351"/>
      <c r="D22" s="4351"/>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48">
        <v>42551</v>
      </c>
      <c r="D31" s="434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46126</v>
      </c>
      <c r="D1" s="874" t="s">
        <v>597</v>
      </c>
      <c r="E1" s="2983">
        <f>'数据-取费表'!B22</f>
        <v>3</v>
      </c>
      <c r="F1" s="874" t="s">
        <v>598</v>
      </c>
      <c r="G1" s="870">
        <f ca="1">IF(OR(C1&lt;C27,E1&lt;=1),INDIRECT("d"&amp;$K$1)/100,ROUND((D5+(E1-C5)*(D7-D5)/(C7-C5))/100,4))</f>
        <v>3.2500000000000001E-2</v>
      </c>
      <c r="H1" s="874" t="s">
        <v>628</v>
      </c>
      <c r="I1" s="870">
        <f ca="1">F4/100</f>
        <v>1.4999999999999999E-2</v>
      </c>
      <c r="J1" s="875">
        <f>IF(C1&gt;C13,0,MATCH(C1,C$13:C$115,-1))+IF(SUMIF(C13:C115,C1,D13:D115)=0,13,12)</f>
        <v>13</v>
      </c>
      <c r="K1" s="875">
        <f ca="1">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2199</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61" t="s">
        <v>940</v>
      </c>
      <c r="B15" s="4356" t="s">
        <v>107</v>
      </c>
      <c r="C15" s="4357"/>
    </row>
    <row r="16" spans="1:7" ht="13.5">
      <c r="A16" s="4362"/>
      <c r="B16" s="4356" t="s">
        <v>40</v>
      </c>
      <c r="C16" s="4357"/>
    </row>
    <row r="17" spans="1:3" ht="13.5">
      <c r="A17" s="4362"/>
      <c r="B17" s="4359" t="s">
        <v>941</v>
      </c>
      <c r="C17" s="1073" t="s">
        <v>940</v>
      </c>
    </row>
    <row r="18" spans="1:3" ht="13.5">
      <c r="A18" s="4362"/>
      <c r="B18" s="4359"/>
      <c r="C18" s="1073" t="s">
        <v>942</v>
      </c>
    </row>
    <row r="19" spans="1:3" ht="13.5">
      <c r="A19" s="4362"/>
      <c r="B19" s="4359"/>
      <c r="C19" s="1073" t="s">
        <v>943</v>
      </c>
    </row>
    <row r="20" spans="1:3" ht="13.5">
      <c r="A20" s="4363"/>
      <c r="B20" s="4358" t="s">
        <v>944</v>
      </c>
      <c r="C20" s="4357"/>
    </row>
    <row r="21" spans="1:3" ht="13.5">
      <c r="A21" s="1074" t="s">
        <v>945</v>
      </c>
      <c r="B21" s="1075"/>
      <c r="C21" s="1076"/>
    </row>
    <row r="22" spans="1:3" ht="13.5">
      <c r="A22" s="4360" t="s">
        <v>946</v>
      </c>
      <c r="B22" s="4358" t="s">
        <v>947</v>
      </c>
      <c r="C22" s="4357"/>
    </row>
    <row r="23" spans="1:3" ht="13.5">
      <c r="A23" s="4360"/>
      <c r="B23" s="4358" t="s">
        <v>948</v>
      </c>
      <c r="C23" s="4357"/>
    </row>
    <row r="24" spans="1:3" ht="13.5">
      <c r="A24" s="4360"/>
      <c r="B24" s="4358" t="s">
        <v>949</v>
      </c>
      <c r="C24" s="4357"/>
    </row>
    <row r="25" spans="1:3" ht="13.5">
      <c r="A25" s="4360"/>
      <c r="B25" s="4359" t="s">
        <v>950</v>
      </c>
      <c r="C25" s="1073" t="s">
        <v>951</v>
      </c>
    </row>
    <row r="26" spans="1:3" ht="13.5">
      <c r="A26" s="4360"/>
      <c r="B26" s="4359"/>
      <c r="C26" s="1073" t="s">
        <v>952</v>
      </c>
    </row>
    <row r="27" spans="1:3" ht="13.5">
      <c r="A27" s="4360"/>
      <c r="B27" s="4359"/>
      <c r="C27" s="1073" t="s">
        <v>953</v>
      </c>
    </row>
    <row r="28" spans="1:3" ht="13.5">
      <c r="A28" s="4360"/>
      <c r="B28" s="4359"/>
      <c r="C28" s="1073" t="s">
        <v>954</v>
      </c>
    </row>
    <row r="29" spans="1:3" ht="13.5">
      <c r="A29" s="4360"/>
      <c r="B29" s="4359"/>
      <c r="C29" s="1073" t="s">
        <v>955</v>
      </c>
    </row>
    <row r="30" spans="1:3" ht="13.5">
      <c r="A30" s="4360"/>
      <c r="B30" s="4359"/>
      <c r="C30" s="1073" t="s">
        <v>956</v>
      </c>
    </row>
    <row r="31" spans="1:3" ht="13.5">
      <c r="A31" s="4360"/>
      <c r="B31" s="4359"/>
      <c r="C31" s="1073" t="s">
        <v>957</v>
      </c>
    </row>
    <row r="32" spans="1:3" ht="13.5">
      <c r="A32" s="4360"/>
      <c r="B32" s="4359"/>
      <c r="C32" s="1073" t="s">
        <v>958</v>
      </c>
    </row>
    <row r="33" spans="1:3" ht="13.5">
      <c r="A33" s="4360"/>
      <c r="B33" s="4359"/>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2041</v>
      </c>
      <c r="B2" s="1704">
        <f ca="1">TODAY()</f>
        <v>46129</v>
      </c>
      <c r="C2" s="1705" t="s">
        <v>2042</v>
      </c>
      <c r="D2" s="1705"/>
      <c r="E2" s="1705"/>
      <c r="F2" s="1701"/>
      <c r="G2" s="1701"/>
      <c r="H2" s="1701"/>
    </row>
    <row r="3" spans="1:8" ht="24" customHeight="1">
      <c r="A3" s="1706" t="s">
        <v>2043</v>
      </c>
      <c r="B3" s="876" t="s">
        <v>2044</v>
      </c>
      <c r="C3" s="876" t="s">
        <v>2045</v>
      </c>
      <c r="D3" s="1707" t="s">
        <v>2046</v>
      </c>
      <c r="E3" s="1708" t="s">
        <v>2047</v>
      </c>
      <c r="F3" s="876" t="s">
        <v>2048</v>
      </c>
      <c r="G3" s="876" t="s">
        <v>2045</v>
      </c>
      <c r="H3" s="1707" t="s">
        <v>2049</v>
      </c>
    </row>
    <row r="4" spans="1:8" ht="24" customHeight="1">
      <c r="A4" s="876" t="s">
        <v>2050</v>
      </c>
      <c r="B4" s="3465" t="str">
        <f ca="1">IF(C4&lt;B2,"已过期",1119970066)</f>
        <v>已过期</v>
      </c>
      <c r="C4" s="876">
        <v>45937</v>
      </c>
      <c r="D4" s="1709" t="str">
        <f ca="1">A4&amp;"（注册号："&amp;B4&amp;"）"</f>
        <v>梁津（注册号：已过期）</v>
      </c>
      <c r="E4" s="1710" t="s">
        <v>2050</v>
      </c>
      <c r="F4" s="3465">
        <f ca="1">IF(G4&lt;B2,"已过期",96010014)</f>
        <v>96010014</v>
      </c>
      <c r="G4" s="1711">
        <v>47118</v>
      </c>
      <c r="H4" s="1712" t="str">
        <f ca="1">E4&amp;"（注册号："&amp;F4&amp;"）"</f>
        <v>梁津（注册号：96010014）</v>
      </c>
    </row>
    <row r="5" spans="1:8" ht="24" customHeight="1">
      <c r="A5" s="876" t="s">
        <v>2051</v>
      </c>
      <c r="B5" s="3465" t="str">
        <f ca="1">IF(C5&lt;B2,"已过期",1119970111)</f>
        <v>已过期</v>
      </c>
      <c r="C5" s="876">
        <v>45937</v>
      </c>
      <c r="D5" s="1709" t="str">
        <f t="shared" ref="D5:D15" ca="1" si="0">A5&amp;"（注册号："&amp;B5&amp;"）"</f>
        <v>叶凌（注册号：已过期）</v>
      </c>
      <c r="E5" s="1710" t="s">
        <v>2051</v>
      </c>
      <c r="F5" s="3465">
        <f ca="1">IF(G5&lt;B2,"已过期",94010078)</f>
        <v>94010078</v>
      </c>
      <c r="G5" s="1711">
        <v>46387</v>
      </c>
      <c r="H5" s="1712" t="str">
        <f t="shared" ref="H5:H16" ca="1" si="1">E5&amp;"（注册号："&amp;F5&amp;"）"</f>
        <v>叶凌（注册号：94010078）</v>
      </c>
    </row>
    <row r="6" spans="1:8" ht="24" customHeight="1">
      <c r="A6" s="876" t="s">
        <v>2052</v>
      </c>
      <c r="B6" s="3465" t="str">
        <f ca="1">IF(C6&lt;B2,"已过期",1120050019)</f>
        <v>已过期</v>
      </c>
      <c r="C6" s="876">
        <v>45410</v>
      </c>
      <c r="D6" s="1709" t="str">
        <f t="shared" ca="1" si="0"/>
        <v>王鹏（注册号：已过期）</v>
      </c>
      <c r="E6" s="1710" t="s">
        <v>2052</v>
      </c>
      <c r="F6" s="3465">
        <f ca="1">IF(G6&lt;B2,"已过期",2002110030)</f>
        <v>2002110030</v>
      </c>
      <c r="G6" s="1711">
        <v>46387</v>
      </c>
      <c r="H6" s="1712" t="str">
        <f t="shared" ca="1" si="1"/>
        <v>王鹏（注册号：2002110030）</v>
      </c>
    </row>
    <row r="7" spans="1:8" ht="24" customHeight="1">
      <c r="A7" s="876" t="s">
        <v>2053</v>
      </c>
      <c r="B7" s="3465" t="str">
        <f ca="1">IF(C7&lt;B2,"已过期",1120000080)</f>
        <v>已过期</v>
      </c>
      <c r="C7" s="876">
        <v>45937</v>
      </c>
      <c r="D7" s="1709" t="str">
        <f t="shared" ca="1" si="0"/>
        <v>欧红伟（注册号：已过期）</v>
      </c>
      <c r="E7" s="1710" t="s">
        <v>2053</v>
      </c>
      <c r="F7" s="3465">
        <f ca="1">IF(G7&lt;B2,"已过期",2000110082)</f>
        <v>2000110082</v>
      </c>
      <c r="G7" s="1711">
        <v>46387</v>
      </c>
      <c r="H7" s="1712" t="str">
        <f t="shared" ca="1" si="1"/>
        <v>欧红伟（注册号：2000110082）</v>
      </c>
    </row>
    <row r="8" spans="1:8" ht="24" customHeight="1">
      <c r="A8" s="876" t="s">
        <v>2054</v>
      </c>
      <c r="B8" s="3465" t="str">
        <f ca="1">IF(C8&lt;B2,"已过期",1419970001)</f>
        <v>已过期</v>
      </c>
      <c r="C8" s="876">
        <v>45937</v>
      </c>
      <c r="D8" s="1709" t="str">
        <f t="shared" ca="1" si="0"/>
        <v>吴薇（注册号：已过期）</v>
      </c>
      <c r="E8" s="1710" t="s">
        <v>2054</v>
      </c>
      <c r="F8" s="3465">
        <f ca="1">IF(G8&lt;B2,"已过期",2002110125)</f>
        <v>2002110125</v>
      </c>
      <c r="G8" s="1711">
        <v>47118</v>
      </c>
      <c r="H8" s="1712" t="str">
        <f t="shared" ca="1" si="1"/>
        <v>吴薇（注册号：2002110125）</v>
      </c>
    </row>
    <row r="9" spans="1:8" ht="24" customHeight="1">
      <c r="A9" s="876" t="s">
        <v>2055</v>
      </c>
      <c r="B9" s="3465" t="str">
        <f ca="1">IF(C9&lt;B2,"已过期",1120060040)</f>
        <v>已过期</v>
      </c>
      <c r="C9" s="1707">
        <v>45592</v>
      </c>
      <c r="D9" s="1709" t="str">
        <f t="shared" ca="1" si="0"/>
        <v>陈颖（注册号：已过期）</v>
      </c>
      <c r="E9" s="1710" t="s">
        <v>2055</v>
      </c>
      <c r="F9" s="3465">
        <f ca="1">IF(G9&lt;B2,"已过期",2004110096)</f>
        <v>2004110096</v>
      </c>
      <c r="G9" s="1711">
        <v>47118</v>
      </c>
      <c r="H9" s="1712" t="str">
        <f t="shared" ca="1" si="1"/>
        <v>陈颖（注册号：2004110096）</v>
      </c>
    </row>
    <row r="10" spans="1:8" ht="24" customHeight="1">
      <c r="A10" s="876" t="s">
        <v>2056</v>
      </c>
      <c r="B10" s="3465" t="str">
        <f ca="1">IF(C10&lt;B2,"已过期",1120100036)</f>
        <v>已过期</v>
      </c>
      <c r="C10" s="1707">
        <v>45752</v>
      </c>
      <c r="D10" s="1709" t="str">
        <f t="shared" ca="1" si="0"/>
        <v>崔锴（注册号：已过期）</v>
      </c>
      <c r="E10" s="1710" t="s">
        <v>2056</v>
      </c>
      <c r="F10" s="3465">
        <f ca="1">IF(G10&lt;B2,"已过期",2010110070)</f>
        <v>2010110070</v>
      </c>
      <c r="G10" s="1711">
        <v>47907</v>
      </c>
      <c r="H10" s="1712" t="str">
        <f t="shared" ca="1" si="1"/>
        <v>崔锴（注册号：2010110070）</v>
      </c>
    </row>
    <row r="11" spans="1:8" ht="24" customHeight="1">
      <c r="A11" s="876" t="s">
        <v>2057</v>
      </c>
      <c r="B11" s="3465" t="str">
        <f ca="1">IF(C11&lt;B2,"已过期",1120070131)</f>
        <v>已过期</v>
      </c>
      <c r="C11" s="876">
        <v>45937</v>
      </c>
      <c r="D11" s="1709" t="str">
        <f t="shared" ca="1" si="0"/>
        <v>郑燚（注册号：已过期）</v>
      </c>
      <c r="E11" s="1710" t="s">
        <v>2057</v>
      </c>
      <c r="F11" s="3465">
        <f ca="1">IF(G11&lt;B2,"已过期",2014110011)</f>
        <v>2014110011</v>
      </c>
      <c r="G11" s="1711">
        <v>49302</v>
      </c>
      <c r="H11" s="1712" t="str">
        <f t="shared" ca="1" si="1"/>
        <v>郑燚（注册号：2014110011）</v>
      </c>
    </row>
    <row r="12" spans="1:8" ht="24" customHeight="1">
      <c r="A12" s="876" t="s">
        <v>2058</v>
      </c>
      <c r="B12" s="3465" t="str">
        <f ca="1">IF(C12&lt;B2,"已过期",1120040230)</f>
        <v>已过期</v>
      </c>
      <c r="C12" s="1707">
        <v>45937</v>
      </c>
      <c r="D12" s="1709" t="str">
        <f t="shared" ca="1" si="0"/>
        <v>苏海（注册号：已过期）</v>
      </c>
      <c r="E12" s="1710" t="s">
        <v>2058</v>
      </c>
      <c r="F12" s="3465">
        <f ca="1">IF(G12&lt;B2,"已过期",98030020)</f>
        <v>98030020</v>
      </c>
      <c r="G12" s="1711">
        <v>47118</v>
      </c>
      <c r="H12" s="1712" t="str">
        <f t="shared" ca="1" si="1"/>
        <v>苏海（注册号：98030020）</v>
      </c>
    </row>
    <row r="13" spans="1:8" ht="24" customHeight="1">
      <c r="A13" s="876" t="s">
        <v>2059</v>
      </c>
      <c r="B13" s="3465" t="str">
        <f ca="1">IF(C13&lt;B2,"已过期",1120020033)</f>
        <v>已过期</v>
      </c>
      <c r="C13" s="876">
        <v>45375</v>
      </c>
      <c r="D13" s="1709" t="str">
        <f t="shared" ca="1" si="0"/>
        <v>刘敬东（注册号：已过期）</v>
      </c>
      <c r="E13" s="1710" t="s">
        <v>2059</v>
      </c>
      <c r="F13" s="3465">
        <f ca="1">IF(G13&lt;B2,"已过期",2000110137)</f>
        <v>2000110137</v>
      </c>
      <c r="G13" s="1711">
        <v>46387</v>
      </c>
      <c r="H13" s="1712" t="str">
        <f t="shared" ca="1" si="1"/>
        <v>刘敬东（注册号：2000110137）</v>
      </c>
    </row>
    <row r="14" spans="1:8" ht="24" customHeight="1">
      <c r="A14" s="876" t="s">
        <v>2060</v>
      </c>
      <c r="B14" s="3465" t="str">
        <f ca="1">IF(C14&lt;B2,"已过期",1119980106)</f>
        <v>已过期</v>
      </c>
      <c r="C14" s="1707">
        <v>44969</v>
      </c>
      <c r="D14" s="1709" t="str">
        <f t="shared" ca="1" si="0"/>
        <v>刘俊财（注册号：已过期）</v>
      </c>
      <c r="E14" s="1710" t="s">
        <v>2060</v>
      </c>
      <c r="F14" s="3465">
        <f ca="1">IF(G14&lt;B2,"已过期",96010063)</f>
        <v>96010063</v>
      </c>
      <c r="G14" s="1711">
        <v>47483</v>
      </c>
      <c r="H14" s="1712" t="str">
        <f t="shared" ca="1" si="1"/>
        <v>刘俊财（注册号：96010063）</v>
      </c>
    </row>
    <row r="15" spans="1:8" ht="24" customHeight="1">
      <c r="A15" s="876" t="s">
        <v>2319</v>
      </c>
      <c r="B15" s="3465">
        <v>1120210056</v>
      </c>
      <c r="C15" s="1707">
        <v>45410</v>
      </c>
      <c r="D15" s="1709" t="str">
        <f t="shared" si="0"/>
        <v>宁小鳗（注册号：1120210056）</v>
      </c>
      <c r="E15" s="1710" t="s">
        <v>2061</v>
      </c>
      <c r="F15" s="3465">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64" t="s">
        <v>2062</v>
      </c>
      <c r="B17" s="4364"/>
      <c r="C17" s="4364"/>
      <c r="D17" s="4364"/>
      <c r="E17" s="4364"/>
      <c r="F17" s="4364"/>
      <c r="G17" s="4364"/>
      <c r="H17" s="4364"/>
    </row>
    <row r="18" spans="1:8" ht="24" customHeight="1">
      <c r="A18" s="4365" t="s">
        <v>2063</v>
      </c>
      <c r="B18" s="4365"/>
      <c r="C18" s="4365"/>
      <c r="D18" s="1707"/>
      <c r="E18" s="4366" t="s">
        <v>2064</v>
      </c>
      <c r="F18" s="4365"/>
      <c r="G18" s="4365"/>
    </row>
    <row r="19" spans="1:8" s="1715" customFormat="1" ht="24" customHeight="1">
      <c r="A19" s="1714" t="s">
        <v>2065</v>
      </c>
      <c r="B19" s="876" t="s">
        <v>2066</v>
      </c>
      <c r="C19" s="876" t="s">
        <v>2045</v>
      </c>
      <c r="D19" s="1707"/>
      <c r="E19" s="1710" t="s">
        <v>2065</v>
      </c>
      <c r="F19" s="876" t="s">
        <v>2066</v>
      </c>
      <c r="G19" s="876" t="s">
        <v>2045</v>
      </c>
    </row>
    <row r="20" spans="1:8" s="1715" customFormat="1" ht="24" customHeight="1">
      <c r="A20" s="1716" t="s">
        <v>2067</v>
      </c>
      <c r="B20" s="1716" t="s">
        <v>2068</v>
      </c>
      <c r="C20" s="1711">
        <v>45898</v>
      </c>
      <c r="D20" s="1717"/>
      <c r="E20" s="1718" t="s">
        <v>2069</v>
      </c>
      <c r="F20" s="1721" t="s">
        <v>2320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161</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面积指标</vt:lpstr>
      <vt:lpstr>项目基本情况</vt:lpstr>
      <vt:lpstr>数据-基础表</vt:lpstr>
      <vt:lpstr>数据-汇总表</vt:lpstr>
      <vt:lpstr>数据-取费表</vt:lpstr>
      <vt:lpstr>估价对象房地状况</vt:lpstr>
      <vt:lpstr>系统读取表</vt:lpstr>
      <vt:lpstr>结果表</vt:lpstr>
      <vt:lpstr>租赁台账</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Sheet1</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收入台账-2025</vt:lpstr>
      <vt:lpstr>收入台账-2024</vt:lpstr>
      <vt:lpstr>收入台账-2023</vt:lpstr>
      <vt:lpstr>收入台账-2022</vt:lpstr>
      <vt:lpstr>收入台账-2021</vt:lpstr>
      <vt:lpstr>资产负债表</vt:lpstr>
      <vt:lpstr>利润表</vt:lpstr>
      <vt:lpstr>现金流量表</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2026-04-17T02:56:39Z</dcterms:modified>
</cp:coreProperties>
</file>