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240" yWindow="150" windowWidth="15390" windowHeight="110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基准地价修正" sheetId="43" r:id="rId44"/>
    <sheet name="地价-分区" sheetId="79" r:id="rId45"/>
    <sheet name="地价" sheetId="71"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43">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70" i="39" l="1"/>
  <c r="F70" i="39"/>
  <c r="G70" i="39"/>
  <c r="H70" i="39" s="1"/>
  <c r="I70" i="39" s="1"/>
  <c r="J70" i="39" s="1"/>
  <c r="K70" i="39" s="1"/>
  <c r="L70" i="39" s="1"/>
  <c r="M70" i="39" s="1"/>
  <c r="N70" i="39" s="1"/>
  <c r="O70" i="39" s="1"/>
  <c r="D70" i="39"/>
  <c r="I7" i="6" l="1"/>
  <c r="I46" i="39"/>
  <c r="G46" i="39"/>
  <c r="E46" i="39"/>
  <c r="I38" i="39"/>
  <c r="G38" i="39"/>
  <c r="E38" i="39"/>
  <c r="C38" i="39"/>
  <c r="G11" i="39"/>
  <c r="C11" i="39"/>
  <c r="I7" i="39"/>
  <c r="G7" i="39"/>
  <c r="E7" i="39"/>
  <c r="I5" i="39"/>
  <c r="G5" i="39"/>
  <c r="E5" i="39"/>
  <c r="H36" i="6" l="1"/>
  <c r="G36" i="6"/>
  <c r="H38" i="6"/>
  <c r="G38" i="6"/>
  <c r="F36" i="6"/>
  <c r="E36" i="6" s="1"/>
  <c r="G25" i="80"/>
  <c r="G26" i="80"/>
  <c r="G27" i="80"/>
  <c r="G24" i="80"/>
  <c r="D40" i="43" l="1"/>
  <c r="C39" i="80" l="1"/>
  <c r="H49" i="80"/>
  <c r="H51" i="80" s="1"/>
  <c r="D42" i="80"/>
  <c r="E42" i="80" s="1"/>
  <c r="E39" i="80"/>
  <c r="D3" i="4" l="1"/>
  <c r="Y6" i="1" l="1"/>
  <c r="B21" i="1"/>
  <c r="G19" i="6"/>
  <c r="K17" i="3"/>
  <c r="K16" i="3"/>
  <c r="I14" i="3"/>
  <c r="I15" i="3"/>
  <c r="I13" i="3"/>
  <c r="A3" i="3"/>
  <c r="C14" i="3"/>
  <c r="C15" i="3"/>
  <c r="C16" i="3"/>
  <c r="C17" i="3"/>
  <c r="C13" i="3"/>
  <c r="G31" i="80"/>
  <c r="E31" i="80"/>
  <c r="G29" i="80"/>
  <c r="D29" i="80"/>
  <c r="F29" i="80"/>
  <c r="F28" i="80"/>
  <c r="E28" i="80"/>
  <c r="C28" i="80"/>
  <c r="C27" i="80"/>
  <c r="C26" i="80"/>
  <c r="C25" i="80"/>
  <c r="C24" i="80"/>
  <c r="C38" i="80" s="1"/>
  <c r="E18" i="80"/>
  <c r="E12" i="80"/>
  <c r="E38" i="80" l="1"/>
  <c r="E37" i="80" s="1"/>
  <c r="C37" i="80"/>
  <c r="C29" i="80"/>
  <c r="G14" i="73"/>
  <c r="F14" i="73"/>
  <c r="E14" i="73"/>
  <c r="G15" i="73"/>
  <c r="F15" i="73"/>
  <c r="E15" i="73"/>
  <c r="C40" i="80" l="1"/>
  <c r="E40" i="80" s="1"/>
  <c r="C43" i="80"/>
  <c r="C41" i="80"/>
  <c r="E41" i="80" s="1"/>
  <c r="D37" i="80"/>
  <c r="AB28" i="79"/>
  <c r="AA28" i="79"/>
  <c r="Z28" i="79"/>
  <c r="N28" i="79"/>
  <c r="M28" i="79"/>
  <c r="P28" i="79" s="1"/>
  <c r="L28" i="79"/>
  <c r="I28" i="79"/>
  <c r="AD28" i="79" s="1"/>
  <c r="AC5" i="79"/>
  <c r="AB5" i="79"/>
  <c r="AA5" i="79"/>
  <c r="AD5" i="79" s="1"/>
  <c r="Z5" i="79"/>
  <c r="Y5" i="79"/>
  <c r="O5" i="79"/>
  <c r="N5" i="79"/>
  <c r="M5" i="79"/>
  <c r="P5" i="79" s="1"/>
  <c r="L5" i="79"/>
  <c r="K5" i="79"/>
  <c r="I5" i="79"/>
  <c r="E43" i="80" l="1"/>
  <c r="D43" i="80" s="1"/>
  <c r="I8" i="79"/>
  <c r="G43"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S27" i="39" s="1"/>
  <c r="F11" i="21"/>
  <c r="S11" i="21" s="1"/>
  <c r="S40" i="21"/>
  <c r="U34" i="21"/>
  <c r="C25" i="39"/>
  <c r="C15" i="39"/>
  <c r="H32" i="33"/>
  <c r="AB32" i="33"/>
  <c r="H11" i="21"/>
  <c r="U11" i="21" s="1"/>
  <c r="J11" i="21"/>
  <c r="W11" i="21" s="1"/>
  <c r="H37" i="40"/>
  <c r="U37" i="40"/>
  <c r="H36" i="40"/>
  <c r="AB36" i="40" s="1"/>
  <c r="F35" i="40"/>
  <c r="AA35" i="40"/>
  <c r="H23" i="40"/>
  <c r="AB23" i="40" s="1"/>
  <c r="H17" i="40"/>
  <c r="U17" i="40"/>
  <c r="J15" i="40"/>
  <c r="W15" i="40" s="1"/>
  <c r="J11" i="40"/>
  <c r="W11" i="40"/>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H37" i="39"/>
  <c r="AB37" i="39"/>
  <c r="AC37" i="39"/>
  <c r="W37" i="39"/>
  <c r="H25" i="39"/>
  <c r="AB25" i="39" s="1"/>
  <c r="J25" i="39"/>
  <c r="W25" i="39" s="1"/>
  <c r="F25" i="39"/>
  <c r="AA25" i="39" s="1"/>
  <c r="F15" i="39"/>
  <c r="AA15" i="39" s="1"/>
  <c r="H15" i="39"/>
  <c r="U15" i="39" s="1"/>
  <c r="J15" i="39"/>
  <c r="W15" i="39" s="1"/>
  <c r="AB34" i="39"/>
  <c r="W8" i="39"/>
  <c r="J19" i="40"/>
  <c r="AC19" i="40" s="1"/>
  <c r="J50" i="40"/>
  <c r="H103" i="9"/>
  <c r="D8" i="53" s="1"/>
  <c r="B16" i="53"/>
  <c r="B33" i="72" s="1"/>
  <c r="C7" i="37"/>
  <c r="C7" i="36"/>
  <c r="C46" i="36" s="1"/>
  <c r="D46" i="36" s="1"/>
  <c r="E46" i="36" s="1"/>
  <c r="F46" i="36" s="1"/>
  <c r="G46" i="36" s="1"/>
  <c r="H46" i="36" s="1"/>
  <c r="I46" i="36" s="1"/>
  <c r="W35" i="40"/>
  <c r="A118" i="9"/>
  <c r="A4" i="52"/>
  <c r="B41" i="72" s="1"/>
  <c r="J11" i="39"/>
  <c r="W11"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S23" i="39" s="1"/>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J21" i="39"/>
  <c r="W21" i="39" s="1"/>
  <c r="F21" i="39"/>
  <c r="AA21" i="39" s="1"/>
  <c r="H21" i="39"/>
  <c r="U21" i="39" s="1"/>
  <c r="S17" i="39"/>
  <c r="S15"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G1" i="68"/>
  <c r="K1" i="12"/>
  <c r="E19" i="11"/>
  <c r="G26" i="12"/>
  <c r="C6" i="43"/>
  <c r="B19" i="53"/>
  <c r="B37" i="72" s="1"/>
  <c r="C7" i="35"/>
  <c r="C7" i="21"/>
  <c r="M47" i="9"/>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13" i="39"/>
  <c r="AB13" i="39"/>
  <c r="AA13" i="39"/>
  <c r="S13" i="39"/>
  <c r="S14" i="39"/>
  <c r="AA14" i="39"/>
  <c r="U43" i="39"/>
  <c r="AB43"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0" i="76"/>
  <c r="M28" i="67"/>
  <c r="M8" i="15"/>
  <c r="F42" i="67"/>
  <c r="F16" i="15"/>
  <c r="E7" i="76"/>
  <c r="E8" i="76"/>
  <c r="J15" i="67"/>
  <c r="F36" i="67"/>
  <c r="M24" i="15"/>
  <c r="F20" i="31"/>
  <c r="F38" i="15"/>
  <c r="C76" i="15"/>
  <c r="M26" i="15"/>
  <c r="B11" i="76"/>
  <c r="M6" i="15"/>
  <c r="M24" i="67"/>
  <c r="E2" i="69"/>
  <c r="F9" i="67"/>
  <c r="F40" i="15"/>
  <c r="L47" i="15"/>
  <c r="F9" i="15"/>
  <c r="M28" i="15"/>
  <c r="E9" i="76"/>
  <c r="L47" i="67"/>
  <c r="B10" i="76"/>
  <c r="B7" i="76"/>
  <c r="F8" i="15"/>
  <c r="F37" i="15"/>
  <c r="J15" i="15"/>
  <c r="M9" i="67"/>
  <c r="B8" i="76"/>
  <c r="F40" i="67"/>
  <c r="B12" i="76"/>
  <c r="F7" i="67"/>
  <c r="F13" i="15"/>
  <c r="F26" i="15"/>
  <c r="M22" i="67"/>
  <c r="F38" i="67"/>
  <c r="E11" i="76"/>
  <c r="L48" i="67"/>
  <c r="F7" i="15"/>
  <c r="L48" i="15"/>
  <c r="F6" i="67"/>
  <c r="M23" i="15"/>
  <c r="M29" i="67"/>
  <c r="F43" i="15"/>
  <c r="F7" i="73"/>
  <c r="F42" i="15"/>
  <c r="F43" i="67"/>
  <c r="M29" i="15"/>
  <c r="F13" i="67"/>
  <c r="M23" i="67"/>
  <c r="M22" i="15"/>
  <c r="E12" i="76"/>
  <c r="C76" i="67"/>
  <c r="F36" i="15"/>
  <c r="F6" i="73"/>
  <c r="F37" i="67"/>
  <c r="M6" i="67"/>
  <c r="F6" i="15"/>
  <c r="F3" i="73"/>
  <c r="F26" i="67"/>
  <c r="M26" i="67"/>
  <c r="F4" i="73"/>
  <c r="M9" i="15"/>
  <c r="F16" i="67"/>
  <c r="AO13" i="1"/>
  <c r="E2" i="68"/>
  <c r="F5" i="73"/>
  <c r="F8" i="67"/>
  <c r="B9" i="76"/>
  <c r="M8" i="67"/>
  <c r="E13" i="76"/>
  <c r="B13" i="76"/>
  <c r="C40" i="11" l="1"/>
  <c r="H11" i="39"/>
  <c r="AB11" i="39" s="1"/>
  <c r="F11" i="39"/>
  <c r="S11" i="39" s="1"/>
  <c r="S9" i="39"/>
  <c r="C40" i="68"/>
  <c r="H32" i="39"/>
  <c r="AB32" i="39" s="1"/>
  <c r="C18" i="9"/>
  <c r="D18" i="9" s="1"/>
  <c r="AC11" i="39"/>
  <c r="AA27" i="39"/>
  <c r="H123" i="39"/>
  <c r="I123" i="39" s="1"/>
  <c r="J123" i="39" s="1"/>
  <c r="K123" i="39" s="1"/>
  <c r="L123" i="39" s="1"/>
  <c r="M123" i="39" s="1"/>
  <c r="J41" i="39"/>
  <c r="W41" i="39" s="1"/>
  <c r="F41" i="39"/>
  <c r="S41" i="39" s="1"/>
  <c r="H41" i="39"/>
  <c r="AB41" i="39" s="1"/>
  <c r="U40" i="39"/>
  <c r="S40" i="39"/>
  <c r="W40" i="39"/>
  <c r="U42" i="39"/>
  <c r="S42" i="39"/>
  <c r="AA41" i="39"/>
  <c r="AC41" i="39"/>
  <c r="AC38" i="39"/>
  <c r="AC32" i="39"/>
  <c r="S32" i="39"/>
  <c r="AC31" i="39"/>
  <c r="U31" i="39"/>
  <c r="S31" i="39"/>
  <c r="W29" i="39"/>
  <c r="U29" i="39"/>
  <c r="W27" i="39"/>
  <c r="AB27" i="39"/>
  <c r="AC25" i="39"/>
  <c r="U25" i="39"/>
  <c r="AA23" i="39"/>
  <c r="AB21" i="39"/>
  <c r="S21" i="39"/>
  <c r="U19" i="39"/>
  <c r="S19" i="39"/>
  <c r="W19" i="39"/>
  <c r="W9" i="39"/>
  <c r="AB8" i="39"/>
  <c r="H5" i="3"/>
  <c r="C21" i="68"/>
  <c r="J1" i="73"/>
  <c r="C7" i="40"/>
  <c r="C63" i="40" s="1"/>
  <c r="C7" i="39"/>
  <c r="C67" i="39" s="1"/>
  <c r="C7" i="34"/>
  <c r="J51" i="15"/>
  <c r="J53" i="15" s="1"/>
  <c r="L56"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8" i="15"/>
  <c r="F66" i="15"/>
  <c r="Q71" i="67"/>
  <c r="F64" i="15"/>
  <c r="C27" i="67"/>
  <c r="F71" i="67"/>
  <c r="C27" i="15"/>
  <c r="F65" i="15"/>
  <c r="N59" i="67"/>
  <c r="L59" i="67"/>
  <c r="L58" i="67"/>
  <c r="M59" i="67"/>
  <c r="B13" i="70"/>
  <c r="M7" i="67"/>
  <c r="J6" i="67" s="1"/>
  <c r="F50" i="67"/>
  <c r="F68" i="67"/>
  <c r="F64" i="67"/>
  <c r="F68" i="15"/>
  <c r="C36" i="68"/>
  <c r="D9" i="69"/>
  <c r="C36" i="69"/>
  <c r="D9" i="68"/>
  <c r="D7" i="73"/>
  <c r="D3" i="73"/>
  <c r="D6" i="73"/>
  <c r="D4" i="73"/>
  <c r="C16" i="67"/>
  <c r="C16" i="15"/>
  <c r="D5" i="73"/>
  <c r="U11" i="39" l="1"/>
  <c r="AA11" i="39"/>
  <c r="I54" i="15"/>
  <c r="N59" i="15"/>
  <c r="L59" i="15"/>
  <c r="Q74" i="15" s="1"/>
  <c r="J57" i="15"/>
  <c r="J55" i="15" s="1"/>
  <c r="J58" i="15" s="1"/>
  <c r="Q50" i="15" s="1"/>
  <c r="M59" i="15"/>
  <c r="U32" i="39"/>
  <c r="U41" i="39"/>
  <c r="G16" i="1"/>
  <c r="F10" i="39" s="1"/>
  <c r="J7" i="37"/>
  <c r="G26" i="43"/>
  <c r="K16" i="1"/>
  <c r="B29" i="1" s="1"/>
  <c r="C8" i="68" s="1"/>
  <c r="N94" i="46"/>
  <c r="N370" i="46"/>
  <c r="P6" i="1"/>
  <c r="C13" i="12" s="1"/>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61" i="15"/>
  <c r="AE11" i="1"/>
  <c r="AE9" i="1"/>
  <c r="F27" i="68"/>
  <c r="AE7" i="1"/>
  <c r="AE8" i="1"/>
  <c r="AE12" i="1"/>
  <c r="AE10" i="1"/>
  <c r="AE6" i="1"/>
  <c r="G1" i="73"/>
  <c r="F41" i="67"/>
  <c r="F67" i="39" l="1"/>
  <c r="D26" i="43"/>
  <c r="C25" i="43" s="1"/>
  <c r="H6" i="3"/>
  <c r="E6" i="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B14" i="74" l="1"/>
  <c r="B1" i="74" s="1"/>
  <c r="F22" i="68"/>
  <c r="C44" i="68" s="1"/>
  <c r="D41" i="68" s="1"/>
  <c r="D116" i="43"/>
  <c r="E49" i="34"/>
  <c r="F24" i="15"/>
  <c r="C24" i="15" s="1"/>
  <c r="F24" i="67"/>
  <c r="C24" i="67" s="1"/>
  <c r="F25" i="12"/>
  <c r="C26" i="12" s="1"/>
  <c r="D25" i="12" s="1"/>
  <c r="F22" i="69"/>
  <c r="F41" i="69" s="1"/>
  <c r="F22" i="11"/>
  <c r="C24"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F41" i="68" l="1"/>
  <c r="C14" i="74"/>
  <c r="B2" i="74" s="1"/>
  <c r="C26" i="68"/>
  <c r="D22" i="68" s="1"/>
  <c r="H25" i="6"/>
  <c r="C26" i="11"/>
  <c r="D22" i="11" s="1"/>
  <c r="C23" i="11"/>
  <c r="C44" i="11"/>
  <c r="D41" i="11" s="1"/>
  <c r="C25"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3" i="43"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67"/>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4"/>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7" i="1"/>
  <c r="AO10" i="1"/>
  <c r="AO9" i="1"/>
  <c r="AO11" i="1"/>
  <c r="AO12" i="1"/>
  <c r="R48" i="39" l="1"/>
  <c r="C47" i="39" s="1"/>
  <c r="C7" i="71"/>
  <c r="D8"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C48" i="39" l="1"/>
  <c r="B64" i="39" s="1"/>
  <c r="F64" i="39" s="1"/>
  <c r="D102" i="9"/>
  <c r="D21" i="9"/>
  <c r="B6" i="70"/>
  <c r="B2" i="70" s="1"/>
  <c r="B3" i="70" s="1"/>
  <c r="B3" i="15"/>
  <c r="D7" i="71"/>
  <c r="C6" i="71"/>
  <c r="I46" i="40"/>
  <c r="J46" i="40" s="1"/>
  <c r="R43" i="40"/>
  <c r="E42" i="40"/>
  <c r="G47" i="40"/>
  <c r="H47" i="40" s="1"/>
  <c r="G46" i="40"/>
  <c r="H46" i="40" s="1"/>
  <c r="D20" i="9"/>
  <c r="B57" i="39" l="1"/>
  <c r="F57" i="39" s="1"/>
  <c r="B63" i="39"/>
  <c r="F63" i="39" s="1"/>
  <c r="B56" i="39"/>
  <c r="F56" i="39" s="1"/>
  <c r="B60" i="39"/>
  <c r="F60" i="39" s="1"/>
  <c r="B59" i="39"/>
  <c r="F59" i="39" s="1"/>
  <c r="B61" i="39"/>
  <c r="F61" i="39" s="1"/>
  <c r="B62" i="39"/>
  <c r="F62" i="39" s="1"/>
  <c r="B58" i="39"/>
  <c r="F58" i="39" s="1"/>
  <c r="D103" i="9"/>
  <c r="D6" i="71"/>
  <c r="C5" i="71"/>
  <c r="D5" i="71" s="1"/>
  <c r="M24" i="43" s="1"/>
  <c r="C42" i="40"/>
  <c r="C43" i="40"/>
  <c r="E47" i="40"/>
  <c r="F47" i="40" s="1"/>
  <c r="E46" i="40"/>
  <c r="F46" i="40" s="1"/>
  <c r="I47" i="40"/>
  <c r="J47" i="40" s="1"/>
  <c r="F65" i="39" l="1"/>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s="1"/>
  <c r="C23" i="68" l="1"/>
  <c r="C28" i="68"/>
  <c r="C27" i="68" s="1"/>
  <c r="C25" i="68"/>
  <c r="C22" i="68" l="1"/>
  <c r="C31" i="68" s="1"/>
  <c r="C52" i="68" s="1"/>
  <c r="B2" i="68" s="1"/>
  <c r="C19" i="9"/>
  <c r="C57" i="68" l="1"/>
  <c r="C56" i="68" s="1"/>
  <c r="C102" i="9"/>
  <c r="C21" i="9"/>
  <c r="D22" i="9"/>
  <c r="G19" i="9"/>
  <c r="B3" i="68"/>
  <c r="C20" i="9"/>
  <c r="D35" i="9"/>
  <c r="D34" i="9"/>
  <c r="C103" i="9" l="1"/>
  <c r="G20" i="9"/>
  <c r="C32" i="9" s="1"/>
  <c r="G21" i="9"/>
  <c r="D28" i="9"/>
  <c r="C35" i="9" l="1"/>
  <c r="H118" i="9"/>
  <c r="I118" i="9" l="1"/>
  <c r="H101" i="9"/>
  <c r="H4" i="52"/>
  <c r="H119" i="9"/>
  <c r="H5" i="52" s="1"/>
  <c r="D14" i="74"/>
  <c r="C104" i="9"/>
  <c r="C34" i="9"/>
  <c r="D118" i="9" s="1"/>
  <c r="F118" i="9"/>
  <c r="D119" i="9" l="1"/>
  <c r="D5" i="52" s="1"/>
  <c r="B49" i="72" s="1"/>
  <c r="D4" i="52"/>
  <c r="B47" i="72" s="1"/>
  <c r="D5" i="53"/>
  <c r="D45" i="9"/>
  <c r="D56" i="9" s="1"/>
  <c r="H107" i="9"/>
  <c r="M49" i="9" s="1"/>
  <c r="M48" i="9"/>
  <c r="F4" i="52"/>
  <c r="B51" i="72" s="1"/>
  <c r="F119" i="9"/>
  <c r="F5" i="52" s="1"/>
  <c r="B53" i="72" s="1"/>
  <c r="G118" i="9"/>
  <c r="G4" i="52" s="1"/>
  <c r="B52" i="72" s="1"/>
  <c r="G14" i="74"/>
  <c r="E14" i="74"/>
  <c r="F14" i="74"/>
  <c r="B5" i="74"/>
  <c r="C105" i="9"/>
  <c r="I4" i="52"/>
  <c r="H102" i="9"/>
  <c r="D7" i="53" s="1"/>
  <c r="B21" i="72" s="1"/>
  <c r="B6" i="74" l="1"/>
  <c r="H14" i="74"/>
  <c r="B7" i="74" s="1"/>
  <c r="L64" i="9"/>
  <c r="M64" i="9" s="1"/>
  <c r="L68" i="9"/>
  <c r="M68" i="9" s="1"/>
  <c r="L63" i="9"/>
  <c r="M63" i="9" s="1"/>
  <c r="L65" i="9"/>
  <c r="M65" i="9" s="1"/>
  <c r="L67" i="9"/>
  <c r="M67" i="9" s="1"/>
  <c r="L66" i="9"/>
  <c r="M66" i="9" s="1"/>
  <c r="E118" i="9"/>
  <c r="E4" i="52" s="1"/>
  <c r="B48" i="72" s="1"/>
  <c r="B20" i="72"/>
  <c r="D6" i="53"/>
  <c r="B22" i="72" s="1"/>
  <c r="D5" i="74"/>
  <c r="C5" i="74"/>
  <c r="D122" i="9"/>
  <c r="H108" i="9"/>
  <c r="D15" i="53" s="1"/>
  <c r="B31" i="72" s="1"/>
  <c r="D13" i="53"/>
  <c r="D53" i="9"/>
  <c r="D55" i="9"/>
  <c r="M53" i="9" s="1"/>
  <c r="C64" i="9"/>
  <c r="C63" i="9" s="1"/>
  <c r="C67" i="9" s="1"/>
  <c r="C93" i="9"/>
  <c r="C86" i="9" s="1"/>
  <c r="C72" i="9"/>
  <c r="D52" i="9"/>
  <c r="C85" i="9"/>
  <c r="C78" i="9"/>
  <c r="C73" i="9" s="1"/>
  <c r="D6" i="74"/>
  <c r="C7" i="74" l="1"/>
  <c r="D7" i="74"/>
  <c r="M69" i="9"/>
  <c r="N69" i="9" s="1"/>
  <c r="D14" i="53"/>
  <c r="B32" i="72" s="1"/>
  <c r="B30" i="72"/>
  <c r="C95" i="9"/>
  <c r="C6" i="74"/>
  <c r="D8" i="52"/>
  <c r="D123" i="9"/>
  <c r="D9" i="52" s="1"/>
  <c r="D59" i="9"/>
  <c r="M55" i="9" s="1"/>
  <c r="C68" i="9"/>
  <c r="D54" i="9" s="1"/>
  <c r="D48" i="9" s="1"/>
  <c r="M52" i="9" s="1"/>
  <c r="C79" i="9"/>
  <c r="C80" i="9" l="1"/>
  <c r="E80" i="9" s="1"/>
  <c r="E81" i="9" s="1"/>
  <c r="C96" i="9"/>
  <c r="E96" i="9" s="1"/>
  <c r="E97" i="9" s="1"/>
  <c r="C81" i="9" l="1"/>
  <c r="C97" i="9"/>
  <c r="D58" i="9" l="1"/>
  <c r="M54" i="9" s="1"/>
  <c r="N57" i="9" s="1"/>
  <c r="N59" i="9" s="1"/>
  <c r="H111" i="9" s="1"/>
  <c r="D126" i="9" s="1"/>
  <c r="N58" i="9" l="1"/>
  <c r="N61" i="9"/>
  <c r="H112" i="9" s="1"/>
  <c r="C8" i="74" s="1"/>
  <c r="N60" i="9"/>
  <c r="I14" i="74"/>
  <c r="B8" i="74" s="1"/>
  <c r="D8" i="74" s="1"/>
  <c r="P57" i="9"/>
  <c r="D19" i="53"/>
  <c r="D20" i="53" s="1"/>
  <c r="B40" i="72" s="1"/>
  <c r="D21" i="53"/>
  <c r="B39" i="72" s="1"/>
  <c r="D127" i="9"/>
  <c r="D13" i="52" s="1"/>
  <c r="D12" i="52"/>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<sst xmlns="http://schemas.openxmlformats.org/spreadsheetml/2006/main" count="8142" uniqueCount="3593">
  <si>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</si>
  <si>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</si>
  <si>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</si>
  <si>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</si>
  <si>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</si>
  <si>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</si>
  <si>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</si>
  <si>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</si>
  <si>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</si>
  <si>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</si>
  <si>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</si>
  <si>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</si>
  <si>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</si>
  <si>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</si>
  <si>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</si>
  <si>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</si>
  <si>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</si>
  <si>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</si>
  <si>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</si>
  <si>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</si>
  <si>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</si>
  <si>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</si>
  <si>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</si>
  <si>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</si>
  <si>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</si>
  <si>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</si>
  <si>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</si>
  <si>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</si>
  <si>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</si>
  <si>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</si>
  <si>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</si>
  <si>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</si>
  <si>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</si>
  <si>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</si>
  <si>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</si>
  <si>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</si>
  <si>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</si>
  <si>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</si>
  <si>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</si>
  <si>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</si>
  <si>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</si>
  <si>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</si>
  <si>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</si>
  <si>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</si>
  <si>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</si>
  <si>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</si>
  <si>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</si>
  <si>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</si>
  <si>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</si>
  <si>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</si>
  <si>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</si>
  <si>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</si>
  <si>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</si>
  <si>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</si>
  <si>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</si>
  <si>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</si>
  <si>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</si>
  <si>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</si>
  <si>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</si>
  <si>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</si>
  <si>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</si>
  <si>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</si>
  <si>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</si>
  <si>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</si>
  <si>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</si>
  <si>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</si>
  <si>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</si>
  <si>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</si>
  <si>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</si>
  <si>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</si>
  <si>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</si>
  <si>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</si>
  <si>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</si>
  <si>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</si>
  <si>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</si>
  <si>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</si>
  <si>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</si>
  <si>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</si>
  <si>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</si>
  <si>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</si>
  <si>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</si>
  <si>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</si>
  <si>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</si>
  <si>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</si>
  <si>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</si>
  <si>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</si>
  <si>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</si>
  <si>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</si>
  <si>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</si>
  <si>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</si>
  <si>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</si>
  <si>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</si>
  <si>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</si>
  <si>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</si>
  <si>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</si>
  <si>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</si>
  <si>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</si>
  <si>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</si>
  <si>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</si>
  <si>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</si>
  <si>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</si>
  <si>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</si>
  <si>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</si>
  <si>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</si>
  <si>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</si>
  <si>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</si>
  <si>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</si>
  <si>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</si>
  <si>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</si>
  <si>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</si>
  <si>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</si>
  <si>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</si>
  <si>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</si>
  <si>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</si>
  <si>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</si>
  <si>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</si>
  <si>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</si>
  <si>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</si>
  <si>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</si>
  <si>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</si>
  <si>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</si>
  <si>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</si>
  <si>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</si>
  <si>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</si>
  <si>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</si>
  <si>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</si>
  <si>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</si>
  <si>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</si>
  <si>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</si>
  <si>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</si>
  <si>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</si>
  <si>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</si>
  <si>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</si>
  <si>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</si>
  <si>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</si>
  <si>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</si>
  <si>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</si>
  <si>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</si>
  <si>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</si>
  <si>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</si>
  <si>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</si>
  <si>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</si>
  <si>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</si>
  <si>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</si>
  <si>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</si>
  <si>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</si>
  <si>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</si>
  <si>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</si>
  <si>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</si>
  <si>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</si>
  <si>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</si>
  <si>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</si>
  <si>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</si>
  <si>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</si>
  <si>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</si>
  <si>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</si>
  <si>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</si>
  <si>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</si>
  <si>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</si>
  <si>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</si>
  <si>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</si>
  <si>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</si>
  <si>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</si>
  <si>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</si>
  <si>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</si>
  <si>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</si>
  <si>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</si>
  <si>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</si>
  <si>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</si>
  <si>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</si>
  <si>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</si>
  <si>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</si>
  <si>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</si>
  <si>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</si>
  <si>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</si>
  <si>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</si>
  <si>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</si>
  <si>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</si>
  <si>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</si>
  <si>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</si>
  <si>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</si>
  <si>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</si>
  <si>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</si>
  <si>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</si>
  <si>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</si>
  <si>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</si>
  <si>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</si>
  <si>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</si>
  <si>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</si>
  <si>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</si>
  <si>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</si>
  <si>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</si>
  <si>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</si>
  <si>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</si>
  <si>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</si>
  <si>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</si>
  <si>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</si>
  <si>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</si>
  <si>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</si>
  <si>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</si>
  <si>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</si>
  <si>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</si>
  <si>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</si>
  <si>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</si>
  <si>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</si>
  <si>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</si>
  <si>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</si>
  <si>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</si>
  <si>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</si>
  <si>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</si>
  <si>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</si>
  <si>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</si>
  <si>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</si>
  <si>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</si>
  <si>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</si>
  <si>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</si>
  <si>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</si>
  <si>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</si>
  <si>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</si>
  <si>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</si>
  <si>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</si>
  <si>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</si>
  <si>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</si>
  <si>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</si>
  <si>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</si>
  <si>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</si>
  <si>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</si>
  <si>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</si>
  <si>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</si>
  <si>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</si>
  <si>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</si>
  <si>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</si>
  <si>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</si>
  <si>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</si>
  <si>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</si>
  <si>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</si>
  <si>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</si>
  <si>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</si>
  <si>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</si>
  <si>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</si>
  <si>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</si>
  <si>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</si>
  <si>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</si>
  <si>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</si>
  <si>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</si>
  <si>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</si>
  <si>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</si>
  <si>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</si>
  <si>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</si>
  <si>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</si>
  <si>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</si>
  <si>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</si>
  <si>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</si>
  <si>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</si>
  <si>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</si>
  <si>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</si>
  <si>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</si>
  <si>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</si>
  <si>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</si>
  <si>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</si>
  <si>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</si>
  <si>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</si>
  <si>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</si>
  <si>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</si>
  <si>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</si>
  <si>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</si>
  <si>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</si>
  <si>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</si>
  <si>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</si>
  <si>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</si>
  <si>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</si>
  <si>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</si>
  <si>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</si>
  <si>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</si>
  <si>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</si>
  <si>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</si>
  <si>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</si>
  <si>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</si>
  <si>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</si>
  <si>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</si>
  <si>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</si>
  <si>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</si>
  <si>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</si>
  <si>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</si>
  <si>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</si>
  <si>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</si>
  <si>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</si>
  <si>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</si>
  <si>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</si>
  <si>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</si>
  <si>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</si>
  <si>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</si>
  <si>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</si>
  <si>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</si>
  <si>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</si>
  <si>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</si>
  <si>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</si>
  <si>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</si>
  <si>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</si>
  <si>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</si>
  <si>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</si>
  <si>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</si>
  <si>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</si>
  <si>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</si>
  <si>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</si>
  <si>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</si>
  <si>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</si>
  <si>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</si>
  <si>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</si>
  <si>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</si>
  <si>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</si>
  <si>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</si>
  <si>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</si>
  <si>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</si>
  <si>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</si>
  <si>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</si>
  <si>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</si>
  <si>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</si>
  <si>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</si>
  <si>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</si>
  <si>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</si>
  <si>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</si>
  <si>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</si>
  <si>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</si>
  <si>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</si>
  <si>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</si>
  <si>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</si>
  <si>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</si>
  <si>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</si>
  <si>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</si>
  <si>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</si>
  <si>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</si>
  <si>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</si>
  <si>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</si>
  <si>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</si>
  <si>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</si>
  <si>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</si>
  <si>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</si>
  <si>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</si>
  <si>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</si>
  <si>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</si>
  <si>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</si>
  <si>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</si>
  <si>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</si>
  <si>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</si>
  <si>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</si>
  <si>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</si>
  <si>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</si>
  <si>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</si>
  <si>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</si>
  <si>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</si>
  <si>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</si>
  <si>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</si>
  <si>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</si>
  <si>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</si>
  <si>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</si>
  <si>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</si>
  <si>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</si>
  <si>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</si>
  <si>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</si>
  <si>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</si>
  <si>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</si>
  <si>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</si>
  <si>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</si>
  <si>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</si>
  <si>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</si>
  <si>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</si>
  <si>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</si>
  <si>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</si>
  <si>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</si>
  <si>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</si>
  <si>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</si>
  <si>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</si>
  <si>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</si>
  <si>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</si>
  <si>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</si>
  <si>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</si>
  <si>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</si>
  <si>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</si>
  <si>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</si>
  <si>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</si>
  <si>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</si>
  <si>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</si>
  <si>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</si>
  <si>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</si>
  <si>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</si>
  <si>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</si>
  <si>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</si>
  <si>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</si>
  <si>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</si>
  <si>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</si>
  <si>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</si>
  <si>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</si>
  <si>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</si>
  <si>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</si>
  <si>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</si>
  <si>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</si>
  <si>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</si>
  <si>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</si>
  <si>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</si>
  <si>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</si>
  <si>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</si>
  <si>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</si>
  <si>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</si>
  <si>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</si>
  <si>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</si>
  <si>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</si>
  <si>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</si>
  <si>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</si>
  <si>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</si>
  <si>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</si>
  <si>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</si>
  <si>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</si>
  <si>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</si>
  <si>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</si>
  <si>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</si>
  <si>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</si>
  <si>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</si>
  <si>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</si>
  <si>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</si>
  <si>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</si>
  <si>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</si>
  <si>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</si>
  <si>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</si>
  <si>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</si>
  <si>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</si>
  <si>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</si>
  <si>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</si>
  <si>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</si>
  <si>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</si>
  <si>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</si>
  <si>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</si>
  <si>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</si>
  <si>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</si>
  <si>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</si>
  <si>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</si>
  <si>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</si>
  <si>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</si>
  <si>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</si>
  <si>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</si>
  <si>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</si>
  <si>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</si>
  <si>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</si>
  <si>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</si>
  <si>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</si>
  <si>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</si>
  <si>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</si>
  <si>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</si>
  <si>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</si>
  <si>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</si>
  <si>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</si>
  <si>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</si>
  <si>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</si>
  <si>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</si>
  <si>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</si>
  <si>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</si>
  <si>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</si>
  <si>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</si>
  <si>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</si>
  <si>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</si>
  <si>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</si>
  <si>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</si>
  <si>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</si>
  <si>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</si>
  <si>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</si>
  <si>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</si>
  <si>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</si>
  <si>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</si>
  <si>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</si>
  <si>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</si>
  <si>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</si>
  <si>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</si>
  <si>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</si>
  <si>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</si>
  <si>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</si>
  <si>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</si>
  <si>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</si>
  <si>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</si>
  <si>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</si>
  <si>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</si>
  <si>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</si>
  <si>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</si>
  <si>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</si>
  <si>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</si>
  <si>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</si>
  <si>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</si>
  <si>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</si>
  <si>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</si>
  <si>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</si>
  <si>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</si>
  <si>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</si>
  <si>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</si>
  <si>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</si>
  <si>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</si>
  <si>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</si>
  <si>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</si>
  <si>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</si>
  <si>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</si>
  <si>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</si>
  <si>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</si>
  <si>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</si>
  <si>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</si>
  <si>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</si>
  <si>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</si>
  <si>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</si>
  <si>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</si>
  <si>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</si>
  <si>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</si>
  <si>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</si>
  <si>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</si>
  <si>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</si>
  <si>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</si>
  <si>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</si>
  <si>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</si>
  <si>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</si>
  <si>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</si>
  <si>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</si>
  <si>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</si>
  <si>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</si>
  <si>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</si>
  <si>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</si>
  <si>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</si>
  <si>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</si>
  <si>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</si>
  <si>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</si>
  <si>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</si>
  <si>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</si>
  <si>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</si>
  <si>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</si>
  <si>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</si>
  <si>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</si>
  <si>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</si>
  <si>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</si>
  <si>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</si>
  <si>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</si>
  <si>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</si>
  <si>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</si>
  <si>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</si>
  <si>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</si>
  <si>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</si>
  <si>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</si>
  <si>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</si>
  <si>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</si>
  <si>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</si>
  <si>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</si>
  <si>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</si>
  <si>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</si>
  <si>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</si>
  <si>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</si>
  <si>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</si>
  <si>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</si>
  <si>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</si>
  <si>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</si>
  <si>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</si>
  <si>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</si>
  <si>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</si>
  <si>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</si>
  <si>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</si>
  <si>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</si>
  <si>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</si>
  <si>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</si>
  <si>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</si>
  <si>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</si>
  <si>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</si>
  <si>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</si>
  <si>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</si>
  <si>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</si>
  <si>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</si>
  <si>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</si>
  <si>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</si>
  <si>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</si>
  <si>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</si>
  <si>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</si>
  <si>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</si>
  <si>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</si>
  <si>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</si>
  <si>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</si>
  <si>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</si>
  <si>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</si>
  <si>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</si>
  <si>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</si>
  <si>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</si>
  <si>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</si>
  <si>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</si>
  <si>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</si>
  <si>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</si>
  <si>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</si>
  <si>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</si>
  <si>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</si>
  <si>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</si>
  <si>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</si>
  <si>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</si>
  <si>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</si>
  <si>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</si>
  <si>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</si>
  <si>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</si>
  <si>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</si>
  <si>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</si>
  <si>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</si>
  <si>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</si>
  <si>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</si>
  <si>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</si>
  <si>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</si>
  <si>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</si>
  <si>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</si>
  <si>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</si>
  <si>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</si>
  <si>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</si>
  <si>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</si>
  <si>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</si>
  <si>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</si>
  <si>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</si>
  <si>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</si>
  <si>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</si>
  <si>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</si>
  <si>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</si>
  <si>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</si>
  <si>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</si>
  <si>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</si>
  <si>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</si>
  <si>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</si>
  <si>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</si>
  <si>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</si>
  <si>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</si>
  <si>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</si>
  <si>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</si>
  <si>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</si>
  <si>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</si>
  <si>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</si>
  <si>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</si>
  <si>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</si>
  <si>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</si>
  <si>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</si>
  <si>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</si>
  <si>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</si>
  <si>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</si>
  <si>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</si>
  <si>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</si>
  <si>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</si>
  <si>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</si>
  <si>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</si>
  <si>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</si>
  <si>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</si>
  <si>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</si>
  <si>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</si>
  <si>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</si>
  <si>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</si>
  <si>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</si>
  <si>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</si>
  <si>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</si>
  <si>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</si>
  <si>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</si>
  <si>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</si>
  <si>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</si>
  <si>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</si>
  <si>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</si>
  <si>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</si>
  <si>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</si>
  <si>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</si>
  <si>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</si>
  <si>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</si>
  <si>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</si>
  <si>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</si>
  <si>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</si>
  <si>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</si>
  <si>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</si>
  <si>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</si>
  <si>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</si>
  <si>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</si>
  <si>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</si>
  <si>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</si>
  <si>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</si>
  <si>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</si>
  <si>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</si>
  <si>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</si>
  <si>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</si>
  <si>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</si>
  <si>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</si>
  <si>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</si>
  <si>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</si>
  <si>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</si>
  <si>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</si>
  <si>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</si>
  <si>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</si>
  <si>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</si>
  <si>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</si>
  <si>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</si>
  <si>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</si>
  <si>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</si>
  <si>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</si>
  <si>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</si>
  <si>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</si>
  <si>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</si>
  <si>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</si>
  <si>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</si>
  <si>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</si>
  <si>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</si>
  <si>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</si>
  <si>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</si>
  <si>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</si>
  <si>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</si>
  <si>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</si>
  <si>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</si>
  <si>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</si>
  <si>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</si>
  <si>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</si>
  <si>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</si>
  <si>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</si>
  <si>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</si>
  <si>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</si>
  <si>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</si>
  <si>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</si>
  <si>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</si>
  <si>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</si>
  <si>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</si>
  <si>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</si>
  <si>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</si>
  <si>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</si>
  <si>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</si>
  <si>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</si>
  <si>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</si>
  <si>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</si>
  <si>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</si>
  <si>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</si>
  <si>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</si>
  <si>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</si>
  <si>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</si>
  <si>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</si>
  <si>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</si>
  <si>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</si>
  <si>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</si>
  <si>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</si>
  <si>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</si>
  <si>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</si>
  <si>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</si>
  <si>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</si>
  <si>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</si>
  <si>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</si>
  <si>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</si>
  <si>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</si>
  <si>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</si>
  <si>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</si>
  <si>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</si>
  <si>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</si>
  <si>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</si>
  <si>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</si>
  <si>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</si>
  <si>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</si>
  <si>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</si>
  <si>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</si>
  <si>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</si>
  <si>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</si>
  <si>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</si>
  <si>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</si>
  <si>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</si>
  <si>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</si>
  <si>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</si>
  <si>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</si>
  <si>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</si>
  <si>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</si>
  <si>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</si>
  <si>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</si>
  <si>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</si>
  <si>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</si>
  <si>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</si>
  <si>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</si>
  <si>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</si>
  <si>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</si>
  <si>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</si>
  <si>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</si>
  <si>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</si>
  <si>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</si>
  <si>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</si>
  <si>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</si>
  <si>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</si>
  <si>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</si>
  <si>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</si>
  <si>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</si>
  <si>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</si>
  <si>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</si>
  <si>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</si>
  <si>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</si>
  <si>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</si>
  <si>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</si>
  <si>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</si>
  <si>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</si>
  <si>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</si>
  <si>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</si>
  <si>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</si>
  <si>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</si>
  <si>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</si>
  <si>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</si>
  <si>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</si>
  <si>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</si>
  <si>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</si>
  <si>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</si>
  <si>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</si>
  <si>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</si>
  <si>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</si>
  <si>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</si>
  <si>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</si>
  <si>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</si>
  <si>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</si>
  <si>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</si>
  <si>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</si>
  <si>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</si>
  <si>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</si>
  <si>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</si>
  <si>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</si>
  <si>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</si>
  <si>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</si>
  <si>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</si>
  <si>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</si>
  <si>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</si>
  <si>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</si>
  <si>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</si>
  <si>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</si>
  <si>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</si>
  <si>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</si>
  <si>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</si>
  <si>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</si>
  <si>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</si>
  <si>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</si>
  <si>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</si>
  <si>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</si>
  <si>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</si>
  <si>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</si>
  <si>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</si>
  <si>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</si>
  <si>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</si>
  <si>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</si>
  <si>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</si>
  <si>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</si>
  <si>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</si>
  <si>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</si>
  <si>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</si>
  <si>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</si>
  <si>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</si>
  <si>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</si>
  <si>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</si>
  <si>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</si>
  <si>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</si>
  <si>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</si>
  <si>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</si>
  <si>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</si>
  <si>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</si>
  <si>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</si>
  <si>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</si>
  <si>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</si>
  <si>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</si>
  <si>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</si>
  <si>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</si>
  <si>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</si>
  <si>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</si>
  <si>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</si>
  <si>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</si>
  <si>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</si>
  <si>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</si>
  <si>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</si>
  <si>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</si>
  <si>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</si>
  <si>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</si>
  <si>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</si>
  <si>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</si>
  <si>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</si>
  <si>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</si>
  <si>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</si>
  <si>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</si>
  <si>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</si>
  <si>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</si>
  <si>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</si>
  <si>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</si>
  <si>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</si>
  <si>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</si>
  <si>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</si>
  <si>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</si>
  <si>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</si>
  <si>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</si>
  <si>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</si>
  <si>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</si>
  <si>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</si>
  <si>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</si>
  <si>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</si>
  <si>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</si>
  <si>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</si>
  <si>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</si>
  <si>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</si>
  <si>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</si>
  <si>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</si>
  <si>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</si>
  <si>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</si>
  <si>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</si>
  <si>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</si>
  <si>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</si>
  <si>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</si>
  <si>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</si>
  <si>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</si>
  <si>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</si>
  <si>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</si>
  <si>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</si>
  <si>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</si>
  <si>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</si>
  <si>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</si>
  <si>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</si>
  <si>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</si>
  <si>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</si>
  <si>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</si>
  <si>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</si>
  <si>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</si>
  <si>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</si>
  <si>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</si>
  <si>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</si>
  <si>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</si>
  <si>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</si>
  <si>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</si>
  <si>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</si>
  <si>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</si>
  <si>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</si>
  <si>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</si>
  <si>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</si>
  <si>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</si>
  <si>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</si>
  <si>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</si>
  <si>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</si>
  <si>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</si>
  <si>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</si>
  <si>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</si>
  <si>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</si>
  <si>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</si>
  <si>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</si>
  <si>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</si>
  <si>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</si>
  <si>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</si>
  <si>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</si>
  <si>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</si>
  <si>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</si>
  <si>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</si>
  <si>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</si>
  <si>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</si>
  <si>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</si>
  <si>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</si>
  <si>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</si>
  <si>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</si>
  <si>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</si>
  <si>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</si>
  <si>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</si>
  <si>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</si>
  <si>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</si>
  <si>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</si>
  <si>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</si>
  <si>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</si>
  <si>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</si>
  <si>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</si>
  <si>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</si>
  <si>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</si>
  <si>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</si>
  <si>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</si>
  <si>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</si>
  <si>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</si>
  <si>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</si>
  <si>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</si>
  <si>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</si>
  <si>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</si>
  <si>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</si>
  <si>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</si>
  <si>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</si>
  <si>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</si>
  <si>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</si>
  <si>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</si>
  <si>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</si>
  <si>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</si>
  <si>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</si>
  <si>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</si>
  <si>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</si>
  <si>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</si>
  <si>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</si>
  <si>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</si>
  <si>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</si>
  <si>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</si>
  <si>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</si>
  <si>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</si>
  <si>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</si>
  <si>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</si>
  <si>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</si>
  <si>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</si>
  <si>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</si>
  <si>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</si>
  <si>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</si>
  <si>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</si>
  <si>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</si>
  <si>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</si>
  <si>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</si>
  <si>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</si>
  <si>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</si>
  <si>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</si>
  <si>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</si>
  <si>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</si>
  <si>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</si>
  <si>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</si>
  <si>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</si>
  <si>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</si>
  <si>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</si>
  <si>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</si>
  <si>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</si>
  <si>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</si>
  <si>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</si>
  <si>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</si>
  <si>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</si>
  <si>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</si>
  <si>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</si>
  <si>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</si>
  <si>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</si>
  <si>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</si>
  <si>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</si>
  <si>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</si>
  <si>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</si>
  <si>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</si>
  <si>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</si>
  <si>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</si>
  <si>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</si>
  <si>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</si>
  <si>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</si>
  <si>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</si>
  <si>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</si>
  <si>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</si>
  <si>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</si>
  <si>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</si>
  <si>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</si>
  <si>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</si>
  <si>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</si>
  <si>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</si>
  <si>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</si>
  <si>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</si>
  <si>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</si>
  <si>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</si>
  <si>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</si>
  <si>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</si>
  <si>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</si>
  <si>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</si>
  <si>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</si>
  <si>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</si>
  <si>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</si>
  <si>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</si>
  <si>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</si>
  <si>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</si>
  <si>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</si>
  <si>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</si>
  <si>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</si>
  <si>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</si>
  <si>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</si>
  <si>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</si>
  <si>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</si>
  <si>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</si>
  <si>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</si>
  <si>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</si>
  <si>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</si>
  <si>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</si>
  <si>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</si>
  <si>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</si>
  <si>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</si>
  <si>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</si>
  <si>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</si>
  <si>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</si>
  <si>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</si>
  <si>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</si>
  <si>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</si>
  <si>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</si>
  <si>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</si>
  <si>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</si>
  <si>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</si>
  <si>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</si>
  <si>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</si>
  <si>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</si>
  <si>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</si>
  <si>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</si>
  <si>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</si>
  <si>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</si>
  <si>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</si>
  <si>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</si>
  <si>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</si>
  <si>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</si>
  <si>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</si>
  <si>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</si>
  <si>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</si>
  <si>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</si>
  <si>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</si>
  <si>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</si>
  <si>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</si>
  <si>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</si>
  <si>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</si>
  <si>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</si>
  <si>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</si>
  <si>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</si>
  <si>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</si>
  <si>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</si>
  <si>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</si>
  <si>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</si>
  <si>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</si>
  <si>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</si>
  <si>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</si>
  <si>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</si>
  <si>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</si>
  <si>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</si>
  <si>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</si>
  <si>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</si>
  <si>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</si>
  <si>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</si>
  <si>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</si>
  <si>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</si>
  <si>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</si>
  <si>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</si>
  <si>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</si>
  <si>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</si>
  <si>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</si>
  <si>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</si>
  <si>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</si>
  <si>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</si>
  <si>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</si>
  <si>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</si>
  <si>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</si>
  <si>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</si>
  <si>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</si>
  <si>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</si>
  <si>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</si>
  <si>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</si>
  <si>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</si>
  <si>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</si>
  <si>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</si>
  <si>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</si>
  <si>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</si>
  <si>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</si>
  <si>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</si>
  <si>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</si>
  <si>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</si>
  <si>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</si>
  <si>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</si>
  <si>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</si>
  <si>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</si>
  <si>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</si>
  <si>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</si>
  <si>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</si>
  <si>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</si>
  <si>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</si>
  <si>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</si>
  <si>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</si>
  <si>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</si>
  <si>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</si>
  <si>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</si>
  <si>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</si>
  <si>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</si>
  <si>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</si>
  <si>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</si>
  <si>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</si>
  <si>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</si>
  <si>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</si>
  <si>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</si>
  <si>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</si>
  <si>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</si>
  <si>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</si>
  <si>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</si>
  <si>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</si>
  <si>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</si>
  <si>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</si>
  <si>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</si>
  <si>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</si>
  <si>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</si>
  <si>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</si>
  <si>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</si>
  <si>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</si>
  <si>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</si>
  <si>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</si>
  <si>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</si>
  <si>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</si>
  <si>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</si>
  <si>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</si>
  <si>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</si>
  <si>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</si>
  <si>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</si>
  <si>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</si>
  <si>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</si>
  <si>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</si>
  <si>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</si>
  <si>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</si>
  <si>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</si>
  <si>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</si>
  <si>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</si>
  <si>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</si>
  <si>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</si>
  <si>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</si>
  <si>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</si>
  <si>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</si>
  <si>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</si>
  <si>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</si>
  <si>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</si>
  <si>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</si>
  <si>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</si>
  <si>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</si>
  <si>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</si>
  <si>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</si>
  <si>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</si>
  <si>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</si>
  <si>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</si>
  <si>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</si>
  <si>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</si>
  <si>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</si>
  <si>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</si>
  <si>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</si>
  <si>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</si>
  <si>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</si>
  <si>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</si>
  <si>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</si>
  <si>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</si>
  <si>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</si>
  <si>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</si>
  <si>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</si>
  <si>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</si>
  <si>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</si>
  <si>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</si>
  <si>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</si>
  <si>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</si>
  <si>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</si>
  <si>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</si>
  <si>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</si>
  <si>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</si>
  <si>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</si>
  <si>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</si>
  <si>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</si>
  <si>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</si>
  <si>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</si>
  <si>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</si>
  <si>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</si>
  <si>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</si>
  <si>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</si>
  <si>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</si>
  <si>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</si>
  <si>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</si>
  <si>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</si>
  <si>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</si>
  <si>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</si>
  <si>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</si>
  <si>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</si>
  <si>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</si>
  <si>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</si>
  <si>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</si>
  <si>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</si>
  <si>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</si>
  <si>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</si>
  <si>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</si>
  <si>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</si>
  <si>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</si>
  <si>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</si>
  <si>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</si>
  <si>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</si>
  <si>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</si>
  <si>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</si>
  <si>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</si>
  <si>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</si>
  <si>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</si>
  <si>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</si>
  <si>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</si>
  <si>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</si>
  <si>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</si>
  <si>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</si>
  <si>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</si>
  <si>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</si>
  <si>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</si>
  <si>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</si>
  <si>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</si>
  <si>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</si>
  <si>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</si>
  <si>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</si>
  <si>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</si>
  <si>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</si>
  <si>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</si>
  <si>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</si>
  <si>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</si>
  <si>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</si>
  <si>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</si>
  <si>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</si>
  <si>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</si>
  <si>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</si>
  <si>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</si>
  <si>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</si>
  <si>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</si>
  <si>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</si>
  <si>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</si>
  <si>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</si>
  <si>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</si>
  <si>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</si>
  <si>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</si>
  <si>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</si>
  <si>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</si>
  <si>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</si>
  <si>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</si>
  <si>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</si>
  <si>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</si>
  <si>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</si>
  <si>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</si>
  <si>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</si>
  <si>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</si>
  <si>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</si>
  <si>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</si>
  <si>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</si>
  <si>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</si>
  <si>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</si>
  <si>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</si>
  <si>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</si>
  <si>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</si>
  <si>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</si>
  <si>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</si>
  <si>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</si>
  <si>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</si>
  <si>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</si>
  <si>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</si>
  <si>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</si>
  <si>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</si>
  <si>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</si>
  <si>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</si>
  <si>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</si>
  <si>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</si>
  <si>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</si>
  <si>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</si>
  <si>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</si>
  <si>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</si>
  <si>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</si>
  <si>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</si>
  <si>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</si>
  <si>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</si>
  <si>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</si>
  <si>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</si>
  <si>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</si>
  <si>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</si>
  <si>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</si>
  <si>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</si>
  <si>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</si>
  <si>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</si>
  <si>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</si>
  <si>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</si>
  <si>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</si>
  <si>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</si>
  <si>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</si>
  <si>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</si>
  <si>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</si>
  <si>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</si>
  <si>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</si>
  <si>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</si>
  <si>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</si>
  <si>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</si>
  <si>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</si>
  <si>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</si>
  <si>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</si>
  <si>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</si>
  <si>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</si>
  <si>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</si>
  <si>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</si>
  <si>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</si>
  <si>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</si>
  <si>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</si>
  <si>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</si>
  <si>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</si>
  <si>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</si>
  <si>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</si>
  <si>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</si>
  <si>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</si>
  <si>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</si>
  <si>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</si>
  <si>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</si>
  <si>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</si>
  <si>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</si>
  <si>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</si>
  <si>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</si>
  <si>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</si>
  <si>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</si>
  <si>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</si>
  <si>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</si>
  <si>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</si>
  <si>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</si>
  <si>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</si>
  <si>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</si>
  <si>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</si>
  <si>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</si>
  <si>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</si>
  <si>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</si>
  <si>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</si>
  <si>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</si>
  <si>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</si>
  <si>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</si>
  <si>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</si>
  <si>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</si>
  <si>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</si>
  <si>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</si>
  <si>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</si>
  <si>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</si>
  <si>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</si>
  <si>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</si>
  <si>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</si>
  <si>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</si>
  <si>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</si>
  <si>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</si>
  <si>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</si>
  <si>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</si>
  <si>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</si>
  <si>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</si>
  <si>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</si>
  <si>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</si>
  <si>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</si>
  <si>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</si>
  <si>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</si>
  <si>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</si>
  <si>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</si>
  <si>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</si>
  <si>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</si>
  <si>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</si>
  <si>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</si>
  <si>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</si>
  <si>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</si>
  <si>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</si>
  <si>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</si>
  <si>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</si>
  <si>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</si>
  <si>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</si>
  <si>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</si>
  <si>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</si>
  <si>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</si>
  <si>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</si>
  <si>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</si>
  <si>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</si>
  <si>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</si>
  <si>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</si>
  <si>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</si>
  <si>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</si>
  <si>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</si>
  <si>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</si>
  <si>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</si>
  <si>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</si>
  <si>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</si>
  <si>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</si>
  <si>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</si>
  <si>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</si>
  <si>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</si>
  <si>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</si>
  <si>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</si>
  <si>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</si>
  <si>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</si>
  <si>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</si>
  <si>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</si>
  <si>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</si>
  <si>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</si>
  <si>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</si>
  <si>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</si>
  <si>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</si>
  <si>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</si>
  <si>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</si>
  <si>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</si>
  <si>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</si>
  <si>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</si>
  <si>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</si>
  <si>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</si>
  <si>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</si>
  <si>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</si>
  <si>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</si>
  <si>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</si>
  <si>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</si>
  <si>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</si>
  <si>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</si>
  <si>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</si>
  <si>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</si>
  <si>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</si>
  <si>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</si>
  <si>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</si>
  <si>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</si>
  <si>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</si>
  <si>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</si>
  <si>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</si>
  <si>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</si>
  <si>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</si>
  <si>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</si>
  <si>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</si>
  <si>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</si>
  <si>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</si>
  <si>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</si>
  <si>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</si>
  <si>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</si>
  <si>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</si>
  <si>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</si>
  <si>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</si>
  <si>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</si>
  <si>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</si>
  <si>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</si>
  <si>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</si>
  <si>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</si>
  <si>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</si>
  <si>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</si>
  <si>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</si>
  <si>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</si>
  <si>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</si>
  <si>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</si>
  <si>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</si>
  <si>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</si>
  <si>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</si>
  <si>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</si>
  <si>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</si>
  <si>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</si>
  <si>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</si>
  <si>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</si>
  <si>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</si>
  <si>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</si>
  <si>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</si>
  <si>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</si>
  <si>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</si>
  <si>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</si>
  <si>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</si>
  <si>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</si>
  <si>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</si>
  <si>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</si>
  <si>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</si>
  <si>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</si>
  <si>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</si>
  <si>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</si>
  <si>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</si>
  <si>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</si>
  <si>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</si>
  <si>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</si>
  <si>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</si>
  <si>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</si>
  <si>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</si>
  <si>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</si>
  <si>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</si>
  <si>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</si>
  <si>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</si>
  <si>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</si>
  <si>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</si>
  <si>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</si>
  <si>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</si>
  <si>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</si>
  <si>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</si>
  <si>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</si>
  <si>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</si>
  <si>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</si>
  <si>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</si>
  <si>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</si>
  <si>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</si>
  <si>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</si>
  <si>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</si>
  <si>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</si>
  <si>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</si>
  <si>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</si>
  <si>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</si>
  <si>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</si>
  <si>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</si>
  <si>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</si>
  <si>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</si>
  <si>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</si>
  <si>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</si>
  <si>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</si>
  <si>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</si>
  <si>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</si>
  <si>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</si>
  <si>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</si>
  <si>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</si>
  <si>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</si>
  <si>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</si>
  <si>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</si>
  <si>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</si>
  <si>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</si>
  <si>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</si>
  <si>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</si>
  <si>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</si>
  <si>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</si>
  <si>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</si>
  <si>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</si>
  <si>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</si>
  <si>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</si>
  <si>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</si>
  <si>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</si>
  <si>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</si>
  <si>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</si>
  <si>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</si>
  <si>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</si>
  <si>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</si>
  <si>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</si>
  <si>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</si>
  <si>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</si>
  <si>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</si>
  <si>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</si>
  <si>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</si>
  <si>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</si>
  <si>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</si>
  <si>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</si>
  <si>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</si>
  <si>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</si>
  <si>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</si>
  <si>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</si>
  <si>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</si>
  <si>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</si>
  <si>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</si>
  <si>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</si>
  <si>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</si>
  <si>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</si>
  <si>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</si>
  <si>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</si>
  <si>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</si>
  <si>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</si>
  <si>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</si>
  <si>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</si>
  <si>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</si>
  <si>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</si>
  <si>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</si>
  <si>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</si>
  <si>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</si>
  <si>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</si>
  <si>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</si>
  <si>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</si>
  <si>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</si>
  <si>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</si>
  <si>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</si>
  <si>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</si>
  <si>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</si>
  <si>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</si>
  <si>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</si>
  <si>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</si>
  <si>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</si>
  <si>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</si>
  <si>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</si>
  <si>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</si>
  <si>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</si>
  <si>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</si>
  <si>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</si>
  <si>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</si>
  <si>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</si>
  <si>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</si>
  <si>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</si>
  <si>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</si>
  <si>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</si>
  <si>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</si>
  <si>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</si>
  <si>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</si>
  <si>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</si>
  <si>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</si>
  <si>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</si>
  <si>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</si>
  <si>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</si>
  <si>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</si>
  <si>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</si>
  <si>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</si>
  <si>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</si>
  <si>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</si>
  <si>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</si>
  <si>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</si>
  <si>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</si>
  <si>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</si>
  <si>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</si>
  <si>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</si>
  <si>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</si>
  <si>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</si>
  <si>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</si>
  <si>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</si>
  <si>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</si>
  <si>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</si>
  <si>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</si>
  <si>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</si>
  <si>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</si>
  <si>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</si>
  <si>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</si>
  <si>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</si>
  <si>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</si>
  <si>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</si>
  <si>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</si>
  <si>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</si>
  <si>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</si>
  <si>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</si>
  <si>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</si>
  <si>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</si>
  <si>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</si>
  <si>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</si>
  <si>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</si>
  <si>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</si>
  <si>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</si>
  <si>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</si>
  <si>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</si>
  <si>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</si>
  <si>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</si>
  <si>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</si>
  <si>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</si>
  <si>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</si>
  <si>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</si>
  <si>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</si>
  <si>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</si>
  <si>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</si>
  <si>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</si>
  <si>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</si>
  <si>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</si>
  <si>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</si>
  <si>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</si>
  <si>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</si>
  <si>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</si>
  <si>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</si>
  <si>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</si>
  <si>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</si>
  <si>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</si>
  <si>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</si>
  <si>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</si>
  <si>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</si>
  <si>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</si>
  <si>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</si>
  <si>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</si>
  <si>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</si>
  <si>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</si>
  <si>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</si>
  <si>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</si>
  <si>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</si>
  <si>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</si>
  <si>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</si>
  <si>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</si>
  <si>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</si>
  <si>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</si>
  <si>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</si>
  <si>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</si>
  <si>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</si>
  <si>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</si>
  <si>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</si>
  <si>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</si>
  <si>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</si>
  <si>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</si>
  <si>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</si>
  <si>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</si>
  <si>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</si>
  <si>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</si>
  <si>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</si>
  <si>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</si>
  <si>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</si>
  <si>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</si>
  <si>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</si>
  <si>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</si>
  <si>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</si>
  <si>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</si>
  <si>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</si>
  <si>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</si>
  <si>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</si>
  <si>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</si>
  <si>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</si>
  <si>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</si>
  <si>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</si>
  <si>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</si>
  <si>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</si>
  <si>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</si>
  <si>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</si>
  <si>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</si>
  <si>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</si>
  <si>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</si>
  <si>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</si>
  <si>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</si>
  <si>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</si>
  <si>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</si>
  <si>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</si>
  <si>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</si>
  <si>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</si>
  <si>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</si>
  <si>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</si>
  <si>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</si>
  <si>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</si>
  <si>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</si>
  <si>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</si>
  <si>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</si>
  <si>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</si>
  <si>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</si>
  <si>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</si>
  <si>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</si>
  <si>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</si>
  <si>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</si>
  <si>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</si>
  <si>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</si>
  <si>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</si>
  <si>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</si>
  <si>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</si>
  <si>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</si>
  <si>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</si>
  <si>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</si>
  <si>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</si>
  <si>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</si>
  <si>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</si>
  <si>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</si>
  <si>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</si>
  <si>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</si>
  <si>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</si>
  <si>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</si>
  <si>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</si>
  <si>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</si>
  <si>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</si>
  <si>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</si>
  <si>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</si>
  <si>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</si>
  <si>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</si>
  <si>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</si>
  <si>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</si>
  <si>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</si>
  <si>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</si>
  <si>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</si>
  <si>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</si>
  <si>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</si>
  <si>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</si>
  <si>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</si>
  <si>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</si>
  <si>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</si>
  <si>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</si>
  <si>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</si>
  <si>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</si>
  <si>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</si>
  <si>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</si>
  <si>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</si>
  <si>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</si>
  <si>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</si>
  <si>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</si>
  <si>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</si>
  <si>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</si>
  <si>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</si>
  <si>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</si>
  <si>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</si>
  <si>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</si>
  <si>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</si>
  <si>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</si>
  <si>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</si>
  <si>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</si>
  <si>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</si>
  <si>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</si>
  <si>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</si>
  <si>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</si>
  <si>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</si>
  <si>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</si>
  <si>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</si>
  <si>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</si>
  <si>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</si>
  <si>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</si>
  <si>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</si>
  <si>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</si>
  <si>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</si>
  <si>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</si>
  <si>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</si>
  <si>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</si>
  <si>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</si>
  <si>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</si>
  <si>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</si>
  <si>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</si>
  <si>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</si>
  <si>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</si>
  <si>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</si>
  <si>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</si>
  <si>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</si>
  <si>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</si>
  <si>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</si>
  <si>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</si>
  <si>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</si>
  <si>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</si>
  <si>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</si>
  <si>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</si>
  <si>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</si>
  <si>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</si>
  <si>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</si>
  <si>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</si>
  <si>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</si>
  <si>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</si>
  <si>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</si>
  <si>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</si>
  <si>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</si>
  <si>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</si>
  <si>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</si>
  <si>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</si>
  <si>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</si>
  <si>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</si>
  <si>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</si>
  <si>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</si>
  <si>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</si>
  <si>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</si>
  <si>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</si>
  <si>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</si>
  <si>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</si>
  <si>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</si>
  <si>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</si>
  <si>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</si>
  <si>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</si>
  <si>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</si>
  <si>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</si>
  <si>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</si>
  <si>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</si>
  <si>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</si>
  <si>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</si>
  <si>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</si>
  <si>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</si>
  <si>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</si>
  <si>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</si>
  <si>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</si>
  <si>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</si>
  <si>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</si>
  <si>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</si>
  <si>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</si>
  <si>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</si>
  <si>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</si>
  <si>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</si>
  <si>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</si>
  <si>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</si>
  <si>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</si>
  <si>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</si>
  <si>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</si>
  <si>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</si>
  <si>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</si>
  <si>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</si>
  <si>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</si>
  <si>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</si>
  <si>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</si>
  <si>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</si>
  <si>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</si>
  <si>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</si>
  <si>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</si>
  <si>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</si>
  <si>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</si>
  <si>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</si>
  <si>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</si>
  <si>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</si>
  <si>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</si>
  <si>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</si>
  <si>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</si>
  <si>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</si>
  <si>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</si>
  <si>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</si>
  <si>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</si>
  <si>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</si>
  <si>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</si>
  <si>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</si>
  <si>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</si>
  <si>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</si>
  <si>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</si>
  <si>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</si>
  <si>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</si>
  <si>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</si>
  <si>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</si>
  <si>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</si>
  <si>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</si>
  <si>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</si>
  <si>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</si>
  <si>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</si>
  <si>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</si>
  <si>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</si>
  <si>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</si>
  <si>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</si>
  <si>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</si>
  <si>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</si>
  <si>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</si>
  <si>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</si>
  <si>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</si>
  <si>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</si>
  <si>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</si>
  <si>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</si>
  <si>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</si>
  <si>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</si>
  <si>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</si>
  <si>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</si>
  <si>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</si>
  <si>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</si>
  <si>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</si>
  <si>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</si>
  <si>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</si>
  <si>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</si>
  <si>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</si>
  <si>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</si>
  <si>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</si>
  <si>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</si>
  <si>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</si>
  <si>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</si>
  <si>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</si>
  <si>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</si>
  <si>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</si>
  <si>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</si>
  <si>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</si>
  <si>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</si>
  <si>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</si>
  <si>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</si>
  <si>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</si>
  <si>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</si>
  <si>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</si>
  <si>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</si>
  <si>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</si>
  <si>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</si>
  <si>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</si>
  <si>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</si>
  <si>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</si>
  <si>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</si>
  <si>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</si>
  <si>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</si>
  <si>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</si>
  <si>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</si>
  <si>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</si>
  <si>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</si>
  <si>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</si>
  <si>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</si>
  <si>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</si>
  <si>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</si>
  <si>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</si>
  <si>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</si>
  <si>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</si>
  <si>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</si>
  <si>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</si>
  <si>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</si>
  <si>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</si>
  <si>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</si>
  <si>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</si>
  <si>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</si>
  <si>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</si>
  <si>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</si>
  <si>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</si>
  <si>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</si>
  <si>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</si>
  <si>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</si>
  <si>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</si>
  <si>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</si>
  <si>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</si>
  <si>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</si>
  <si>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</si>
  <si>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</si>
  <si>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</si>
  <si>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</si>
  <si>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</si>
  <si>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</si>
  <si>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</si>
  <si>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</si>
  <si>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</si>
  <si>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</si>
  <si>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</si>
  <si>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</si>
  <si>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</si>
  <si>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</si>
  <si>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</si>
  <si>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</si>
  <si>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</si>
  <si>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</si>
  <si>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</si>
  <si>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</si>
  <si>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</si>
  <si>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</si>
  <si>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</si>
  <si>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</si>
  <si>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</si>
  <si>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</si>
  <si>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</si>
  <si>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</si>
  <si>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</si>
  <si>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</si>
  <si>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</si>
  <si>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</si>
  <si>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</si>
  <si>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</si>
  <si>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</si>
  <si>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</si>
  <si>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</si>
  <si>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</si>
  <si>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</si>
  <si>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</si>
  <si>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</si>
  <si>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</si>
  <si>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</si>
  <si>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</si>
  <si>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</si>
  <si>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</si>
  <si>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</si>
  <si>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</si>
  <si>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</si>
  <si>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</si>
  <si>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</si>
  <si>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</si>
  <si>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</si>
  <si>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</si>
  <si>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</si>
  <si>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</si>
  <si>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</si>
  <si>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</si>
  <si>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</si>
  <si>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</si>
  <si>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</si>
  <si>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</si>
  <si>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</si>
  <si>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</si>
  <si>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</si>
  <si>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</si>
  <si>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</si>
  <si>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</si>
  <si>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</si>
  <si>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</si>
  <si>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</si>
  <si>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</si>
  <si>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</si>
  <si>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</si>
  <si>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</si>
  <si>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</si>
  <si>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</si>
  <si>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</si>
  <si>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</si>
  <si>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</si>
  <si>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</si>
  <si>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</si>
  <si>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</si>
  <si>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</si>
  <si>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</si>
  <si>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</si>
  <si>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</si>
  <si>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</si>
  <si>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</si>
  <si>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</si>
  <si>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</si>
  <si>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</si>
  <si>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</si>
  <si>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</si>
  <si>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</si>
  <si>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</si>
  <si>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</si>
  <si>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</si>
  <si>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</si>
  <si>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</si>
  <si>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</si>
  <si>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</si>
  <si>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</si>
  <si>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</si>
  <si>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</si>
  <si>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</si>
  <si>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</si>
  <si>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</si>
  <si>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</si>
  <si>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</si>
  <si>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</si>
  <si>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</si>
  <si>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</si>
  <si>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</si>
  <si>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</si>
  <si>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</si>
  <si>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</si>
  <si>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</si>
  <si>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</si>
  <si>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</si>
  <si>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</si>
  <si>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</si>
  <si>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</si>
  <si>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</si>
  <si>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</si>
  <si>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</si>
  <si>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</si>
  <si>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</si>
  <si>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</si>
  <si>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</si>
  <si>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</si>
  <si>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</si>
  <si>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</si>
  <si>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</si>
  <si>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</si>
  <si>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</si>
  <si>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</si>
  <si>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</si>
  <si>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</si>
  <si>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</si>
  <si>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</si>
  <si>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</si>
  <si>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</si>
  <si>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</si>
  <si>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</si>
  <si>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</si>
  <si>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</si>
  <si>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</si>
  <si>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</si>
  <si>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</si>
  <si>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</si>
  <si>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</si>
  <si>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</si>
  <si>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</si>
  <si>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</si>
  <si>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</si>
  <si>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</si>
  <si>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</si>
  <si>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</si>
  <si>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</si>
  <si>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</si>
  <si>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</si>
  <si>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</si>
  <si>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</si>
  <si>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</si>
  <si>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</si>
  <si>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</si>
  <si>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</si>
  <si>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</si>
  <si>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</si>
  <si>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</si>
  <si>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</si>
  <si>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</si>
  <si>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</si>
  <si>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</si>
  <si>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</si>
  <si>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</si>
  <si>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</si>
  <si>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</si>
  <si>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</si>
  <si>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</si>
  <si>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</si>
  <si>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</si>
  <si>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</si>
  <si>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</si>
  <si>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</si>
  <si>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</si>
  <si>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</si>
  <si>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</si>
  <si>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</si>
  <si>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</si>
  <si>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</si>
  <si>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</si>
  <si>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</si>
  <si>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</si>
  <si>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</si>
  <si>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</si>
  <si>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</si>
  <si>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</si>
  <si>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</si>
  <si>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</si>
  <si>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</si>
  <si>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</si>
  <si>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</si>
  <si>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</si>
  <si>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</si>
  <si>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</si>
  <si>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</si>
  <si>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</si>
  <si>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</si>
  <si>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</si>
  <si>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</si>
  <si>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</si>
  <si>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</si>
  <si>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</si>
  <si>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</si>
  <si>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</si>
  <si>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</si>
  <si>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</si>
  <si>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</si>
  <si>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</si>
  <si>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</si>
  <si>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</si>
  <si>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</si>
  <si>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</si>
  <si>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</si>
  <si>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</si>
  <si>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</si>
  <si>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</si>
  <si>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</si>
  <si>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</si>
  <si>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</si>
  <si>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</si>
  <si>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</si>
  <si>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</si>
  <si>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</si>
  <si>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</si>
  <si>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</si>
  <si>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</si>
  <si>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</si>
  <si>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</si>
  <si>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</si>
  <si>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</si>
  <si>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</si>
  <si>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</si>
  <si>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</si>
  <si>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</si>
  <si>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</si>
  <si>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</si>
  <si>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</si>
  <si>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</si>
  <si>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</si>
  <si>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</si>
  <si>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</si>
  <si>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</si>
  <si>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</si>
  <si>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</si>
  <si>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</si>
  <si>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</si>
  <si>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</si>
  <si>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</si>
  <si>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</si>
  <si>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</si>
  <si>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</si>
  <si>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</si>
  <si>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</si>
  <si>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</si>
  <si>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</si>
  <si>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</si>
  <si>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</si>
  <si>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</si>
  <si>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</si>
  <si>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</si>
  <si>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</si>
  <si>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</si>
  <si>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</si>
  <si>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</si>
  <si>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</si>
  <si>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</si>
  <si>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</si>
  <si>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</si>
  <si>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</si>
  <si>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</si>
  <si>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</si>
  <si>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</si>
  <si>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</si>
  <si>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</si>
  <si>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</si>
  <si>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</si>
  <si>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</si>
  <si>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</si>
  <si>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</si>
  <si>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</si>
  <si>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</si>
  <si>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</si>
  <si>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</si>
  <si>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</si>
  <si>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</si>
  <si>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</si>
  <si>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</si>
  <si>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</si>
  <si>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</si>
  <si>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</si>
  <si>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</si>
  <si>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</si>
  <si>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</si>
  <si>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</si>
  <si>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</si>
  <si>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</si>
  <si>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</si>
  <si>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</si>
  <si>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</si>
  <si>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</si>
  <si>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</si>
  <si>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</si>
  <si>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</si>
  <si>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</si>
  <si>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</si>
  <si>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</si>
  <si>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</si>
  <si>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</si>
  <si>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</si>
  <si>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</si>
  <si>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</si>
  <si>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</si>
  <si>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</si>
  <si>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</si>
  <si>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</si>
  <si>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</si>
  <si>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</si>
  <si>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</si>
  <si>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</si>
  <si>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</si>
  <si>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</si>
  <si>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</si>
  <si>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</si>
  <si>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</si>
  <si>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</si>
  <si>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</si>
  <si>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</si>
  <si>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</si>
  <si>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</si>
  <si>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</si>
  <si>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</si>
  <si>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</si>
  <si>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</si>
  <si>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</si>
  <si>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</si>
  <si>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</si>
  <si>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</si>
  <si>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</si>
  <si>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</si>
  <si>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</si>
  <si>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</si>
  <si>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</si>
  <si>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</si>
  <si>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</si>
  <si>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</si>
  <si>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</si>
  <si>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</si>
  <si>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</si>
  <si>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</si>
  <si>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</si>
  <si>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</si>
  <si>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</si>
  <si>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</si>
  <si>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</si>
  <si>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</si>
  <si>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</si>
  <si>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</si>
  <si>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</si>
  <si>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</si>
  <si>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</si>
  <si>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</si>
  <si>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</si>
  <si>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</si>
  <si>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</si>
  <si>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</si>
  <si>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</si>
  <si>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</si>
  <si>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</si>
  <si>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</si>
  <si>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</si>
  <si>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</si>
  <si>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</si>
  <si>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</si>
  <si>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</si>
  <si>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</si>
  <si>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</si>
  <si>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</si>
  <si>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</si>
  <si>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</si>
  <si>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</si>
  <si>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</si>
  <si>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</si>
  <si>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</si>
  <si>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</si>
  <si>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</si>
  <si>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</si>
  <si>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</si>
  <si>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</si>
  <si>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</si>
  <si>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</si>
  <si>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</si>
  <si>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</si>
  <si>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</si>
  <si>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</si>
  <si>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</si>
  <si>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</si>
  <si>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</si>
  <si>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</si>
  <si>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</si>
  <si>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</si>
  <si>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</si>
  <si>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</si>
  <si>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</si>
  <si>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</si>
  <si>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</si>
  <si>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</si>
  <si>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</si>
  <si>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</si>
  <si>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</si>
  <si>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</si>
  <si>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</si>
  <si>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</si>
  <si>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</si>
  <si>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</si>
  <si>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</si>
  <si>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</si>
  <si>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</si>
  <si>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</si>
  <si>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</si>
  <si>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</si>
  <si>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</si>
  <si>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</si>
  <si>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</si>
  <si>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</si>
  <si>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</si>
  <si>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</si>
  <si>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</si>
  <si>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</si>
  <si>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</si>
  <si>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</si>
  <si>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</si>
  <si>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</si>
  <si>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</si>
  <si>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</si>
  <si>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</si>
  <si>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</si>
  <si>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</si>
  <si>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</si>
  <si>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</si>
  <si>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</si>
  <si>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</si>
  <si>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</si>
  <si>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</si>
  <si>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</si>
  <si>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</si>
  <si>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</si>
  <si>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</si>
  <si>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</si>
  <si>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</si>
  <si>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</si>
  <si>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</si>
  <si>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</si>
  <si>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</si>
  <si>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</si>
  <si>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</si>
  <si>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</si>
  <si>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</si>
  <si>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</si>
  <si>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</si>
  <si>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</si>
  <si>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</si>
  <si>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</si>
  <si>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</si>
  <si>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</si>
  <si>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</si>
  <si>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</si>
  <si>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</si>
  <si>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</si>
  <si>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</si>
  <si>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</si>
  <si>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</si>
  <si>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</si>
  <si>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</si>
  <si>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</si>
  <si>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</si>
  <si>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</si>
  <si>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</si>
  <si>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</si>
  <si>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</si>
  <si>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</si>
  <si>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</si>
  <si>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</si>
  <si>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</si>
  <si>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</si>
  <si>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</si>
  <si>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</si>
  <si>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</si>
  <si>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</si>
  <si>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</si>
  <si>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</si>
  <si>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</si>
  <si>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</si>
  <si>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</si>
  <si>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</si>
  <si>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</si>
  <si>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</si>
  <si>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</si>
  <si>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</si>
  <si>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</si>
  <si>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</si>
  <si>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</si>
  <si>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</si>
  <si>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</si>
  <si>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</si>
  <si>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</si>
  <si>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</si>
  <si>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</si>
  <si>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</si>
  <si>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</si>
  <si>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</si>
  <si>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</si>
  <si>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</si>
  <si>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</si>
  <si>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</si>
  <si>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</si>
  <si>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</si>
  <si>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</si>
  <si>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</si>
  <si>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</si>
  <si>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</si>
  <si>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</si>
  <si>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</si>
  <si>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</si>
  <si>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</si>
  <si>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</si>
  <si>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</si>
  <si>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</si>
  <si>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</si>
  <si>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</si>
  <si>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</si>
  <si>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</si>
  <si>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</si>
  <si>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</si>
  <si>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</si>
  <si>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</si>
  <si>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</si>
  <si>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</si>
  <si>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</si>
  <si>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</si>
  <si>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</si>
  <si>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</si>
  <si>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</si>
  <si>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</si>
  <si>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</si>
  <si>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</si>
  <si>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</si>
  <si>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</si>
  <si>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</si>
  <si>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</si>
  <si>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</si>
  <si>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</si>
  <si>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</si>
  <si>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</si>
  <si>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</si>
  <si>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</si>
  <si>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</si>
  <si>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</si>
  <si>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</si>
  <si>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</si>
  <si>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</si>
  <si>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</si>
  <si>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</si>
  <si>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</si>
  <si>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</si>
  <si>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</si>
  <si>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</si>
  <si>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</si>
  <si>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</si>
  <si>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</si>
  <si>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</si>
  <si>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</si>
  <si>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</si>
  <si>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</si>
  <si>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</si>
  <si>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</si>
  <si>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</si>
  <si>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</si>
  <si>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</si>
  <si>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</si>
  <si>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</si>
  <si>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</si>
  <si>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</si>
  <si>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</si>
  <si>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</si>
  <si>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</si>
  <si>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</si>
  <si>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</si>
  <si>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</si>
  <si>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</si>
  <si>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</si>
  <si>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</si>
  <si>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</si>
  <si>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</si>
  <si>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</si>
  <si>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</si>
  <si>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</si>
  <si>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</si>
  <si>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</si>
  <si>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</si>
  <si>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</si>
  <si>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</si>
  <si>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</si>
  <si>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</si>
  <si>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</si>
  <si>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</si>
  <si>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</si>
  <si>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</si>
  <si>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</si>
  <si>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</si>
  <si>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</si>
  <si>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</si>
  <si>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</si>
  <si>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</si>
  <si>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</si>
  <si>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</si>
  <si>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</si>
  <si>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</si>
  <si>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</si>
  <si>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</si>
  <si>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</si>
  <si>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</si>
  <si>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</si>
  <si>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</si>
  <si>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</si>
  <si>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</si>
  <si>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</si>
  <si>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</si>
  <si>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</si>
  <si>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</si>
  <si>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</si>
  <si>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</si>
  <si>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</si>
  <si>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</si>
  <si>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</si>
  <si>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</si>
  <si>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</si>
  <si>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</si>
  <si>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</si>
  <si>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</si>
  <si>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</si>
  <si>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</si>
  <si>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</si>
  <si>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</si>
  <si>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</si>
  <si>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</si>
  <si>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</si>
  <si>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</si>
  <si>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</si>
  <si>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</si>
  <si>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</si>
  <si>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</si>
  <si>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</si>
  <si>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</si>
  <si>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</si>
  <si>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</si>
  <si>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</si>
  <si>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</si>
  <si>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</si>
  <si>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</si>
  <si>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</si>
  <si>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</si>
  <si>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</si>
  <si>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</si>
  <si>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</si>
  <si>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</si>
  <si>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</si>
  <si>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</si>
  <si>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</si>
  <si>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</si>
  <si>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</si>
  <si>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</si>
  <si>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</si>
  <si>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</si>
  <si>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</si>
  <si>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</si>
  <si>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</si>
  <si>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</si>
  <si>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</si>
  <si>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</si>
  <si>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</si>
  <si>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</si>
  <si>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</si>
  <si>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</si>
  <si>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</si>
  <si>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</si>
  <si>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</si>
  <si>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</si>
  <si>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</si>
  <si>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</si>
  <si>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</si>
  <si>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</si>
  <si>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</si>
  <si>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</si>
  <si>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</si>
  <si>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</si>
  <si>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</si>
  <si>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</si>
  <si>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</si>
  <si>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</si>
  <si>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</si>
  <si>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</si>
  <si>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</si>
  <si>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</si>
  <si>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</si>
  <si>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</si>
  <si>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</si>
  <si>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</si>
  <si>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</si>
  <si>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</si>
  <si>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</si>
  <si>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</si>
  <si>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</si>
  <si>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</si>
  <si>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</si>
  <si>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</si>
  <si>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</si>
  <si>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</si>
  <si>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</si>
  <si>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</si>
  <si>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</si>
  <si>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</si>
  <si>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</si>
  <si>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</si>
  <si>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</si>
  <si>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</si>
  <si>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</si>
  <si>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</si>
  <si>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</si>
  <si>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</si>
  <si>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</si>
  <si>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</si>
  <si>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</si>
  <si>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</si>
  <si>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</si>
  <si>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</si>
  <si>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</si>
  <si>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</si>
  <si>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</si>
  <si>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</si>
  <si>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</si>
  <si>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</si>
  <si>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</si>
  <si>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</si>
  <si>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</si>
  <si>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</si>
  <si>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</si>
  <si>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</si>
  <si>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</si>
  <si>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</si>
  <si>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</si>
  <si>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</si>
  <si>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</si>
  <si>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</si>
  <si>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</si>
  <si>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</si>
  <si>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</si>
  <si>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</si>
  <si>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</si>
  <si>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</si>
  <si>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</si>
  <si>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</si>
  <si>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</si>
  <si>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</si>
  <si>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</si>
  <si>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</si>
  <si>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</si>
  <si>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</si>
  <si>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</si>
  <si>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</si>
  <si>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</si>
  <si>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</si>
  <si>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</si>
  <si>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</si>
  <si>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</si>
  <si>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</si>
  <si>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</si>
  <si>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</si>
  <si>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</si>
  <si>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</si>
  <si>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</si>
  <si>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</si>
  <si>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</si>
  <si>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</si>
  <si>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</si>
  <si>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</si>
  <si>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</si>
  <si>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</si>
  <si>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</si>
  <si>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</si>
  <si>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</si>
  <si>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</si>
  <si>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</si>
  <si>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</si>
  <si>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</si>
  <si>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</si>
  <si>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</si>
  <si>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</si>
  <si>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</si>
  <si>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</si>
  <si>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</si>
  <si>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</si>
  <si>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</si>
  <si>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</si>
  <si>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</si>
  <si>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</si>
  <si>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</si>
  <si>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</si>
  <si>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</si>
  <si>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</si>
  <si>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</si>
  <si>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</si>
  <si>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</si>
  <si>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</si>
  <si>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</si>
  <si>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</si>
  <si>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</si>
  <si>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</si>
  <si>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</si>
  <si>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</si>
  <si>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</si>
  <si>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</si>
  <si>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</si>
  <si>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</si>
  <si>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</si>
  <si>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</si>
  <si>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</si>
  <si>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</si>
  <si>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</si>
  <si>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</si>
  <si>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</si>
  <si>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</si>
  <si>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</si>
  <si>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</si>
  <si>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</si>
  <si>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</si>
  <si>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</si>
  <si>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</si>
  <si>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</si>
  <si>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</si>
  <si>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</si>
  <si>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</si>
  <si>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</si>
  <si>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</si>
  <si>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</si>
  <si>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</si>
  <si>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</si>
  <si>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</si>
  <si>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</si>
  <si>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</si>
  <si>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</si>
  <si>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</si>
  <si>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</si>
  <si>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</si>
  <si>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</si>
  <si>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</si>
  <si>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</si>
  <si>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</si>
  <si>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</si>
  <si>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</si>
  <si>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</si>
  <si>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</si>
  <si>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</si>
  <si>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</si>
  <si>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</si>
  <si>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</si>
  <si>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</si>
  <si>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</si>
  <si>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</si>
  <si>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</si>
  <si>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</si>
  <si>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</si>
  <si>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</si>
  <si>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</si>
  <si>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</si>
  <si>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</si>
  <si>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</si>
  <si>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</si>
  <si>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</si>
  <si>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</si>
  <si>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</si>
  <si>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</si>
  <si>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</si>
  <si>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</si>
  <si>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</si>
  <si>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</si>
  <si>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</si>
  <si>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</si>
  <si>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</si>
  <si>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</si>
  <si>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</si>
  <si>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</si>
  <si>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</si>
  <si>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</si>
  <si>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</si>
  <si>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</si>
  <si>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</si>
  <si>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</si>
  <si>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</si>
  <si>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</si>
  <si>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</si>
  <si>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</si>
  <si>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</si>
  <si>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</si>
  <si>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</si>
  <si>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</si>
  <si>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</si>
  <si>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</si>
  <si>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</si>
  <si>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</si>
  <si>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</si>
  <si>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</si>
  <si>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</si>
  <si>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</si>
  <si>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</si>
  <si>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</si>
  <si>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</si>
  <si>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</si>
  <si>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</si>
  <si>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</si>
  <si>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</si>
  <si>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</si>
  <si>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</si>
  <si>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</si>
  <si>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</si>
  <si>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</si>
  <si>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</si>
  <si>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</si>
  <si>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</si>
  <si>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</si>
  <si>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</si>
  <si>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</si>
  <si>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</si>
  <si>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</si>
  <si>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</si>
  <si>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</si>
  <si>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</si>
  <si>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</si>
  <si>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</si>
  <si>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</si>
  <si>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</si>
  <si>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</si>
  <si>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</si>
  <si>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</si>
  <si>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</si>
  <si>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</si>
  <si>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</si>
  <si>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</si>
  <si>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</si>
  <si>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</si>
  <si>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</si>
  <si>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</si>
  <si>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</si>
  <si>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</si>
  <si>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</si>
  <si>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</si>
  <si>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</si>
  <si>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</si>
  <si>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</si>
  <si>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</si>
  <si>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</si>
  <si>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</si>
  <si>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</si>
  <si>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</si>
  <si>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</si>
  <si>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</si>
  <si>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</si>
  <si>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</si>
  <si>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</si>
  <si>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</si>
  <si>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</si>
  <si>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</si>
  <si>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</si>
  <si>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</si>
  <si>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</si>
  <si>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</si>
  <si>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</si>
  <si>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</si>
  <si>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</si>
  <si>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</si>
  <si>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</si>
  <si>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</si>
  <si>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</si>
  <si>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</si>
  <si>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</si>
  <si>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</si>
  <si>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</si>
  <si>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</si>
  <si>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</si>
  <si>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</si>
  <si>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</si>
  <si>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</si>
  <si>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</si>
  <si>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</si>
  <si>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</si>
  <si>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</si>
  <si>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</si>
  <si>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</si>
  <si>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</si>
  <si>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</si>
  <si>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</si>
  <si>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</si>
  <si>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</si>
  <si>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</si>
  <si>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</si>
  <si>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</si>
  <si>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</si>
  <si>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</si>
  <si>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</si>
  <si>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</si>
  <si>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</si>
  <si>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</si>
  <si>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</si>
  <si>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</si>
  <si>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</si>
  <si>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</si>
  <si>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</si>
  <si>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</si>
  <si>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</si>
  <si>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</si>
  <si>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</si>
  <si>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</si>
  <si>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</si>
  <si>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</si>
  <si>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</si>
  <si>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</si>
  <si>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</si>
  <si>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</si>
  <si>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</si>
  <si>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</si>
  <si>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</si>
  <si>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</si>
  <si>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</si>
  <si>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</si>
  <si>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</si>
  <si>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</si>
  <si>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</si>
  <si>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</si>
  <si>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</si>
  <si>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</si>
  <si>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</si>
  <si>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</si>
  <si>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</si>
  <si>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</si>
  <si>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</si>
  <si>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</si>
  <si>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</si>
  <si>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</si>
  <si>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</si>
  <si>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</si>
  <si>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</si>
  <si>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</si>
  <si>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</si>
  <si>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</si>
  <si>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</si>
  <si>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</si>
  <si>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</si>
  <si>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</si>
  <si>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</si>
  <si>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</si>
  <si>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</si>
  <si>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</si>
  <si>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</si>
  <si>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</si>
  <si>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</si>
  <si>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</si>
  <si>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</si>
  <si>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</si>
  <si>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</si>
  <si>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</si>
  <si>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</si>
  <si>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</si>
  <si>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</si>
  <si>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</si>
  <si>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</si>
  <si>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</si>
  <si>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</si>
  <si>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</si>
  <si>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</si>
  <si>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</si>
  <si>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</si>
  <si>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</si>
  <si>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</si>
  <si>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</si>
  <si>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</si>
  <si>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</si>
  <si>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</si>
  <si>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</si>
  <si>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</si>
  <si>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</si>
  <si>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</si>
  <si>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</si>
  <si>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</si>
  <si>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</si>
  <si>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</si>
  <si>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</si>
  <si>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</si>
  <si>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</si>
  <si>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</si>
  <si>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</si>
  <si>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</si>
  <si>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</si>
  <si>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</si>
  <si>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</si>
  <si>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</si>
  <si>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</si>
  <si>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</si>
  <si>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</si>
  <si>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</si>
  <si>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</si>
  <si>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</si>
  <si>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</si>
  <si>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</si>
  <si>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</si>
  <si>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</si>
  <si>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</si>
  <si>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</si>
  <si>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</si>
  <si>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</si>
  <si>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</si>
  <si>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</si>
  <si>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</si>
  <si>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</si>
  <si>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</si>
  <si>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</si>
  <si>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</si>
  <si>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</si>
  <si>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</si>
  <si>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</si>
  <si>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</si>
  <si>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</si>
  <si>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</si>
  <si>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</si>
  <si>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</si>
  <si>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</si>
  <si>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</si>
  <si>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</si>
  <si>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</si>
  <si>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</si>
  <si>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</si>
  <si>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</si>
  <si>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</si>
  <si>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</si>
  <si>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</si>
  <si>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</si>
  <si>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</si>
  <si>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</si>
  <si>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</si>
  <si>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</si>
  <si>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</si>
  <si>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</si>
  <si>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</si>
  <si>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</si>
  <si>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</si>
  <si>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</si>
  <si>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</si>
  <si>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</si>
  <si>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</si>
  <si>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</si>
  <si>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</si>
  <si>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</si>
  <si>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</si>
  <si>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</si>
  <si>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</si>
  <si>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</si>
  <si>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</si>
  <si>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</si>
  <si>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</si>
  <si>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</si>
  <si>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</si>
  <si>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</si>
  <si>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</si>
  <si>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</si>
  <si>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</si>
  <si>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</si>
  <si>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</si>
  <si>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</si>
  <si>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</si>
  <si>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</si>
  <si>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</si>
  <si>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</si>
  <si>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</si>
  <si>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</si>
  <si>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</si>
  <si>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</si>
  <si>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</si>
  <si>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</si>
  <si>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</si>
  <si>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</si>
  <si>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</si>
  <si>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</si>
  <si>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</si>
  <si>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</si>
  <si>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</si>
  <si>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</si>
  <si>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</si>
  <si>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</si>
  <si>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</si>
  <si>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</si>
  <si>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</si>
  <si>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</si>
  <si>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</si>
  <si>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</si>
  <si>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</si>
  <si>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</si>
  <si>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</si>
  <si>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</si>
  <si>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</si>
  <si>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</si>
  <si>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</si>
  <si>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</si>
  <si>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</si>
  <si>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</si>
  <si>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</si>
  <si>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</si>
  <si>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</si>
  <si>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</si>
  <si>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</si>
  <si>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</si>
  <si>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</si>
  <si>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</si>
  <si>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</si>
  <si>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</si>
  <si>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</si>
  <si>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</si>
  <si>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</si>
  <si>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</si>
  <si>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</si>
  <si>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</si>
  <si>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</si>
  <si>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</si>
  <si>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</si>
  <si>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</si>
  <si>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</si>
  <si>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</si>
  <si>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</si>
  <si>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</si>
  <si>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</si>
  <si>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</si>
  <si>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</si>
  <si>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</si>
  <si>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</si>
  <si>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</si>
  <si>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</si>
  <si>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</si>
  <si>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</si>
  <si>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</si>
  <si>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</si>
  <si>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</si>
  <si>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</si>
  <si>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</si>
  <si>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</si>
  <si>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</si>
  <si>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</si>
  <si>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</si>
  <si>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</si>
  <si>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</si>
  <si>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</si>
  <si>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</si>
  <si>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</si>
  <si>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</si>
  <si>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</si>
  <si>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</si>
  <si>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</si>
  <si>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</si>
  <si>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</si>
  <si>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</si>
  <si>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</si>
  <si>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</si>
  <si>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</si>
  <si>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</si>
  <si>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</si>
  <si>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</si>
  <si>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</si>
  <si>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</si>
  <si>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</si>
  <si>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</si>
  <si>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</si>
  <si>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</si>
  <si>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</si>
  <si>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</si>
  <si>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</si>
  <si>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</si>
  <si>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</si>
  <si>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</si>
  <si>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</si>
  <si>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</si>
  <si>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</si>
  <si>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</si>
  <si>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</si>
  <si>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</si>
  <si>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</si>
  <si>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</si>
  <si>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</si>
  <si>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</si>
  <si>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</si>
  <si>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</si>
  <si>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</si>
  <si>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</si>
  <si>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</si>
  <si>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</si>
  <si>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</si>
  <si>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</si>
  <si>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</si>
  <si>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</si>
  <si>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</si>
  <si>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</si>
  <si>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</si>
  <si>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</si>
  <si>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</si>
  <si>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</si>
  <si>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</si>
  <si>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</si>
  <si>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</si>
  <si>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</si>
  <si>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</si>
  <si>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</si>
  <si>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</si>
  <si>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</si>
  <si>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</si>
  <si>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</si>
  <si>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</si>
  <si>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</si>
  <si>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</si>
  <si>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</si>
  <si>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</si>
  <si>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</si>
  <si>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</si>
  <si>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</si>
  <si>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</si>
  <si>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</si>
  <si>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</si>
  <si>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</si>
  <si>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</si>
  <si>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</si>
  <si>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</si>
  <si>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</si>
  <si>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</si>
  <si>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</si>
  <si>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</si>
  <si>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</si>
  <si>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</si>
  <si>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</si>
  <si>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</si>
  <si>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</si>
  <si>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</si>
  <si>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</si>
  <si>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</si>
  <si>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</si>
  <si>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</si>
  <si>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</si>
  <si>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</si>
  <si>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</si>
  <si>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</si>
  <si>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</si>
  <si>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土地证</t>
    <phoneticPr fontId="134" type="noConversion"/>
  </si>
  <si>
    <r>
      <t>广安门外大街1</t>
    </r>
    <r>
      <rPr>
        <sz val="11"/>
        <color theme="1"/>
        <rFont val="宋体"/>
        <family val="3"/>
        <charset val="134"/>
        <scheme val="minor"/>
      </rPr>
      <t>78、180、甲180号</t>
    </r>
    <phoneticPr fontId="134" type="noConversion"/>
  </si>
  <si>
    <t>土地面积</t>
    <phoneticPr fontId="134" type="noConversion"/>
  </si>
  <si>
    <t>年期</t>
    <phoneticPr fontId="134" type="noConversion"/>
  </si>
  <si>
    <r>
      <t>0</t>
    </r>
    <r>
      <rPr>
        <sz val="11"/>
        <color theme="1"/>
        <rFont val="宋体"/>
        <family val="3"/>
        <charset val="134"/>
        <scheme val="minor"/>
      </rPr>
      <t>0120号</t>
    </r>
    <phoneticPr fontId="134" type="noConversion"/>
  </si>
  <si>
    <r>
      <t>0</t>
    </r>
    <r>
      <rPr>
        <sz val="11"/>
        <color theme="1"/>
        <rFont val="宋体"/>
        <family val="3"/>
        <charset val="134"/>
        <scheme val="minor"/>
      </rPr>
      <t>0119号</t>
    </r>
    <phoneticPr fontId="134" type="noConversion"/>
  </si>
  <si>
    <t>建筑面积</t>
    <phoneticPr fontId="134" type="noConversion"/>
  </si>
  <si>
    <r>
      <t>0</t>
    </r>
    <r>
      <rPr>
        <sz val="11"/>
        <color theme="1"/>
        <rFont val="宋体"/>
        <family val="3"/>
        <charset val="134"/>
        <scheme val="minor"/>
      </rPr>
      <t>014425号</t>
    </r>
    <phoneticPr fontId="134" type="noConversion"/>
  </si>
  <si>
    <t>房产证</t>
    <phoneticPr fontId="134" type="noConversion"/>
  </si>
  <si>
    <t>部位及房号</t>
    <phoneticPr fontId="134" type="noConversion"/>
  </si>
  <si>
    <t>2-2</t>
    <phoneticPr fontId="134" type="noConversion"/>
  </si>
  <si>
    <t>楼层</t>
    <phoneticPr fontId="134" type="noConversion"/>
  </si>
  <si>
    <t>1层</t>
    <phoneticPr fontId="134" type="noConversion"/>
  </si>
  <si>
    <t>间数</t>
    <phoneticPr fontId="134" type="noConversion"/>
  </si>
  <si>
    <r>
      <t>-</t>
    </r>
    <r>
      <rPr>
        <sz val="11"/>
        <color theme="1"/>
        <rFont val="宋体"/>
        <family val="3"/>
        <charset val="134"/>
        <scheme val="minor"/>
      </rPr>
      <t>01</t>
    </r>
    <phoneticPr fontId="134" type="noConversion"/>
  </si>
  <si>
    <t>合计</t>
    <phoneticPr fontId="134" type="noConversion"/>
  </si>
  <si>
    <t>2-1</t>
    <phoneticPr fontId="134" type="noConversion"/>
  </si>
  <si>
    <t>2层</t>
    <phoneticPr fontId="134" type="noConversion"/>
  </si>
  <si>
    <t>3层</t>
    <phoneticPr fontId="134" type="noConversion"/>
  </si>
  <si>
    <t>-02</t>
    <phoneticPr fontId="134" type="noConversion"/>
  </si>
  <si>
    <t>0014427号</t>
    <phoneticPr fontId="134" type="noConversion"/>
  </si>
  <si>
    <t>-1层</t>
    <phoneticPr fontId="134" type="noConversion"/>
  </si>
  <si>
    <t>-2层</t>
    <phoneticPr fontId="134" type="noConversion"/>
  </si>
  <si>
    <t>出租面积</t>
    <phoneticPr fontId="134" type="noConversion"/>
  </si>
  <si>
    <t>用途</t>
    <phoneticPr fontId="134" type="noConversion"/>
  </si>
  <si>
    <t>综合</t>
  </si>
  <si>
    <t>综合</t>
    <phoneticPr fontId="134" type="noConversion"/>
  </si>
  <si>
    <t>？</t>
    <phoneticPr fontId="134" type="noConversion"/>
  </si>
  <si>
    <t>系数</t>
    <phoneticPr fontId="134" type="noConversion"/>
  </si>
  <si>
    <t>租赁合同</t>
    <phoneticPr fontId="134" type="noConversion"/>
  </si>
  <si>
    <t>车库</t>
    <phoneticPr fontId="134" type="noConversion"/>
  </si>
  <si>
    <t>北京市</t>
  </si>
  <si>
    <t>企业</t>
  </si>
  <si>
    <t>抵押</t>
  </si>
  <si>
    <t>房地产抵押价值</t>
  </si>
  <si>
    <t>是</t>
  </si>
  <si>
    <t>地上</t>
  </si>
  <si>
    <t>地下</t>
  </si>
  <si>
    <t>综合</t>
    <phoneticPr fontId="7" type="noConversion"/>
  </si>
  <si>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</si>
  <si>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</si>
  <si>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</si>
  <si>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</si>
  <si>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</si>
  <si>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</si>
  <si>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</si>
  <si>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</si>
  <si>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</si>
  <si>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</si>
  <si>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</si>
  <si>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</si>
  <si>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</si>
  <si>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</si>
  <si>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</si>
  <si>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</si>
  <si>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</si>
  <si>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</si>
  <si>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</si>
  <si>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</si>
  <si>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</si>
  <si>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</si>
  <si>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</si>
  <si>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</si>
  <si>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</si>
  <si>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</si>
  <si>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</si>
  <si>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</si>
  <si>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</si>
  <si>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</si>
  <si>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</si>
  <si>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</si>
  <si>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</si>
  <si>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</si>
  <si>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</si>
  <si>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</si>
  <si>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</si>
  <si>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</si>
  <si>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</si>
  <si>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</si>
  <si>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</si>
  <si>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</si>
  <si>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</si>
  <si>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 xml:space="preserve"> -- </t>
  </si>
  <si>
    <t xml:space="preserve">-- </t>
  </si>
  <si>
    <t>2023-12-28 15:00</t>
  </si>
  <si>
    <t xml:space="preserve"> --</t>
  </si>
  <si>
    <t>2023-06-13 15:00</t>
  </si>
  <si>
    <t>2022-08-25 15:00</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</si>
  <si>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</si>
  <si>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</si>
  <si>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</si>
  <si>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</si>
  <si>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</si>
  <si>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</si>
  <si>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</si>
  <si>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</si>
  <si>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</si>
  <si>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</si>
  <si>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</si>
  <si>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</si>
  <si>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</si>
  <si>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</si>
  <si>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</si>
  <si>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</si>
  <si>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</si>
  <si>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</si>
  <si>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</si>
  <si>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</si>
  <si>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</si>
  <si>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</si>
  <si>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</si>
  <si>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</si>
  <si>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</si>
  <si>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</si>
  <si>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</si>
  <si>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</si>
  <si>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</si>
  <si>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</si>
  <si>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</si>
  <si>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</si>
  <si>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</si>
  <si>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</si>
  <si>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</si>
  <si>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</si>
  <si>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</si>
  <si>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</si>
  <si>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</si>
  <si>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</si>
  <si>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</si>
  <si>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</si>
  <si>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</si>
  <si>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</si>
  <si>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</si>
  <si>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</si>
  <si>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</si>
  <si>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</si>
  <si>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</si>
  <si>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</si>
  <si>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</si>
  <si>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</si>
  <si>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</si>
  <si>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</si>
  <si>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</si>
  <si>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</si>
  <si>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</si>
  <si>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</si>
  <si>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</si>
  <si>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</si>
  <si>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</si>
  <si>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</si>
  <si>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</si>
  <si>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</si>
  <si>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</si>
  <si>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</si>
  <si>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</si>
  <si>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</si>
  <si>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</si>
  <si>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</si>
  <si>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</si>
  <si>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</si>
  <si>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</si>
  <si>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</si>
  <si>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</si>
  <si>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</si>
  <si>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</si>
  <si>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</si>
  <si>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</si>
  <si>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</si>
  <si>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</si>
  <si>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</si>
  <si>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</si>
  <si>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</si>
  <si>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</si>
  <si>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</si>
  <si>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</si>
  <si>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</si>
  <si>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</si>
  <si>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</si>
  <si>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</si>
  <si>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</si>
  <si>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</si>
  <si>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</si>
  <si>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</si>
  <si>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</si>
  <si>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</si>
  <si>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</si>
  <si>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</si>
  <si>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</si>
  <si>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正常</t>
  </si>
  <si>
    <t>七通</t>
  </si>
  <si>
    <t>快速路</t>
    <phoneticPr fontId="30" type="noConversion"/>
  </si>
  <si>
    <t>主干道</t>
  </si>
  <si>
    <t>主干道</t>
    <phoneticPr fontId="30" type="noConversion"/>
  </si>
  <si>
    <t>次干道</t>
    <phoneticPr fontId="30" type="noConversion"/>
  </si>
  <si>
    <t>支路</t>
  </si>
  <si>
    <t>支路</t>
    <phoneticPr fontId="30" type="noConversion"/>
  </si>
  <si>
    <t>六通</t>
  </si>
  <si>
    <t>五通</t>
  </si>
  <si>
    <t>四通</t>
  </si>
  <si>
    <t>三通</t>
  </si>
  <si>
    <t>较差</t>
  </si>
  <si>
    <t>差</t>
  </si>
  <si>
    <r>
      <t xml:space="preserve"> B4</t>
    </r>
    <r>
      <rPr>
        <sz val="11"/>
        <rFont val="宋体"/>
        <family val="3"/>
        <charset val="134"/>
      </rPr>
      <t/>
    </r>
    <phoneticPr fontId="30" type="noConversion"/>
  </si>
  <si>
    <r>
      <t xml:space="preserve"> F3</t>
    </r>
    <r>
      <rPr>
        <sz val="11"/>
        <rFont val="宋体"/>
        <family val="3"/>
        <charset val="134"/>
      </rPr>
      <t/>
    </r>
    <phoneticPr fontId="30" type="noConversion"/>
  </si>
  <si>
    <t>住宅</t>
  </si>
  <si>
    <t>情况4</t>
  </si>
  <si>
    <t>转让取得</t>
  </si>
  <si>
    <t>非个人房产</t>
  </si>
  <si>
    <t xml:space="preserve"> B4</t>
  </si>
  <si>
    <t xml:space="preserve"> F3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</si>
</sst>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95" fillId="0" borderId="0" xfId="0" applyFont="1" applyAlignment="1">
      <alignment horizontal="left" vertical="center"/>
    </xf>
    <xf numFmtId="49" fontId="0" fillId="0" borderId="0" xfId="0" applyNumberFormat="1">
      <alignment vertical="center"/>
    </xf>
    <xf numFmtId="0" fontId="95" fillId="5" borderId="0" xfId="0" applyFont="1" applyFill="1" applyAlignment="1">
      <alignment horizontal="left" vertical="center"/>
    </xf>
    <xf numFmtId="14" fontId="0" fillId="5" borderId="0" xfId="0" applyNumberFormat="1" applyFill="1" applyAlignment="1">
      <alignment horizontal="left" vertical="center"/>
    </xf>
    <xf numFmtId="49" fontId="95" fillId="0" borderId="1" xfId="0" applyNumberFormat="1" applyFont="1" applyBorder="1" applyAlignment="1">
      <alignment horizontal="left" vertical="center"/>
    </xf>
    <xf numFmtId="0" fontId="95" fillId="0" borderId="1" xfId="0" applyFont="1" applyBorder="1" applyAlignment="1">
      <alignment horizontal="lef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96" fillId="0" borderId="1" xfId="0" applyFont="1" applyBorder="1" applyAlignment="1">
      <alignment horizontal="left" vertical="center"/>
    </xf>
    <xf numFmtId="0" fontId="96" fillId="0" borderId="0" xfId="0" applyFont="1">
      <alignment vertical="center"/>
    </xf>
    <xf numFmtId="0" fontId="0" fillId="0" borderId="0" xfId="0" applyFill="1" applyAlignment="1">
      <alignment horizontal="left" vertical="center"/>
    </xf>
    <xf numFmtId="0" fontId="0" fillId="0" borderId="0" xfId="0" applyFill="1">
      <alignment vertical="center"/>
    </xf>
    <xf numFmtId="0" fontId="95" fillId="0" borderId="1" xfId="0" applyFont="1" applyFill="1" applyBorder="1" applyAlignment="1">
      <alignment horizontal="left" vertical="center"/>
    </xf>
    <xf numFmtId="14" fontId="0" fillId="0" borderId="1" xfId="0" applyNumberFormat="1" applyFill="1" applyBorder="1" applyAlignment="1">
      <alignment horizontal="left" vertical="center"/>
    </xf>
    <xf numFmtId="0" fontId="95" fillId="0" borderId="1" xfId="0" applyNumberFormat="1" applyFont="1" applyBorder="1" applyAlignment="1">
      <alignment horizontal="left" vertical="center"/>
    </xf>
    <xf numFmtId="0" fontId="95" fillId="5" borderId="0" xfId="0" applyFont="1" applyFill="1" applyBorder="1" applyAlignment="1">
      <alignment horizontal="left" vertical="center"/>
    </xf>
    <xf numFmtId="0" fontId="95" fillId="5" borderId="1" xfId="0" applyFont="1" applyFill="1" applyBorder="1" applyAlignment="1">
      <alignment horizontal="left" vertical="center"/>
    </xf>
    <xf numFmtId="0" fontId="95" fillId="5" borderId="1" xfId="0" applyNumberFormat="1" applyFont="1" applyFill="1" applyBorder="1" applyAlignment="1">
      <alignment horizontal="lef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0" fillId="16" borderId="1" xfId="0" applyFill="1" applyBorder="1" applyAlignment="1">
      <alignment horizontal="left" vertical="center"/>
    </xf>
    <xf numFmtId="0" fontId="99" fillId="16" borderId="1" xfId="0" applyFont="1" applyFill="1" applyBorder="1" applyAlignment="1" applyProtection="1">
      <alignment horizontal="center" vertical="center" wrapText="1"/>
      <protection locked="0"/>
    </xf>
    <xf numFmtId="2" fontId="95" fillId="0" borderId="1" xfId="0" applyNumberFormat="1" applyFont="1" applyBorder="1" applyAlignment="1">
      <alignment horizontal="left" vertical="center"/>
    </xf>
    <xf numFmtId="0" fontId="99" fillId="0" borderId="0" xfId="0" applyNumberFormat="1" applyFont="1" applyAlignment="1"/>
    <xf numFmtId="0" fontId="99" fillId="0" borderId="0" xfId="0" applyNumberFormat="1" applyFont="1" applyFill="1" applyAlignment="1"/>
    <xf numFmtId="14" fontId="99" fillId="0" borderId="0" xfId="0" applyNumberFormat="1" applyFont="1" applyFill="1" applyAlignment="1"/>
    <xf numFmtId="0" fontId="99"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51">
    <cellStyle name="Comma 2" xfId="23"/>
    <cellStyle name="Comma 2 2" xfId="24"/>
    <cellStyle name="Comma 2 2 2" xfId="25"/>
    <cellStyle name="Comma 2 2 2 2" xfId="26"/>
    <cellStyle name="Comma 2 2 3" xfId="27"/>
    <cellStyle name="Comma 2 3" xfId="28"/>
    <cellStyle name="Comma 2 3 2" xfId="29"/>
    <cellStyle name="Comma 2 4" xfId="30"/>
    <cellStyle name="Normal 2" xfId="31"/>
    <cellStyle name="Normal 2 2 2" xfId="32"/>
    <cellStyle name="Normal 2 8" xfId="33"/>
    <cellStyle name="Normal 3" xfId="34"/>
    <cellStyle name="Normal 4" xfId="35"/>
    <cellStyle name="Normal 5" xfId="36"/>
    <cellStyle name="Normal_Shangri-La Offices Rental Schedule by 8 units--elevator060803_Shangri-La Offices - Rental Guideline &amp; Leasing Policy 060913draft 2" xfId="37"/>
    <cellStyle name="百分比" xfId="17" builtinId="5"/>
    <cellStyle name="百分比 2" xfId="14"/>
    <cellStyle name="百分比 3" xfId="21"/>
    <cellStyle name="百分比 4" xfId="19"/>
    <cellStyle name="常规" xfId="0" builtinId="0"/>
    <cellStyle name="常规 10" xfId="38"/>
    <cellStyle name="常规 11" xfId="18"/>
    <cellStyle name="常规 12" xfId="39"/>
    <cellStyle name="常规 13" xfId="40"/>
    <cellStyle name="常规 14" xfId="41"/>
    <cellStyle name="常规 16" xfId="10"/>
    <cellStyle name="常规 2" xfId="1"/>
    <cellStyle name="常规 2 2" xfId="8"/>
    <cellStyle name="常规 2 2 2 2 3" xfId="15"/>
    <cellStyle name="常规 2 3" xfId="20"/>
    <cellStyle name="常规 3" xfId="2"/>
    <cellStyle name="常规 3 2" xfId="3"/>
    <cellStyle name="常规 3 2 2" xfId="42"/>
    <cellStyle name="常规 3 3" xfId="4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4"/>
    <cellStyle name="千位分隔 2" xfId="22"/>
    <cellStyle name="千位分隔 2 2" xfId="45"/>
    <cellStyle name="千位分隔 2 2 2" xfId="46"/>
    <cellStyle name="千位分隔 2 3" xfId="47"/>
    <cellStyle name="千位分隔 3" xfId="48"/>
    <cellStyle name="千位分隔 3 2" xfId="49"/>
    <cellStyle name="千位分隔 4" xfId="5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估价对象为北京市房地产，为所有。根据《国有土地使用证》[]，估价对象（分摊）出让国有建设用地使用权面积为3862.4平方米，建筑面积为17457.32平方米。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估价对象为北京市房地产,属开发建设的，该项目尚在开发建设中。根据《国有土地使用证》[]，估价对象（分摊）出让国有建设用地使用权面积为3862.4平方米，规划建筑面积为17457.32平方米。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2024年8月22日（评估专业人员实地查勘之日）</v>
      </c>
    </row>
    <row r="13" spans="1:2" s="1202" customFormat="1">
      <c r="A13" s="1200" t="s">
        <v>529</v>
      </c>
      <c r="B13" s="1201"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50650</v>
      </c>
    </row>
    <row r="21" spans="1:2" s="1202" customFormat="1">
      <c r="A21" s="1200" t="s">
        <v>537</v>
      </c>
      <c r="B21" s="1201">
        <f ca="1">'预评函-2'!D7</f>
        <v>29014</v>
      </c>
    </row>
    <row r="22" spans="1:2" s="1202" customFormat="1">
      <c r="A22" s="1200" t="s">
        <v>538</v>
      </c>
      <c r="B22" s="1201" t="str">
        <f ca="1">'预评函-2'!D6</f>
        <v>伍亿零陆佰伍拾万元整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50650</v>
      </c>
    </row>
    <row r="31" spans="1:2" s="1202" customFormat="1">
      <c r="A31" s="1200" t="s">
        <v>576</v>
      </c>
      <c r="B31" s="1201">
        <f ca="1">'预评函-2'!D15</f>
        <v>29014</v>
      </c>
    </row>
    <row r="32" spans="1:2" s="1202" customFormat="1">
      <c r="A32" s="1200" t="s">
        <v>543</v>
      </c>
      <c r="B32" s="1201" t="str">
        <f ca="1">'预评函-2'!D14</f>
        <v>伍亿零陆佰伍拾万元整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45512</v>
      </c>
    </row>
    <row r="39" spans="1:2" s="1202" customFormat="1">
      <c r="A39" s="1200" t="s">
        <v>545</v>
      </c>
      <c r="B39" s="1201">
        <f ca="1">'预评函-2'!D21</f>
        <v>26070</v>
      </c>
    </row>
    <row r="40" spans="1:2" s="1202" customFormat="1">
      <c r="A40" s="1200" t="s">
        <v>546</v>
      </c>
      <c r="B40" s="1201" t="str">
        <f ca="1">'预评函-2'!D20</f>
        <v>肆亿伍仟伍佰壹拾贰万元整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17457.32</v>
      </c>
    </row>
    <row r="44" spans="1:2" s="1202" customFormat="1">
      <c r="A44" s="1200" t="s">
        <v>575</v>
      </c>
      <c r="B44" s="1201" t="str">
        <f>'预评函-3'!C2</f>
        <v>(分摊)土地面积</v>
      </c>
    </row>
    <row r="45" spans="1:2" s="1202" customFormat="1">
      <c r="A45" s="1200" t="s">
        <v>547</v>
      </c>
      <c r="B45" s="1201">
        <f>'预评函-3'!C4</f>
        <v>3862.4</v>
      </c>
    </row>
    <row r="46" spans="1:2" s="1202" customFormat="1">
      <c r="A46" s="1200" t="s">
        <v>573</v>
      </c>
      <c r="B46" s="1201" t="str">
        <f>'预评函-3'!D2</f>
        <v>出让国有建设用地使用权价值</v>
      </c>
    </row>
    <row r="47" spans="1:2" s="1202" customFormat="1">
      <c r="A47" s="1200" t="s">
        <v>548</v>
      </c>
      <c r="B47" s="1201">
        <f ca="1">'预评函-3'!D4</f>
        <v>35658</v>
      </c>
    </row>
    <row r="48" spans="1:2" s="1202" customFormat="1">
      <c r="A48" s="1200" t="s">
        <v>549</v>
      </c>
      <c r="B48" s="1201">
        <f ca="1">'预评函-3'!E4</f>
        <v>20426</v>
      </c>
    </row>
    <row r="49" spans="1:2" s="1202" customFormat="1">
      <c r="A49" s="1200" t="s">
        <v>550</v>
      </c>
      <c r="B49" s="1201" t="str">
        <f ca="1">'预评函-3'!D5</f>
        <v>叁亿伍仟陆佰伍拾捌万元整</v>
      </c>
    </row>
    <row r="50" spans="1:2" s="1202" customFormat="1">
      <c r="A50" s="1200" t="s">
        <v>574</v>
      </c>
      <c r="B50" s="1201" t="str">
        <f>'预评函-3'!F2</f>
        <v>在建建筑物价值</v>
      </c>
    </row>
    <row r="51" spans="1:2" s="1202" customFormat="1">
      <c r="A51" s="1200" t="s">
        <v>551</v>
      </c>
      <c r="B51" s="1201">
        <f ca="1">'预评函-3'!F4</f>
        <v>14992</v>
      </c>
    </row>
    <row r="52" spans="1:2" s="1202" customFormat="1">
      <c r="A52" s="1200" t="s">
        <v>552</v>
      </c>
      <c r="B52" s="1201">
        <f ca="1">'预评函-3'!G4</f>
        <v>8588</v>
      </c>
    </row>
    <row r="53" spans="1:2" s="1202" customFormat="1">
      <c r="A53" s="1200" t="s">
        <v>580</v>
      </c>
      <c r="B53" s="1201" t="str">
        <f ca="1">'预评函-3'!F5</f>
        <v>壹亿肆仟玖佰玖拾贰万元整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2291</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1553" t="s">
        <v>385</v>
      </c>
      <c r="C54" s="1550" t="s">
        <v>583</v>
      </c>
    </row>
    <row r="55" spans="1:4">
      <c r="A55" s="3527"/>
      <c r="B55" s="1553" t="s">
        <v>386</v>
      </c>
      <c r="C55" s="1550" t="s">
        <v>584</v>
      </c>
    </row>
    <row r="56" spans="1:4">
      <c r="A56" s="3527"/>
      <c r="B56" s="1553" t="s">
        <v>387</v>
      </c>
      <c r="C56" s="1550" t="s">
        <v>588</v>
      </c>
    </row>
    <row r="57" spans="1:4">
      <c r="A57" s="352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C50" sqref="C50"/>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8" t="s">
        <v>2580</v>
      </c>
      <c r="J2" s="3528"/>
      <c r="K2" s="3528"/>
      <c r="L2" s="3528"/>
      <c r="M2" s="3528"/>
      <c r="N2" s="3528"/>
      <c r="O2" s="3528"/>
      <c r="P2" s="3528"/>
      <c r="Q2" s="3528"/>
      <c r="R2" s="3528"/>
    </row>
    <row r="3" spans="1:18">
      <c r="A3" s="3019" t="s">
        <v>2501</v>
      </c>
      <c r="B3" s="3020">
        <f>项目基本情况!D3</f>
        <v>45526</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2.3199999999999998</v>
      </c>
      <c r="D5" s="3024">
        <f>IF(ISERROR(ROUND(POWER(1+E5,A5-C5)*(POWER(1+E5,C5)-1)/(POWER(1+E5,A5)-1),3)),0,ROUND(POWER(1+E5,A5-C5)*(POWER(1+E5,C5)-1)/(POWER(1+E5,A5)-1),4))</f>
        <v>0.1099</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12.33</v>
      </c>
      <c r="D6" s="3024">
        <f>IF(ISERROR(ROUND(POWER(1+E6,A6-C6)*(POWER(1+E6,C6)-1)/(POWER(1+E6,A6)-1),3)),0,ROUND(POWER(1+E6,A6-C6)*(POWER(1+E6,C6)-1)/(POWER(1+E6,A6)-1),4))</f>
        <v>0.44619999999999999</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32.340000000000003</v>
      </c>
      <c r="D7" s="3024">
        <f>IF(ISERROR(ROUND(POWER(1+E7,A7-C7)*(POWER(1+E7,C7)-1)/(POWER(1+E7,A7)-1),3)),0,ROUND(POWER(1+E7,A7-C7)*(POWER(1+E7,C7)-1)/(POWER(1+E7,A7)-1),4))</f>
        <v>0.76800000000000002</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3">
      <c r="A17" s="3019" t="s">
        <v>2517</v>
      </c>
      <c r="B17" s="3028">
        <v>4810</v>
      </c>
      <c r="C17" s="3021"/>
      <c r="D17" s="3017"/>
      <c r="E17" s="3017"/>
      <c r="F17" s="3018"/>
    </row>
    <row r="18" spans="1:13" ht="14.25" thickBot="1">
      <c r="A18" s="3030" t="s">
        <v>2516</v>
      </c>
      <c r="B18" s="3031">
        <f>ROUND(B17*F11/F12,2)</f>
        <v>5541.87</v>
      </c>
      <c r="C18" s="3031">
        <f>ROUND(F11/F12,4)</f>
        <v>1.1521999999999999</v>
      </c>
      <c r="D18" s="3032"/>
      <c r="E18" s="3032"/>
      <c r="F18" s="3033"/>
    </row>
    <row r="19" spans="1:13" ht="14.25" thickBot="1"/>
    <row r="20" spans="1:13" s="3068" customFormat="1" ht="14.25" thickTop="1">
      <c r="A20" s="3065" t="s">
        <v>2519</v>
      </c>
      <c r="B20" s="3066"/>
      <c r="C20" s="3066"/>
      <c r="D20" s="3066"/>
      <c r="E20" s="3066"/>
      <c r="F20" s="3066"/>
      <c r="G20" s="3067"/>
      <c r="I20" s="3069" t="s">
        <v>2564</v>
      </c>
      <c r="J20" s="3069" t="s">
        <v>2569</v>
      </c>
      <c r="K20" s="3069"/>
      <c r="L20" s="3069"/>
      <c r="M20" s="3069"/>
    </row>
    <row r="21" spans="1:13">
      <c r="A21" s="3034"/>
      <c r="B21" s="3035" t="s">
        <v>2520</v>
      </c>
      <c r="C21" s="3035" t="s">
        <v>2521</v>
      </c>
      <c r="D21" s="3035" t="s">
        <v>2522</v>
      </c>
      <c r="E21" s="3035" t="s">
        <v>2523</v>
      </c>
      <c r="F21" s="3035" t="s">
        <v>2524</v>
      </c>
      <c r="G21" s="3036" t="s">
        <v>2525</v>
      </c>
      <c r="I21" s="3057">
        <v>5</v>
      </c>
      <c r="J21" s="3057">
        <v>54.2</v>
      </c>
    </row>
    <row r="22" spans="1:13">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M23" s="3057" t="s">
        <v>2568</v>
      </c>
    </row>
    <row r="24" spans="1:13">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M24" s="3057">
        <v>10</v>
      </c>
    </row>
    <row r="25" spans="1:13">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M25" s="3057">
        <v>8</v>
      </c>
    </row>
    <row r="26" spans="1:13">
      <c r="A26" s="3039"/>
      <c r="B26" s="3040"/>
      <c r="C26" s="3040"/>
      <c r="D26" s="3040"/>
      <c r="E26" s="3040"/>
      <c r="F26" s="3040"/>
      <c r="G26" s="3041"/>
      <c r="I26" s="3057">
        <v>30</v>
      </c>
      <c r="J26" s="3057">
        <v>90.5</v>
      </c>
      <c r="K26" s="3057">
        <f t="shared" si="2"/>
        <v>4.2000000000000028</v>
      </c>
      <c r="L26" s="3057" t="s">
        <v>2571</v>
      </c>
      <c r="M26" s="3057">
        <v>5</v>
      </c>
    </row>
    <row r="27" spans="1:13">
      <c r="A27" s="3039" t="s">
        <v>2530</v>
      </c>
      <c r="B27" s="3040"/>
      <c r="C27" s="3040"/>
      <c r="D27" s="3040"/>
      <c r="E27" s="3040"/>
      <c r="F27" s="3040"/>
      <c r="G27" s="3041"/>
      <c r="I27" s="3057">
        <v>35</v>
      </c>
      <c r="J27" s="3057">
        <v>93.8</v>
      </c>
      <c r="K27" s="3057">
        <f t="shared" si="2"/>
        <v>3.2999999999999972</v>
      </c>
      <c r="L27" s="3057" t="s">
        <v>2572</v>
      </c>
      <c r="M27" s="3057">
        <v>3</v>
      </c>
    </row>
    <row r="28" spans="1:13">
      <c r="A28" s="3039" t="s">
        <v>2531</v>
      </c>
      <c r="B28" s="3040"/>
      <c r="C28" s="3040"/>
      <c r="D28" s="3040"/>
      <c r="E28" s="3040"/>
      <c r="F28" s="3040"/>
      <c r="G28" s="3041"/>
      <c r="I28" s="3057">
        <v>40</v>
      </c>
      <c r="J28" s="3057">
        <v>96.4</v>
      </c>
      <c r="K28" s="3057">
        <f t="shared" si="2"/>
        <v>2.6000000000000085</v>
      </c>
      <c r="L28" s="3057" t="s">
        <v>2573</v>
      </c>
      <c r="M28" s="3057">
        <v>2</v>
      </c>
    </row>
    <row r="29" spans="1:13">
      <c r="A29" s="3039" t="s">
        <v>2532</v>
      </c>
      <c r="B29" s="3040"/>
      <c r="C29" s="3040"/>
      <c r="D29" s="3040"/>
      <c r="E29" s="3040"/>
      <c r="F29" s="3040"/>
      <c r="G29" s="3041"/>
      <c r="I29" s="3057">
        <v>45</v>
      </c>
      <c r="J29" s="3057">
        <v>98.4</v>
      </c>
      <c r="K29" s="3057">
        <f t="shared" si="2"/>
        <v>2</v>
      </c>
    </row>
    <row r="30" spans="1:13">
      <c r="A30" s="3039" t="s">
        <v>2533</v>
      </c>
      <c r="B30" s="3040"/>
      <c r="C30" s="3040"/>
      <c r="D30" s="3040"/>
      <c r="E30" s="3040"/>
      <c r="F30" s="3040"/>
      <c r="G30" s="3041"/>
      <c r="I30" s="3057">
        <v>50</v>
      </c>
      <c r="J30" s="3057">
        <v>100</v>
      </c>
      <c r="K30" s="3057">
        <f t="shared" si="2"/>
        <v>1.5999999999999943</v>
      </c>
    </row>
    <row r="31" spans="1:13">
      <c r="A31" s="3039" t="s">
        <v>2534</v>
      </c>
      <c r="B31" s="3040"/>
      <c r="C31" s="3040"/>
      <c r="D31" s="3040"/>
      <c r="E31" s="3040"/>
      <c r="F31" s="3040"/>
      <c r="G31" s="3041"/>
      <c r="I31" s="3057" t="s">
        <v>2565</v>
      </c>
    </row>
    <row r="32" spans="1:13">
      <c r="A32" s="3039" t="s">
        <v>2535</v>
      </c>
      <c r="B32" s="3040"/>
      <c r="C32" s="3040"/>
      <c r="D32" s="3040"/>
      <c r="E32" s="3040"/>
      <c r="F32" s="3040"/>
      <c r="G32" s="3041"/>
    </row>
    <row r="33" spans="1:13">
      <c r="A33" s="3039" t="s">
        <v>2536</v>
      </c>
      <c r="B33" s="3040"/>
      <c r="C33" s="3040"/>
      <c r="D33" s="3040"/>
      <c r="E33" s="3040"/>
      <c r="F33" s="3040"/>
      <c r="G33" s="3041"/>
      <c r="I33" s="3057" t="s">
        <v>2564</v>
      </c>
      <c r="J33" s="3057" t="s">
        <v>2574</v>
      </c>
    </row>
    <row r="34" spans="1:13">
      <c r="A34" s="3039" t="s">
        <v>2537</v>
      </c>
      <c r="B34" s="3040"/>
      <c r="C34" s="3040"/>
      <c r="D34" s="3040"/>
      <c r="E34" s="3040"/>
      <c r="F34" s="3040"/>
      <c r="G34" s="3041"/>
      <c r="I34" s="3057">
        <v>5</v>
      </c>
      <c r="J34" s="3057">
        <v>55.1</v>
      </c>
    </row>
    <row r="35" spans="1:13">
      <c r="A35" s="3039" t="s">
        <v>2538</v>
      </c>
      <c r="B35" s="3040"/>
      <c r="C35" s="3040"/>
      <c r="D35" s="3040"/>
      <c r="E35" s="3040"/>
      <c r="F35" s="3040"/>
      <c r="G35" s="3041"/>
      <c r="I35" s="3057">
        <v>10</v>
      </c>
      <c r="J35" s="3057">
        <v>67</v>
      </c>
      <c r="K35" s="3057">
        <f>J35-J34</f>
        <v>11.899999999999999</v>
      </c>
    </row>
    <row r="36" spans="1:13">
      <c r="A36" s="3039" t="s">
        <v>2539</v>
      </c>
      <c r="B36" s="3040"/>
      <c r="C36" s="3040"/>
      <c r="D36" s="3040"/>
      <c r="E36" s="3040"/>
      <c r="F36" s="3040"/>
      <c r="G36" s="3041"/>
      <c r="I36" s="3057">
        <v>15</v>
      </c>
      <c r="J36" s="3057">
        <v>76.3</v>
      </c>
      <c r="K36" s="3057">
        <f t="shared" ref="K36:K41" si="3">J36-J35</f>
        <v>9.2999999999999972</v>
      </c>
      <c r="L36" s="3057" t="s">
        <v>2567</v>
      </c>
      <c r="M36" s="3057" t="s">
        <v>2568</v>
      </c>
    </row>
    <row r="37" spans="1:13">
      <c r="A37" s="3039" t="s">
        <v>2540</v>
      </c>
      <c r="B37" s="3040"/>
      <c r="C37" s="3040"/>
      <c r="D37" s="3040"/>
      <c r="E37" s="3040"/>
      <c r="F37" s="3040"/>
      <c r="G37" s="3041"/>
      <c r="I37" s="3057">
        <v>20</v>
      </c>
      <c r="J37" s="3057">
        <v>83.6</v>
      </c>
      <c r="K37" s="3057">
        <f t="shared" si="3"/>
        <v>7.2999999999999972</v>
      </c>
      <c r="L37" s="3057" t="s">
        <v>2566</v>
      </c>
      <c r="M37" s="3057">
        <v>10</v>
      </c>
    </row>
    <row r="38" spans="1:13">
      <c r="A38" s="3039" t="s">
        <v>2541</v>
      </c>
      <c r="B38" s="3040"/>
      <c r="C38" s="3040"/>
      <c r="D38" s="3040"/>
      <c r="E38" s="3040"/>
      <c r="F38" s="3040"/>
      <c r="G38" s="3041"/>
      <c r="I38" s="3057">
        <v>25</v>
      </c>
      <c r="J38" s="3057">
        <v>89.3</v>
      </c>
      <c r="K38" s="3057">
        <f t="shared" si="3"/>
        <v>5.7000000000000028</v>
      </c>
      <c r="L38" s="3057" t="s">
        <v>2570</v>
      </c>
      <c r="M38" s="3057">
        <v>8</v>
      </c>
    </row>
    <row r="39" spans="1:13">
      <c r="A39" s="3039"/>
      <c r="B39" s="3040"/>
      <c r="C39" s="3040"/>
      <c r="D39" s="3040"/>
      <c r="E39" s="3040"/>
      <c r="F39" s="3040"/>
      <c r="G39" s="3041"/>
      <c r="I39" s="3057">
        <v>30</v>
      </c>
      <c r="J39" s="3057">
        <v>93.8</v>
      </c>
      <c r="K39" s="3057">
        <f t="shared" si="3"/>
        <v>4.5</v>
      </c>
      <c r="L39" s="3057" t="s">
        <v>2571</v>
      </c>
      <c r="M39" s="3057">
        <v>6</v>
      </c>
    </row>
    <row r="40" spans="1:13">
      <c r="A40" s="3042" t="s">
        <v>2542</v>
      </c>
      <c r="B40" s="3043"/>
      <c r="C40" s="3043"/>
      <c r="D40" s="3043"/>
      <c r="E40" s="3043"/>
      <c r="F40" s="3043"/>
      <c r="G40" s="3044"/>
      <c r="I40" s="3057">
        <v>35</v>
      </c>
      <c r="J40" s="3057">
        <v>97.2</v>
      </c>
      <c r="K40" s="3057">
        <f t="shared" si="3"/>
        <v>3.4000000000000057</v>
      </c>
      <c r="L40" s="3057" t="s">
        <v>2572</v>
      </c>
      <c r="M40" s="3057">
        <v>3</v>
      </c>
    </row>
    <row r="41" spans="1:13">
      <c r="A41" s="3045" t="s">
        <v>2543</v>
      </c>
      <c r="B41" s="3046" t="s">
        <v>2544</v>
      </c>
      <c r="C41" s="3047" t="s">
        <v>2545</v>
      </c>
      <c r="D41" s="3047" t="s">
        <v>2546</v>
      </c>
      <c r="E41" s="3048"/>
      <c r="F41" s="3049"/>
      <c r="G41" s="3050"/>
      <c r="I41" s="3057">
        <v>40</v>
      </c>
      <c r="J41" s="3057">
        <v>100</v>
      </c>
      <c r="K41" s="3057">
        <f t="shared" si="3"/>
        <v>2.7999999999999972</v>
      </c>
    </row>
    <row r="42" spans="1:13">
      <c r="A42" s="3045" t="s">
        <v>2547</v>
      </c>
      <c r="B42" s="3046" t="s">
        <v>2548</v>
      </c>
      <c r="C42" s="3047" t="s">
        <v>2549</v>
      </c>
      <c r="D42" s="3051" t="s">
        <v>2550</v>
      </c>
      <c r="E42" s="3043" t="s">
        <v>2551</v>
      </c>
      <c r="F42" s="3043"/>
      <c r="G42" s="3044"/>
    </row>
    <row r="43" spans="1:13">
      <c r="A43" s="3045" t="s">
        <v>2552</v>
      </c>
      <c r="B43" s="3046" t="s">
        <v>2553</v>
      </c>
      <c r="C43" s="3047" t="s">
        <v>2554</v>
      </c>
      <c r="D43" s="3047" t="s">
        <v>2555</v>
      </c>
      <c r="E43" s="3048" t="s">
        <v>2556</v>
      </c>
      <c r="F43" s="3049"/>
      <c r="G43" s="3050"/>
      <c r="I43" s="3057" t="s">
        <v>2564</v>
      </c>
      <c r="J43" s="3057" t="s">
        <v>2575</v>
      </c>
    </row>
    <row r="44" spans="1:13">
      <c r="A44" s="3045" t="s">
        <v>2557</v>
      </c>
      <c r="B44" s="3046" t="s">
        <v>2558</v>
      </c>
      <c r="C44" s="3047" t="s">
        <v>2559</v>
      </c>
      <c r="D44" s="3051">
        <v>0.5</v>
      </c>
      <c r="E44" s="3048" t="s">
        <v>2560</v>
      </c>
      <c r="F44" s="3049"/>
      <c r="G44" s="3050"/>
      <c r="I44" s="3057">
        <v>30</v>
      </c>
      <c r="J44" s="3057">
        <v>81.7</v>
      </c>
    </row>
    <row r="45" spans="1:13" ht="14.25" thickBot="1">
      <c r="A45" s="3052" t="s">
        <v>2561</v>
      </c>
      <c r="B45" s="3053" t="s">
        <v>2548</v>
      </c>
      <c r="C45" s="3054" t="s">
        <v>2548</v>
      </c>
      <c r="D45" s="3054" t="s">
        <v>2562</v>
      </c>
      <c r="E45" s="3055" t="s">
        <v>2563</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Normal="100" zoomScaleSheetLayoutView="100" workbookViewId="0">
      <selection activeCell="J14" sqref="J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37" t="str">
        <f>IF(B10="北京市","北京市",C10)&amp;F10&amp;IF(结果表!G1="在建","出让国有建设用地使用权及在建建筑物",IF(结果表!G1="土地","出让国有建设用地使用权",))&amp;B9&amp;"预评估"</f>
        <v>北京市房地产抵押价值预评估</v>
      </c>
      <c r="C1" s="3538"/>
      <c r="D1" s="3538"/>
      <c r="E1" s="3538"/>
      <c r="F1" s="3538"/>
      <c r="G1" s="3538"/>
      <c r="H1" s="3538"/>
      <c r="I1" s="3539"/>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45526</v>
      </c>
      <c r="C3" s="2373" t="s">
        <v>2171</v>
      </c>
      <c r="D3" s="2372">
        <f>B3</f>
        <v>45526</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3416</v>
      </c>
      <c r="C8" s="2389"/>
      <c r="D8" s="3540" t="s">
        <v>2177</v>
      </c>
      <c r="E8" s="2390" t="s">
        <v>3417</v>
      </c>
      <c r="F8" s="2391"/>
      <c r="G8" s="2662"/>
      <c r="H8" s="2662"/>
      <c r="I8" s="2662"/>
      <c r="J8" s="2438"/>
      <c r="K8" s="2613"/>
      <c r="L8" s="2612"/>
      <c r="M8" s="2612"/>
      <c r="N8" s="2438"/>
      <c r="O8" s="2449"/>
      <c r="P8" s="2438"/>
      <c r="Q8" s="2438"/>
      <c r="R8" s="2438"/>
    </row>
    <row r="9" spans="1:30" ht="13.5" thickBot="1">
      <c r="A9" s="2392" t="s">
        <v>2178</v>
      </c>
      <c r="B9" s="2393" t="s">
        <v>3417</v>
      </c>
      <c r="C9" s="2394"/>
      <c r="D9" s="3541"/>
      <c r="E9" s="2393" t="s">
        <v>587</v>
      </c>
      <c r="F9" s="2395"/>
      <c r="G9" s="2664"/>
      <c r="H9" s="2664"/>
      <c r="I9" s="2664"/>
      <c r="J9" s="2438"/>
      <c r="K9" s="2615"/>
      <c r="L9" s="2612"/>
      <c r="M9" s="2612"/>
      <c r="N9" s="2438"/>
      <c r="O9" s="2449"/>
      <c r="P9" s="2438"/>
      <c r="Q9" s="2438"/>
      <c r="R9" s="2438"/>
    </row>
    <row r="10" spans="1:30" ht="13.5" thickTop="1">
      <c r="A10" s="2396" t="s">
        <v>2179</v>
      </c>
      <c r="B10" s="2397" t="s">
        <v>3414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3415</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v>50739</v>
      </c>
      <c r="E13" s="856">
        <v>54392</v>
      </c>
      <c r="F13" s="856">
        <v>54392</v>
      </c>
      <c r="G13" s="856"/>
      <c r="H13" s="856"/>
      <c r="I13" s="856"/>
      <c r="J13" s="3061"/>
      <c r="K13" s="2612"/>
      <c r="L13" s="2612"/>
      <c r="M13" s="2438"/>
      <c r="N13" s="2449"/>
      <c r="O13" s="2438"/>
      <c r="P13" s="2438"/>
      <c r="Q13" s="2438"/>
      <c r="AD13" s="1744"/>
    </row>
    <row r="14" spans="1:30">
      <c r="A14" s="1081"/>
      <c r="B14" s="2406" t="s">
        <v>2191</v>
      </c>
      <c r="C14" s="2407"/>
      <c r="D14" s="2407">
        <v>40</v>
      </c>
      <c r="E14" s="2407">
        <v>50</v>
      </c>
      <c r="F14" s="2407">
        <v>50</v>
      </c>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14.28</v>
      </c>
      <c r="E15" s="2409">
        <f>IF(A13="出让",IF(E13="","",ROUNDDOWN(MIN((E13-$D$3)/365,E14),2)),E14)</f>
        <v>24.29</v>
      </c>
      <c r="F15" s="2409">
        <f>IF(A13="出让",IF(F13="","",ROUNDDOWN(MIN((F13-$D$3)/365,F14),2)),F14)</f>
        <v>24.29</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47"/>
      <c r="C16" s="3548"/>
      <c r="D16" s="3549"/>
      <c r="E16" s="2412" t="s">
        <v>2194</v>
      </c>
      <c r="F16" s="3550"/>
      <c r="G16" s="3551"/>
      <c r="H16" s="3551"/>
      <c r="I16" s="3552"/>
      <c r="J16" s="2438"/>
      <c r="K16" s="2616"/>
      <c r="L16" s="2450"/>
      <c r="M16" s="2450"/>
      <c r="N16" s="2508"/>
      <c r="O16" s="2450"/>
      <c r="P16" s="2508"/>
      <c r="Q16" s="2438"/>
      <c r="R16" s="2438"/>
    </row>
    <row r="17" spans="1:28">
      <c r="A17" s="313" t="s">
        <v>2195</v>
      </c>
      <c r="B17" s="302" t="s">
        <v>2196</v>
      </c>
      <c r="C17" s="8">
        <f>'数据-汇总表'!E3</f>
        <v>17457.32</v>
      </c>
      <c r="D17" s="2321" t="s">
        <v>2197</v>
      </c>
      <c r="E17" s="3553" t="s">
        <v>2198</v>
      </c>
      <c r="F17" s="3554"/>
      <c r="G17" s="3554"/>
      <c r="H17" s="3554"/>
      <c r="I17" s="3555"/>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3862.4</v>
      </c>
      <c r="D18" s="1092" t="s">
        <v>2201</v>
      </c>
      <c r="E18" s="3556" t="s">
        <v>2202</v>
      </c>
      <c r="F18" s="3557"/>
      <c r="G18" s="3557"/>
      <c r="H18" s="3557"/>
      <c r="I18" s="3558"/>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3" t="s">
        <v>2206</v>
      </c>
      <c r="C20" s="3544"/>
      <c r="D20" s="3545" t="s">
        <v>2207</v>
      </c>
      <c r="E20" s="3546"/>
      <c r="F20" s="2646" t="s">
        <v>1056</v>
      </c>
      <c r="G20" s="2663"/>
      <c r="H20" s="2663"/>
      <c r="I20" s="2663"/>
      <c r="J20" s="2438"/>
      <c r="K20" s="354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0"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1"/>
      <c r="B30" s="302" t="s">
        <v>2218</v>
      </c>
      <c r="C30" s="3532"/>
      <c r="D30" s="3533"/>
      <c r="E30" s="2663"/>
      <c r="F30" s="2663"/>
      <c r="G30" s="2663"/>
      <c r="H30" s="2663"/>
      <c r="I30" s="2663"/>
      <c r="J30" s="2438"/>
      <c r="K30" s="2615"/>
      <c r="L30" s="2612"/>
      <c r="M30" s="2612"/>
      <c r="N30" s="2438"/>
      <c r="O30" s="2449"/>
      <c r="P30" s="2438"/>
      <c r="Q30" s="2438"/>
      <c r="R30" s="2438"/>
      <c r="S30" s="2438"/>
      <c r="T30" s="2438"/>
      <c r="U30" s="2438"/>
      <c r="V30" s="2438"/>
    </row>
    <row r="31" spans="1:28">
      <c r="A31" s="3534"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5"/>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5"/>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9" t="s">
        <v>2228</v>
      </c>
      <c r="T34" s="2427" t="str">
        <f>NUMBERSTRING(7-K34,1)&amp;"通"</f>
        <v>七通</v>
      </c>
      <c r="U34" s="2438"/>
      <c r="V34" s="2438"/>
    </row>
    <row r="35" spans="1:30">
      <c r="A35" s="2428"/>
      <c r="B35" s="3536" t="s">
        <v>2229</v>
      </c>
      <c r="C35" s="3536"/>
      <c r="D35" s="3536"/>
      <c r="E35" s="353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t="s">
        <v>296</v>
      </c>
      <c r="C37" s="2430" t="s">
        <v>296</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169</v>
      </c>
      <c r="C38" s="2431" t="s">
        <v>169</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f>面积取值!D3+面积取值!D4</f>
        <v>3862.4000000000005</v>
      </c>
      <c r="B3" s="11">
        <f>IF(C3="否",G5-AT5,G5)</f>
        <v>17457.32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17457.32</v>
      </c>
      <c r="H5" s="13">
        <f t="shared" ref="H5:AT5" si="0">SUM(H13:H656)</f>
        <v>17457.32</v>
      </c>
      <c r="I5" s="13">
        <f t="shared" si="0"/>
        <v>9577.27</v>
      </c>
      <c r="J5" s="13">
        <f t="shared" si="0"/>
        <v>0</v>
      </c>
      <c r="K5" s="13">
        <f t="shared" si="0"/>
        <v>7880.05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17457.32</v>
      </c>
      <c r="BA5" s="15">
        <f t="shared" si="1"/>
        <v>17457.32</v>
      </c>
      <c r="BB5" s="15">
        <f t="shared" si="1"/>
        <v>9577.27</v>
      </c>
      <c r="BC5" s="15">
        <f t="shared" si="1"/>
        <v>7880.05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3862.3999999999996</v>
      </c>
      <c r="F6" s="13" t="s">
        <v>0</v>
      </c>
      <c r="G6" s="13" t="s">
        <v>1</v>
      </c>
      <c r="H6" s="17">
        <f>SUMIF(I$12:AB$12,"总值",I6:AB6)</f>
        <v>3862.3999999999996</v>
      </c>
      <c r="I6" s="13">
        <f t="shared" ref="I6:AB6" si="2">ROUND($A$3*I5/$B$3,2)</f>
        <v>2118.9499999999998</v>
      </c>
      <c r="J6" s="13">
        <f t="shared" si="2"/>
        <v>0</v>
      </c>
      <c r="K6" s="13">
        <f t="shared" si="2"/>
        <v>1743.45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3862.4</v>
      </c>
      <c r="AZ6" s="13" t="s">
        <v>2</v>
      </c>
      <c r="BA6" s="13">
        <f>ROUND($AY$6*BA5/$AZ$5,2)</f>
        <v>3862.4</v>
      </c>
      <c r="BB6" s="13">
        <f>ROUND($AY$6*BB5/$AZ$5,2)</f>
        <v>2118.9499999999998</v>
      </c>
      <c r="BC6" s="13">
        <f t="shared" ref="BC6:BH6" si="4">ROUND($AY$6*BC5/$AZ$5,2)</f>
        <v>1743.45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3419</v>
      </c>
      <c r="J9" s="809"/>
      <c r="K9" s="1602" t="s">
        <v>3420</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2" t="s">
        <v>21</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办公</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2437" t="str">
        <f>面积取值!B24</f>
        <v>1层</v>
      </c>
      <c r="D13" s="1624" t="s">
        <v>3418</v>
      </c>
      <c r="E13" s="13">
        <f>IF($C$3="是",ROUND($A$3*G13/$B$3,2),ROUND($A$3*(G13-AT13)/$B$3,2))</f>
        <v>1025.75</v>
      </c>
      <c r="F13" s="29"/>
      <c r="G13" s="30">
        <f>H13+AC13+AT13</f>
        <v>4636.1900000000005</v>
      </c>
      <c r="H13" s="17">
        <f>SUMIF(I$12:AB$12,"总值",I13:AB13)</f>
        <v>4636.1900000000005</v>
      </c>
      <c r="I13" s="1625">
        <f>面积取值!C24</f>
        <v>4636.1900000000005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v>
      </c>
      <c r="AY13" s="1348">
        <f>ROUND($AY$6*AZ13/$AZ$5,2)</f>
        <v>1025.75</v>
      </c>
      <c r="AZ13" s="13">
        <f>BA13+BL13</f>
        <v>4636.1900000000005</v>
      </c>
      <c r="BA13" s="13">
        <f>SUM(BB13:BK13)</f>
        <v>4636.1900000000005</v>
      </c>
      <c r="BB13" s="13">
        <f>IF($D13="是",I13-J13,0)</f>
        <v>4636.1900000000005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2437" t="str">
        <f>面积取值!B25</f>
        <v>2层</v>
      </c>
      <c r="D14" s="1624" t="s">
        <v>3418</v>
      </c>
      <c r="E14" s="13">
        <f>IF($C$3="是",ROUND($A$3*G14/$B$3,2),ROUND($A$3*(G14-AT14)/$B$3,2))</f>
        <v>546.6</v>
      </c>
      <c r="F14" s="29"/>
      <c r="G14" s="30">
        <f>H14+AC14+AT14</f>
        <v>2470.54</v>
      </c>
      <c r="H14" s="17">
        <f>SUMIF(I$12:AB$12,"总值",I14:AB14)</f>
        <v>2470.54</v>
      </c>
      <c r="I14" s="1625">
        <f>面积取值!C25</f>
        <v>2470.54</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v>
      </c>
      <c r="AY14" s="1348">
        <f>ROUND($AY$6*AZ14/$AZ$5,2)</f>
        <v>546.6</v>
      </c>
      <c r="AZ14" s="13">
        <f>BA14+BL14</f>
        <v>2470.54</v>
      </c>
      <c r="BA14" s="13">
        <f>SUM(BB14:BK14)</f>
        <v>2470.54</v>
      </c>
      <c r="BB14" s="13">
        <f>IF($D14="是",I14-J14,0)</f>
        <v>2470.54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2437" t="str">
        <f>面积取值!B26</f>
        <v>3层</v>
      </c>
      <c r="D15" s="1624" t="s">
        <v>3418</v>
      </c>
      <c r="E15" s="13">
        <f>IF($C$3="是",ROUND($A$3*G15/$B$3,2),ROUND($A$3*(G15-AT15)/$B$3,2))</f>
        <v>546.6</v>
      </c>
      <c r="F15" s="29"/>
      <c r="G15" s="30">
        <f>H15+AC15+AT15</f>
        <v>2470.54</v>
      </c>
      <c r="H15" s="17">
        <f>SUMIF(I$12:AB$12,"总值",I15:AB15)</f>
        <v>2470.54</v>
      </c>
      <c r="I15" s="1625">
        <f>面积取值!C26</f>
        <v>2470.54</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v>
      </c>
      <c r="AY15" s="1348">
        <f>ROUND($AY$6*AZ15/$AZ$5,2)</f>
        <v>546.6</v>
      </c>
      <c r="AZ15" s="13">
        <f>BA15+BL15</f>
        <v>2470.54</v>
      </c>
      <c r="BA15" s="13">
        <f>SUM(BB15:BK15)</f>
        <v>2470.54</v>
      </c>
      <c r="BB15" s="13">
        <f>IF($D15="是",I15-J15,0)</f>
        <v>2470.54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2437" t="str">
        <f>面积取值!B27</f>
        <v>-1层</v>
      </c>
      <c r="D16" s="1624" t="s">
        <v>3418</v>
      </c>
      <c r="E16" s="13">
        <f>IF($C$3="是",ROUND($A$3*G16/$B$3,2),ROUND($A$3*(G16-AT16)/$B$3,2))</f>
        <v>1257.56</v>
      </c>
      <c r="F16" s="29"/>
      <c r="G16" s="30">
        <f>H16+AC16+AT16</f>
        <v>5683.93</v>
      </c>
      <c r="H16" s="17">
        <f>SUMIF(I$12:AB$12,"总值",I16:AB16)</f>
        <v>5683.93</v>
      </c>
      <c r="I16" s="1625"/>
      <c r="J16" s="1625"/>
      <c r="K16" s="1625">
        <f>面积取值!C27</f>
        <v>5683.93</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-1层</v>
      </c>
      <c r="AY16" s="1348">
        <f>ROUND($AY$6*AZ16/$AZ$5,2)</f>
        <v>1257.56</v>
      </c>
      <c r="AZ16" s="13">
        <f>BA16+BL16</f>
        <v>5683.93</v>
      </c>
      <c r="BA16" s="13">
        <f>SUM(BB16:BK16)</f>
        <v>5683.93</v>
      </c>
      <c r="BB16" s="13">
        <f>IF($D16="是",I16-J16,0)</f>
        <v>0</v>
      </c>
      <c r="BC16" s="13">
        <f>IF($D16="是",K16-L16,0)</f>
        <v>5683.93</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2437" t="str">
        <f>面积取值!B28</f>
        <v>-2层</v>
      </c>
      <c r="D17" s="1624" t="s">
        <v>3418</v>
      </c>
      <c r="E17" s="13">
        <f>IF($C$3="是",ROUND($A$3*G17/$B$3,2),ROUND($A$3*(G17-AT17)/$B$3,2))</f>
        <v>485.89</v>
      </c>
      <c r="F17" s="29"/>
      <c r="G17" s="30">
        <f>H17+AC17+AT17</f>
        <v>2196.12</v>
      </c>
      <c r="H17" s="17">
        <f>SUMIF(I$12:AB$12,"总值",I17:AB17)</f>
        <v>2196.12</v>
      </c>
      <c r="I17" s="1625"/>
      <c r="J17" s="1625"/>
      <c r="K17" s="1625">
        <f>面积取值!C28</f>
        <v>2196.12</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-2层</v>
      </c>
      <c r="AY17" s="1348">
        <f>ROUND($AY$6*AZ17/$AZ$5,2)</f>
        <v>485.89</v>
      </c>
      <c r="AZ17" s="13">
        <f>BA17+BL17</f>
        <v>2196.12</v>
      </c>
      <c r="BA17" s="13">
        <f>SUM(BB17:BK17)</f>
        <v>2196.12</v>
      </c>
      <c r="BB17" s="13">
        <f>IF($D17="是",I17-J17,0)</f>
        <v>0</v>
      </c>
      <c r="BC17" s="13">
        <f>IF($D17="是",K17-L17,0)</f>
        <v>2196.12</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437"/>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
  <sheetViews>
    <sheetView workbookViewId="0">
      <selection activeCell="J36" sqref="J36"/>
    </sheetView>
  </sheetViews>
  <sheetFormatPr defaultRowHeight="13.5"/>
  <cols>
    <col min="1" max="2" width="10.875" customWidth="1"/>
    <col min="3" max="4" width="13.5" customWidth="1"/>
    <col min="5" max="5" width="10.75" customWidth="1"/>
    <col min="6" max="6" width="9.25" customWidth="1"/>
    <col min="7" max="7" width="10.25" customWidth="1"/>
    <col min="8" max="8" width="11.625" bestFit="1" customWidth="1"/>
  </cols>
  <sheetData>
    <row r="1" spans="1:8">
      <c r="A1" s="3449" t="s">
        <v>3383</v>
      </c>
      <c r="F1" s="3253"/>
      <c r="G1" s="3253"/>
    </row>
    <row r="2" spans="1:8" s="3460" customFormat="1">
      <c r="A2" s="3461"/>
      <c r="B2" s="3461" t="s">
        <v>3383</v>
      </c>
      <c r="C2" s="3462"/>
      <c r="D2" s="3461" t="s">
        <v>3385</v>
      </c>
      <c r="E2" s="3461" t="s">
        <v>3389</v>
      </c>
      <c r="F2" s="3459"/>
      <c r="G2" s="3451" t="s">
        <v>3407</v>
      </c>
      <c r="H2" s="3464" t="s">
        <v>3409</v>
      </c>
    </row>
    <row r="3" spans="1:8">
      <c r="A3" s="3455">
        <v>1</v>
      </c>
      <c r="B3" s="3454" t="s">
        <v>3388</v>
      </c>
      <c r="C3" s="3454" t="s">
        <v>3384</v>
      </c>
      <c r="D3" s="3455">
        <v>1268.1400000000001</v>
      </c>
      <c r="E3" s="3455">
        <v>5731.73</v>
      </c>
      <c r="F3" s="3253"/>
      <c r="G3" s="3451" t="s">
        <v>3386</v>
      </c>
      <c r="H3" s="3452">
        <v>54392</v>
      </c>
    </row>
    <row r="4" spans="1:8">
      <c r="A4" s="3455">
        <v>2</v>
      </c>
      <c r="B4" s="3454" t="s">
        <v>3387</v>
      </c>
      <c r="C4" s="3454" t="s">
        <v>3384</v>
      </c>
      <c r="D4" s="3455">
        <v>2594.2600000000002</v>
      </c>
      <c r="E4" s="3455">
        <v>11725.6</v>
      </c>
      <c r="F4" s="3253"/>
      <c r="G4" s="3253"/>
    </row>
    <row r="5" spans="1:8">
      <c r="A5" s="3253"/>
      <c r="B5" s="3253"/>
      <c r="C5" s="3253"/>
      <c r="D5" s="3253"/>
      <c r="E5" s="3253"/>
      <c r="F5" s="3253"/>
      <c r="G5" s="3253"/>
    </row>
    <row r="6" spans="1:8">
      <c r="A6" s="3253"/>
      <c r="B6" s="3253"/>
      <c r="C6" s="3253"/>
      <c r="D6" s="3253"/>
      <c r="E6" s="3253"/>
      <c r="F6" s="3253"/>
      <c r="G6" s="3253"/>
    </row>
    <row r="7" spans="1:8">
      <c r="A7" s="3253"/>
      <c r="B7" s="3253"/>
      <c r="C7" s="3253"/>
      <c r="D7" s="3253"/>
      <c r="E7" s="3253"/>
      <c r="F7" s="3253"/>
      <c r="G7" s="3253"/>
    </row>
    <row r="8" spans="1:8">
      <c r="A8" s="3449" t="s">
        <v>3391</v>
      </c>
      <c r="B8" s="3449" t="s">
        <v>3392</v>
      </c>
      <c r="C8" s="3449" t="s">
        <v>3394</v>
      </c>
      <c r="D8" s="3449" t="s">
        <v>3396</v>
      </c>
      <c r="E8" s="3253"/>
      <c r="F8" s="3253"/>
      <c r="G8" s="3253"/>
    </row>
    <row r="9" spans="1:8">
      <c r="A9" s="3559" t="s">
        <v>3390</v>
      </c>
      <c r="B9" s="3453" t="s">
        <v>3393</v>
      </c>
      <c r="C9" s="3454" t="s">
        <v>3395</v>
      </c>
      <c r="D9" s="3455">
        <v>117</v>
      </c>
      <c r="E9" s="3478">
        <v>2336.59</v>
      </c>
      <c r="F9" s="3253"/>
      <c r="G9" s="3253"/>
    </row>
    <row r="10" spans="1:8">
      <c r="A10" s="3559"/>
      <c r="B10" s="3453" t="s">
        <v>3397</v>
      </c>
      <c r="C10" s="3455"/>
      <c r="D10" s="3455">
        <v>144</v>
      </c>
      <c r="E10" s="3455">
        <v>2885.39</v>
      </c>
    </row>
    <row r="11" spans="1:8">
      <c r="A11" s="3559"/>
      <c r="B11" s="3456"/>
      <c r="C11" s="3455"/>
      <c r="D11" s="3455"/>
      <c r="E11" s="3455">
        <v>509.75</v>
      </c>
    </row>
    <row r="12" spans="1:8" s="3458" customFormat="1">
      <c r="A12" s="3559"/>
      <c r="B12" s="3457" t="s">
        <v>3398</v>
      </c>
      <c r="C12" s="3457"/>
      <c r="D12" s="3457"/>
      <c r="E12" s="3457">
        <f>SUM(E9:E11)</f>
        <v>5731.73</v>
      </c>
    </row>
    <row r="13" spans="1:8">
      <c r="A13" s="3559" t="s">
        <v>3403</v>
      </c>
      <c r="B13" s="3453" t="s">
        <v>3399</v>
      </c>
      <c r="C13" s="3454" t="s">
        <v>3395</v>
      </c>
      <c r="D13" s="3455">
        <v>153</v>
      </c>
      <c r="E13" s="3455">
        <v>2299.6</v>
      </c>
    </row>
    <row r="14" spans="1:8">
      <c r="A14" s="3559"/>
      <c r="B14" s="3453" t="s">
        <v>3399</v>
      </c>
      <c r="C14" s="3454" t="s">
        <v>3400</v>
      </c>
      <c r="D14" s="3455">
        <v>165</v>
      </c>
      <c r="E14" s="3455">
        <v>2470.54</v>
      </c>
    </row>
    <row r="15" spans="1:8">
      <c r="A15" s="3559"/>
      <c r="B15" s="3453" t="s">
        <v>3399</v>
      </c>
      <c r="C15" s="3454" t="s">
        <v>3401</v>
      </c>
      <c r="D15" s="3455">
        <v>165</v>
      </c>
      <c r="E15" s="3455">
        <v>2470.54</v>
      </c>
    </row>
    <row r="16" spans="1:8">
      <c r="A16" s="3559"/>
      <c r="B16" s="3453" t="s">
        <v>3397</v>
      </c>
      <c r="C16" s="3455"/>
      <c r="D16" s="3455">
        <v>150</v>
      </c>
      <c r="E16" s="3455">
        <v>2288.79</v>
      </c>
    </row>
    <row r="17" spans="1:7">
      <c r="A17" s="3559"/>
      <c r="B17" s="3453" t="s">
        <v>3402</v>
      </c>
      <c r="C17" s="3455"/>
      <c r="D17" s="3455">
        <v>147</v>
      </c>
      <c r="E17" s="3455">
        <v>2196.12</v>
      </c>
    </row>
    <row r="18" spans="1:7" s="3458" customFormat="1">
      <c r="A18" s="3559"/>
      <c r="B18" s="3457" t="s">
        <v>3398</v>
      </c>
      <c r="C18" s="3457"/>
      <c r="D18" s="3457"/>
      <c r="E18" s="3457">
        <f>SUM(E13:E17)</f>
        <v>11725.59</v>
      </c>
    </row>
    <row r="22" spans="1:7">
      <c r="D22" s="3467" t="s">
        <v>3410</v>
      </c>
    </row>
    <row r="23" spans="1:7">
      <c r="B23" s="3450"/>
      <c r="C23" s="3461" t="s">
        <v>3389</v>
      </c>
      <c r="D23" s="3465" t="s">
        <v>3406</v>
      </c>
      <c r="E23" s="3461" t="s">
        <v>3412</v>
      </c>
      <c r="F23" s="3461" t="s">
        <v>3411</v>
      </c>
      <c r="G23" s="3461"/>
    </row>
    <row r="24" spans="1:7">
      <c r="B24" s="3453" t="s">
        <v>3395</v>
      </c>
      <c r="C24" s="3463">
        <f>E9+E13</f>
        <v>4636.1900000000005</v>
      </c>
      <c r="D24" s="3466">
        <v>5578.72</v>
      </c>
      <c r="E24" s="3463">
        <v>8.7200000000000006</v>
      </c>
      <c r="F24" s="3463">
        <v>1</v>
      </c>
      <c r="G24" s="3463">
        <f>E24</f>
        <v>8.7200000000000006</v>
      </c>
    </row>
    <row r="25" spans="1:7">
      <c r="B25" s="3453" t="s">
        <v>3400</v>
      </c>
      <c r="C25" s="3463">
        <f>E14</f>
        <v>2470.54</v>
      </c>
      <c r="D25" s="3466">
        <v>2008.35</v>
      </c>
      <c r="E25" s="3463">
        <v>5.05</v>
      </c>
      <c r="F25" s="3463">
        <v>0.7</v>
      </c>
      <c r="G25" s="3463">
        <f>$G$24*F25</f>
        <v>6.1040000000000001</v>
      </c>
    </row>
    <row r="26" spans="1:7">
      <c r="B26" s="3453" t="s">
        <v>3401</v>
      </c>
      <c r="C26" s="3463">
        <f>E15</f>
        <v>2470.54</v>
      </c>
      <c r="D26" s="3466">
        <v>3221.55</v>
      </c>
      <c r="E26" s="3463">
        <v>4.04</v>
      </c>
      <c r="F26" s="3463">
        <v>0.6</v>
      </c>
      <c r="G26" s="3463">
        <f>$G$24*F26</f>
        <v>5.2320000000000002</v>
      </c>
    </row>
    <row r="27" spans="1:7">
      <c r="B27" s="3453" t="s">
        <v>3404</v>
      </c>
      <c r="C27" s="3463">
        <f>E10+E16+E11</f>
        <v>5683.93</v>
      </c>
      <c r="D27" s="3466">
        <v>5455.72</v>
      </c>
      <c r="E27" s="3463">
        <v>4.5999999999999996</v>
      </c>
      <c r="F27" s="3463">
        <v>0.5</v>
      </c>
      <c r="G27" s="3463">
        <f>$G$24*F27</f>
        <v>4.3600000000000003</v>
      </c>
    </row>
    <row r="28" spans="1:7">
      <c r="B28" s="3453" t="s">
        <v>3405</v>
      </c>
      <c r="C28" s="3463">
        <f>E17</f>
        <v>2196.12</v>
      </c>
      <c r="D28" s="3466" t="s">
        <v>3413</v>
      </c>
      <c r="E28" s="3463">
        <f>G17</f>
        <v>0</v>
      </c>
      <c r="F28" s="3463">
        <f>H17</f>
        <v>0</v>
      </c>
      <c r="G28" s="3463">
        <v>1</v>
      </c>
    </row>
    <row r="29" spans="1:7">
      <c r="B29" s="3453"/>
      <c r="C29" s="3463">
        <f>SUM(C24:C28)</f>
        <v>17457.32</v>
      </c>
      <c r="D29" s="3466">
        <f>SUM(D24:D28)</f>
        <v>16264.34</v>
      </c>
      <c r="E29" s="3463"/>
      <c r="F29" s="3463">
        <f>SUM(F24:F28)</f>
        <v>2.8</v>
      </c>
      <c r="G29" s="3480">
        <f>SUMPRODUCT(G24:G28,C24:C28)/C29</f>
        <v>5.4654249930688108</v>
      </c>
    </row>
    <row r="31" spans="1:7">
      <c r="D31" s="3448" t="s">
        <v>3413</v>
      </c>
      <c r="E31">
        <f>C28/40</f>
        <v>54.902999999999999</v>
      </c>
      <c r="F31">
        <v>1000</v>
      </c>
      <c r="G31">
        <f>E31*F31*12/365/C28</f>
        <v>0.82191780821917815</v>
      </c>
    </row>
    <row r="34" spans="2:8" s="3468" customFormat="1"/>
    <row r="35" spans="2:8" s="3468" customFormat="1">
      <c r="B35" s="3468" t="s">
        <v>3435</v>
      </c>
    </row>
    <row r="36" spans="2:8" s="3468" customFormat="1">
      <c r="B36" s="3469"/>
      <c r="C36" s="3470" t="s">
        <v>3436</v>
      </c>
      <c r="D36" s="3470" t="s">
        <v>3437</v>
      </c>
      <c r="E36" s="3470" t="s">
        <v>3438</v>
      </c>
      <c r="F36" s="3469"/>
      <c r="G36" s="3471" t="s">
        <v>3439</v>
      </c>
    </row>
    <row r="37" spans="2:8" s="3468" customFormat="1">
      <c r="B37" s="3472" t="s">
        <v>3440</v>
      </c>
      <c r="C37" s="3473">
        <f>C38+C39</f>
        <v>17457.32</v>
      </c>
      <c r="D37" s="3473">
        <f>E37/C37</f>
        <v>3538.1957253461587</v>
      </c>
      <c r="E37" s="3473">
        <f>E38+E39</f>
        <v>61767415</v>
      </c>
      <c r="F37" s="3469"/>
      <c r="G37" s="3474">
        <v>1</v>
      </c>
    </row>
    <row r="38" spans="2:8" s="3468" customFormat="1">
      <c r="B38" s="3470" t="s">
        <v>3419</v>
      </c>
      <c r="C38" s="3475">
        <f>C24+C25+C26</f>
        <v>9577.27</v>
      </c>
      <c r="D38" s="3469">
        <v>2500</v>
      </c>
      <c r="E38" s="3469">
        <f>D38*C38</f>
        <v>23943175</v>
      </c>
      <c r="F38" s="3469"/>
      <c r="G38" s="3469"/>
    </row>
    <row r="39" spans="2:8" s="3468" customFormat="1">
      <c r="B39" s="3470" t="s">
        <v>3420</v>
      </c>
      <c r="C39" s="3475">
        <f>C27+C28</f>
        <v>7880.05</v>
      </c>
      <c r="D39" s="3469">
        <v>4800</v>
      </c>
      <c r="E39" s="3469">
        <f t="shared" ref="E39:E42" si="0">D39*C39</f>
        <v>37824240</v>
      </c>
      <c r="F39" s="3469"/>
      <c r="G39" s="3469"/>
    </row>
    <row r="40" spans="2:8" s="3468" customFormat="1">
      <c r="B40" s="3472" t="s">
        <v>3441</v>
      </c>
      <c r="C40" s="3473">
        <f>C37</f>
        <v>17457.32</v>
      </c>
      <c r="D40" s="3473">
        <v>1000</v>
      </c>
      <c r="E40" s="3473">
        <f t="shared" si="0"/>
        <v>17457320</v>
      </c>
      <c r="F40" s="3469"/>
      <c r="G40" s="3474">
        <v>1</v>
      </c>
    </row>
    <row r="41" spans="2:8" s="3468" customFormat="1">
      <c r="B41" s="3472" t="s">
        <v>3442</v>
      </c>
      <c r="C41" s="3473">
        <f>C37</f>
        <v>17457.32</v>
      </c>
      <c r="D41" s="3473">
        <v>1500</v>
      </c>
      <c r="E41" s="3473">
        <f t="shared" si="0"/>
        <v>26185980</v>
      </c>
      <c r="F41" s="3469"/>
      <c r="G41" s="3474">
        <v>1</v>
      </c>
    </row>
    <row r="42" spans="2:8" s="3468" customFormat="1">
      <c r="B42" s="3472" t="s">
        <v>3443</v>
      </c>
      <c r="C42" s="3473">
        <v>0</v>
      </c>
      <c r="D42" s="3473">
        <f>D39</f>
        <v>4800</v>
      </c>
      <c r="E42" s="3473">
        <f t="shared" si="0"/>
        <v>0</v>
      </c>
      <c r="F42" s="3469"/>
      <c r="G42" s="3469"/>
    </row>
    <row r="43" spans="2:8" s="3468" customFormat="1">
      <c r="B43" s="3470" t="s">
        <v>3444</v>
      </c>
      <c r="C43" s="3469">
        <f>C37</f>
        <v>17457.32</v>
      </c>
      <c r="D43" s="3469">
        <f>E43/C43</f>
        <v>6038.1957253461587</v>
      </c>
      <c r="E43" s="3469">
        <f>E37+E40+E41+E42</f>
        <v>105410715</v>
      </c>
      <c r="F43" s="3469"/>
      <c r="G43" s="3472">
        <f>(G37*E37+G40*E40+G41*E41)/E43</f>
        <v>1</v>
      </c>
    </row>
    <row r="44" spans="2:8" s="3468" customFormat="1"/>
    <row r="45" spans="2:8" s="3468" customFormat="1"/>
    <row r="46" spans="2:8" s="3468" customFormat="1"/>
    <row r="47" spans="2:8" s="3468" customFormat="1">
      <c r="B47" s="3468" t="s">
        <v>3422</v>
      </c>
    </row>
    <row r="48" spans="2:8" s="3468" customFormat="1">
      <c r="B48" s="3469"/>
      <c r="C48" s="3470" t="s">
        <v>3445</v>
      </c>
      <c r="D48" s="3470"/>
      <c r="E48" s="3470" t="s">
        <v>3446</v>
      </c>
      <c r="F48" s="3470" t="s">
        <v>3427</v>
      </c>
      <c r="G48" s="3470" t="s">
        <v>3447</v>
      </c>
      <c r="H48" s="3471" t="s">
        <v>3422</v>
      </c>
    </row>
    <row r="49" spans="2:8" s="3468" customFormat="1">
      <c r="B49" s="3472" t="s">
        <v>3448</v>
      </c>
      <c r="C49" s="3473">
        <v>1998</v>
      </c>
      <c r="D49" s="3473">
        <v>2024</v>
      </c>
      <c r="E49" s="3473">
        <v>50</v>
      </c>
      <c r="F49" s="3469">
        <v>60</v>
      </c>
      <c r="G49" s="3469">
        <v>0</v>
      </c>
      <c r="H49" s="3476">
        <f>ROUND((1-G49)-(D49-C49)/F49,2)</f>
        <v>0.56999999999999995</v>
      </c>
    </row>
    <row r="50" spans="2:8" s="3468" customFormat="1">
      <c r="B50" s="3470" t="s">
        <v>3449</v>
      </c>
      <c r="C50" s="3475"/>
      <c r="D50" s="3469"/>
      <c r="E50" s="3469"/>
      <c r="F50" s="3469"/>
      <c r="G50" s="3469"/>
      <c r="H50" s="3474">
        <v>0.85</v>
      </c>
    </row>
    <row r="51" spans="2:8" s="3468" customFormat="1">
      <c r="B51" s="3470"/>
      <c r="C51" s="3469"/>
      <c r="D51" s="3469"/>
      <c r="E51" s="3469"/>
      <c r="F51" s="3469"/>
      <c r="G51" s="3469"/>
      <c r="H51" s="3477">
        <f>ROUND((H50+H49)/2,2)</f>
        <v>0.71</v>
      </c>
    </row>
    <row r="52" spans="2:8" s="3468" customFormat="1"/>
  </sheetData>
  <mergeCells count="2">
    <mergeCell ref="A9:A12"/>
    <mergeCell ref="A13:A18"/>
  </mergeCells>
  <phoneticPr fontId="134" type="noConversion"/>
  <pageMargins left="0.7" right="0.7" top="0.75" bottom="0.75" header="0.3" footer="0.3"/>
  <ignoredErrors>
    <ignoredError sqref="C27"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D3" sqref="D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8" t="s">
        <v>1108</v>
      </c>
      <c r="F2" s="2658"/>
      <c r="G2" s="2649"/>
      <c r="H2" s="2650"/>
      <c r="I2" s="2324" t="s">
        <v>1132</v>
      </c>
      <c r="J2" s="2658"/>
      <c r="K2" s="2658"/>
      <c r="L2" s="2658"/>
      <c r="M2" s="2658"/>
      <c r="N2" s="2660"/>
      <c r="O2" s="2658"/>
      <c r="P2" s="2658"/>
    </row>
    <row r="3" spans="1:16" ht="15.75" thickBot="1">
      <c r="A3" s="3570" t="s">
        <v>1105</v>
      </c>
      <c r="B3" s="3570"/>
      <c r="C3" s="3570"/>
      <c r="D3" s="43">
        <f>'数据-基础表'!AY6</f>
        <v>3862.4</v>
      </c>
      <c r="E3" s="43">
        <f>'数据-基础表'!AZ5</f>
        <v>17457.32</v>
      </c>
      <c r="F3" s="2658"/>
      <c r="G3" s="1145"/>
      <c r="H3" s="1026" t="s">
        <v>1106</v>
      </c>
      <c r="I3" s="855">
        <f>ROUND('数据-基础表'!B3/'数据-基础表'!A3,2)</f>
        <v>4.5199999999999996</v>
      </c>
      <c r="J3" s="2658"/>
      <c r="K3" s="2658"/>
      <c r="L3" s="2658"/>
      <c r="M3" s="2658"/>
      <c r="N3" s="2660"/>
      <c r="O3" s="2658"/>
      <c r="P3" s="2658"/>
    </row>
    <row r="4" spans="1:16" ht="15">
      <c r="A4" s="3571"/>
      <c r="B4" s="3572"/>
      <c r="C4" s="3573"/>
      <c r="D4" s="1640" t="s">
        <v>1107</v>
      </c>
      <c r="E4" s="1641" t="s">
        <v>1108</v>
      </c>
      <c r="F4" s="2658"/>
      <c r="G4" s="2651" t="s">
        <v>1133</v>
      </c>
      <c r="H4" s="1026" t="s">
        <v>1113</v>
      </c>
      <c r="I4" s="855">
        <f>ROUND(SUMIF('数据-基础表'!I9:AS9,"地上",'数据-基础表'!I5:AS5)/'数据-基础表'!A3,2)</f>
        <v>2.48</v>
      </c>
      <c r="J4" s="2658"/>
      <c r="K4" s="2658"/>
      <c r="L4" s="2658"/>
      <c r="M4" s="2658"/>
      <c r="N4" s="2660"/>
      <c r="O4" s="2658"/>
      <c r="P4" s="2658"/>
    </row>
    <row r="5" spans="1:16">
      <c r="A5" s="44" t="s">
        <v>1109</v>
      </c>
      <c r="B5" s="3574" t="s">
        <v>1110</v>
      </c>
      <c r="C5" s="3574"/>
      <c r="D5" s="45">
        <f>ROUND($D$3*E5/$E$3,2)</f>
        <v>0</v>
      </c>
      <c r="E5" s="46">
        <f>SUMIF('数据-基础表'!$11:$11,"住宅",'数据-基础表'!$5:$5)</f>
        <v>0</v>
      </c>
      <c r="F5" s="2658"/>
      <c r="G5" s="1145"/>
      <c r="H5" s="1026" t="s">
        <v>1106</v>
      </c>
      <c r="I5" s="855">
        <f>ROUND(E31/D31,2)</f>
        <v>4.5199999999999996</v>
      </c>
      <c r="J5" s="2658"/>
      <c r="K5" s="2658"/>
      <c r="L5" s="2658"/>
      <c r="M5" s="2658"/>
      <c r="N5" s="2658"/>
      <c r="O5" s="2658"/>
      <c r="P5" s="2658"/>
    </row>
    <row r="6" spans="1:16" ht="15" thickBot="1">
      <c r="A6" s="1643"/>
      <c r="B6" s="3574" t="s">
        <v>1111</v>
      </c>
      <c r="C6" s="3574"/>
      <c r="D6" s="45">
        <f>ROUND($D$3*E6/$E$3,2)</f>
        <v>3862.4</v>
      </c>
      <c r="E6" s="46">
        <f>E3-E5</f>
        <v>17457.32</v>
      </c>
      <c r="F6" s="2658"/>
      <c r="G6" s="2652" t="s">
        <v>1112</v>
      </c>
      <c r="H6" s="1146" t="s">
        <v>1113</v>
      </c>
      <c r="I6" s="2653">
        <f>ROUND(F31/D31,2)</f>
        <v>2.48</v>
      </c>
      <c r="J6" s="2658"/>
      <c r="K6" s="2658"/>
      <c r="L6" s="2658"/>
      <c r="M6" s="2658"/>
      <c r="N6" s="2658"/>
      <c r="O6" s="2658"/>
      <c r="P6" s="2658"/>
    </row>
    <row r="7" spans="1:16" ht="15.75" thickBot="1">
      <c r="A7" s="3566"/>
      <c r="B7" s="3567"/>
      <c r="C7" s="3568"/>
      <c r="D7" s="1640" t="s">
        <v>1107</v>
      </c>
      <c r="E7" s="1644" t="s">
        <v>1114</v>
      </c>
      <c r="F7" s="2658"/>
      <c r="G7" s="2654" t="s">
        <v>1115</v>
      </c>
      <c r="H7" s="2655"/>
      <c r="I7" s="2656">
        <f>I6</f>
        <v>2.48</v>
      </c>
      <c r="J7" s="2658"/>
      <c r="K7" s="2658"/>
      <c r="L7" s="2658"/>
      <c r="M7" s="2658"/>
      <c r="N7" s="2658"/>
      <c r="O7" s="2658"/>
      <c r="P7" s="2658"/>
    </row>
    <row r="8" spans="1:16">
      <c r="A8" s="44" t="s">
        <v>1116</v>
      </c>
      <c r="B8" s="47" t="s">
        <v>1117</v>
      </c>
      <c r="C8" s="45" t="s">
        <v>1118</v>
      </c>
      <c r="D8" s="45">
        <f t="shared" ref="D8:D15" si="0">ROUND($D$3*E8/$E$3,2)</f>
        <v>2118.9499999999998</v>
      </c>
      <c r="E8" s="48">
        <f>SUMIF('数据-基础表'!BB10:BK10,"地上",'数据-基础表'!BB5:BK5)</f>
        <v>9577.27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1743.45</v>
      </c>
      <c r="E11" s="48">
        <f>SUMPRODUCT(('数据-基础表'!BB10:BK10="地下")*('数据-基础表'!BB11:BK11="办公")*('数据-基础表'!BB5:BK5))+'数据-基础表'!BP5</f>
        <v>7880.05</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3862.3999999999996</v>
      </c>
      <c r="E16" s="50">
        <f>SUM(E8:E15)</f>
        <v>17457.32</v>
      </c>
      <c r="F16" s="2658"/>
      <c r="G16" s="2659"/>
      <c r="H16" s="1647" t="s">
        <v>1135</v>
      </c>
      <c r="I16" s="1648"/>
      <c r="J16" s="1139"/>
      <c r="K16" s="3563" t="s">
        <v>1135</v>
      </c>
      <c r="L16" s="3564"/>
      <c r="M16" s="3564"/>
      <c r="N16" s="3564"/>
      <c r="O16" s="3564"/>
      <c r="P16" s="3565"/>
    </row>
    <row r="17" spans="1:19" ht="15">
      <c r="A17" s="1649" t="s">
        <v>1136</v>
      </c>
      <c r="B17" s="1650" t="s">
        <v>1137</v>
      </c>
      <c r="C17" s="1651" t="s">
        <v>1138</v>
      </c>
      <c r="D17" s="1652" t="s">
        <v>1126</v>
      </c>
      <c r="E17" s="1653" t="s">
        <v>1127</v>
      </c>
      <c r="F17" s="1654"/>
      <c r="G17" s="1655"/>
      <c r="H17" s="1656" t="s">
        <v>1139</v>
      </c>
      <c r="I17" s="1657" t="s">
        <v>1124</v>
      </c>
      <c r="J17" s="1139"/>
      <c r="K17" s="3560" t="s">
        <v>1140</v>
      </c>
      <c r="L17" s="3561"/>
      <c r="M17" s="3562"/>
      <c r="N17" s="3560" t="s">
        <v>1141</v>
      </c>
      <c r="O17" s="3561"/>
      <c r="P17" s="3562"/>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3421</v>
      </c>
      <c r="D19" s="45">
        <f>ROUND($D$3*E19/$E$3,2)</f>
        <v>3862.4</v>
      </c>
      <c r="E19" s="53">
        <f t="shared" ref="E19:E26" si="1">SUM(F19:G19)</f>
        <v>17457.32</v>
      </c>
      <c r="F19" s="2794">
        <f>'数据-基础表'!I5</f>
        <v>9577.27</v>
      </c>
      <c r="G19" s="2795">
        <f>'数据-基础表'!K5</f>
        <v>7880.05</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3862.4</v>
      </c>
      <c r="S19" s="1027">
        <f t="shared" si="5"/>
        <v>17457.32</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3862.4</v>
      </c>
      <c r="E27" s="1141">
        <f>IF(SUM(E19:E26)='数据-基础表'!BA5,SUM(E19:E26),IF(F27="地上面积有误","面积有误","地下面积有误"))</f>
        <v>17457.32</v>
      </c>
      <c r="F27" s="1140">
        <f>IF(SUM(F19:F26)=E8,SUM(F19:F26),"地上面积有误")</f>
        <v>9577.27</v>
      </c>
      <c r="G27" s="1142">
        <f>SUM(G19:G26)</f>
        <v>7880.05</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3862.4</v>
      </c>
      <c r="S27" s="1026">
        <f>IF(SUM(S19:S26)=$E$3,SUM(S19:S26),SUM(S19:S26)&amp;"误差"&amp;ROUND(SUM(S19:S26)-E3,2))</f>
        <v>17457.32</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3862.4</v>
      </c>
      <c r="E31" s="676">
        <f>E27+E30</f>
        <v>17457.32</v>
      </c>
      <c r="F31" s="677">
        <f>F27+F30</f>
        <v>9577.27</v>
      </c>
      <c r="G31" s="678">
        <f>G27+G30</f>
        <v>7880.05</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8">
      <c r="D33" s="1677"/>
    </row>
    <row r="35" spans="4:8">
      <c r="F35" s="1637">
        <v>4</v>
      </c>
      <c r="G35" s="1637">
        <v>2</v>
      </c>
      <c r="H35" s="1637">
        <v>0.6</v>
      </c>
    </row>
    <row r="36" spans="4:8">
      <c r="E36" s="1637">
        <f>F36+G36+H36</f>
        <v>50994.612000000001</v>
      </c>
      <c r="F36" s="1637">
        <f>F35*F31</f>
        <v>38309.08</v>
      </c>
      <c r="G36" s="1637">
        <f>G35*G38</f>
        <v>11367.86</v>
      </c>
      <c r="H36" s="1637">
        <f>H35*H38</f>
        <v>1317.6719999999998</v>
      </c>
    </row>
    <row r="38" spans="4:8">
      <c r="G38" s="1637">
        <f>面积取值!C27</f>
        <v>5683.93</v>
      </c>
      <c r="H38" s="1637">
        <f>面积取值!C28</f>
        <v>2196.12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B39" sqref="B39"/>
    </sheetView>
  </sheetViews>
  <sheetFormatPr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9" style="1680"/>
    <col min="68" max="16384" width="9"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45526</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3422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综合</v>
      </c>
      <c r="B6" s="1712" t="str">
        <f>IF(A6=0,"","经营性")</f>
        <v>经营性</v>
      </c>
      <c r="C6" s="1713" t="s">
        <v>21</v>
      </c>
      <c r="D6" s="858">
        <f>SUMIF(项目基本情况!C$12:I$12,C6,项目基本情况!C$14:I$14)</f>
        <v>50</v>
      </c>
      <c r="E6" s="857">
        <f>IF(B6="","",SUMIF(项目基本情况!C$12:I$12,C6,项目基本情况!C$13:I$13))</f>
        <v>54392</v>
      </c>
      <c r="F6" s="64">
        <f>SUMIF(项目基本情况!C$12:I$12,C6,项目基本情况!C$15:I$15)</f>
        <v>24.29</v>
      </c>
      <c r="G6" s="65">
        <f>IF(ISERROR(ROUND(POWER(1+H6,D6-F6)*(POWER(1+H6,F6)-1)/(POWER(1+H6,D6)-1),3)),0,ROUND(POWER(1+H6,D6-F6)*(POWER(1+H6,F6)-1)/(POWER(1+H6,D6)-1),3))</f>
        <v>0.76100000000000001</v>
      </c>
      <c r="H6" s="732">
        <v>0.05</v>
      </c>
      <c r="I6" s="732">
        <v>5.5E-2</v>
      </c>
      <c r="J6" s="66">
        <v>7.0000000000000007E-2</v>
      </c>
      <c r="K6" s="1030">
        <f>SUMIF('数据-汇总表'!C$19:C$33,A6,'数据-汇总表'!E$19:E$33)</f>
        <v>17457.32</v>
      </c>
      <c r="L6" s="733">
        <v>6500</v>
      </c>
      <c r="M6" s="67">
        <f t="shared" ref="M6:M14" si="0">ROUND(K6*L6/10000,0)</f>
        <v>11347</v>
      </c>
      <c r="N6" s="731">
        <v>0.8</v>
      </c>
      <c r="O6" s="67" t="str">
        <f>IF($N$5="成新度","——",ROUND(M6*N6,0))</f>
        <v>——</v>
      </c>
      <c r="P6" s="68" t="str">
        <f>IF($N$5="成新度","——",M6-O6)</f>
        <v>——</v>
      </c>
      <c r="Q6" s="734">
        <v>0.2</v>
      </c>
      <c r="R6" s="69">
        <f ca="1">SUMIF('数据-汇总表'!C$19:C$33,A6,'数据-汇总表'!R$19:R$27)</f>
        <v>3862.4</v>
      </c>
      <c r="S6" s="51">
        <f>IF('数据-汇总表'!$I$17="按面积比例",SUMIF('数据-汇总表'!C$19:C$33,A6,'数据-汇总表'!K$19:K$33),SUMIF('数据-汇总表'!C$19:C$33,A6,'数据-汇总表'!N$19:N$33))</f>
        <v>0</v>
      </c>
      <c r="T6" s="1172">
        <f>ROUND($L$14*S6/10000,0)</f>
        <v>0</v>
      </c>
      <c r="U6" s="3427">
        <v>7</v>
      </c>
      <c r="V6" s="70">
        <v>0.02</v>
      </c>
      <c r="W6" s="70">
        <v>7.0000000000000007E-2</v>
      </c>
      <c r="X6" s="1040"/>
      <c r="Y6" s="71">
        <f>N6</f>
        <v>0.8</v>
      </c>
      <c r="Z6" s="72"/>
      <c r="AA6" s="66"/>
      <c r="AB6" s="66"/>
      <c r="AC6" s="1040"/>
      <c r="AD6" s="73"/>
      <c r="AE6" s="1041">
        <f ca="1">IF(AN6="",0,SUMIF(INDIRECT("'"&amp;AN6&amp;"'"&amp;"!E:E"),$AE$5,INDIRECT("'"&amp;AN6&amp;"'"&amp;"!F:F")))</f>
        <v>24.29</v>
      </c>
      <c r="AF6" s="1347"/>
      <c r="AG6" s="138">
        <f>IF(AF6="",0,AE6-AF6)</f>
        <v>0</v>
      </c>
      <c r="AH6" s="74"/>
      <c r="AI6" s="76">
        <v>365</v>
      </c>
      <c r="AJ6" s="77"/>
      <c r="AK6" s="78">
        <v>5.0000000000000001E-3</v>
      </c>
      <c r="AL6" s="79">
        <v>1E-3</v>
      </c>
      <c r="AM6" s="80">
        <v>5.0000000000000001E-3</v>
      </c>
      <c r="AN6" s="1714" t="s">
        <v>3423</v>
      </c>
      <c r="AO6" s="52">
        <f ca="1">SUMIF(INDIRECT("'"&amp;AN6&amp;"'"&amp;"!A:A"),"总价",INDIRECT("'"&amp;AN6&amp;"'"&amp;"!B:B"))</f>
        <v>54401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0.76100000000000001</v>
      </c>
      <c r="H16" s="90">
        <f>ROUND(SUMPRODUCT(H6:H13,K6:K13)/SUMPRODUCT((H6:H13&gt;0)*(K6:K13)),3)</f>
        <v>0.05</v>
      </c>
      <c r="I16" s="91"/>
      <c r="J16" s="91"/>
      <c r="K16" s="92">
        <f>SUM(K6:K15)</f>
        <v>17457.32</v>
      </c>
      <c r="L16" s="93">
        <f>ROUND(M16*10000/SUM(K6:K14),0)</f>
        <v>6500</v>
      </c>
      <c r="M16" s="93">
        <f>SUM(M6:M14)</f>
        <v>11347</v>
      </c>
      <c r="N16" s="94">
        <f>ROUND(SUMPRODUCT(M6:M14,N6:N14)/M16,3)</f>
        <v>0.8</v>
      </c>
      <c r="O16" s="93">
        <f>SUM(O6:O14)</f>
        <v>0</v>
      </c>
      <c r="P16" s="93">
        <f>SUM(P6:P14)</f>
        <v>0</v>
      </c>
      <c r="Q16" s="95">
        <f>ROUND(SUMPRODUCT(Q6:Q13,K6:K13)/SUMPRODUCT((Q6:Q13&gt;0)*(K6:K13)),2)</f>
        <v>0.2</v>
      </c>
      <c r="R16" s="1034">
        <f ca="1">SUM(R6:R13)</f>
        <v>3862.4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2301</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2.5</v>
      </c>
      <c r="C20" s="2799" t="s">
        <v>2299</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ROUND(B28*K16/10000,0)</f>
        <v>349</v>
      </c>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3381</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2293</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3382</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2.5000000000000001E-2</v>
      </c>
      <c r="C37" s="2802" t="s">
        <v>2295</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2.5000000000000001E-2</v>
      </c>
      <c r="C38" s="2802" t="s">
        <v>2295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2304</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296</v>
      </c>
      <c r="C53" s="2660" t="s">
        <v>1246</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75" t="s">
        <v>2284</v>
      </c>
      <c r="B1" s="3576"/>
      <c r="C1" s="3576"/>
      <c r="D1" s="3576"/>
      <c r="E1" s="3576"/>
      <c r="F1" s="3576"/>
      <c r="G1" s="35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25.5">
      <c r="A3" s="2440" t="s">
        <v>2282</v>
      </c>
      <c r="B3" s="2462" t="s">
        <v>2252</v>
      </c>
      <c r="C3" s="2463"/>
      <c r="D3" s="2464"/>
      <c r="E3" s="2441" t="s">
        <v>2282</v>
      </c>
      <c r="F3" s="2465" t="s">
        <v>2253</v>
      </c>
      <c r="G3" s="2466" t="s">
        <v>2283</v>
      </c>
      <c r="H3" s="799"/>
      <c r="I3" s="799"/>
      <c r="J3" s="799"/>
      <c r="K3" s="799"/>
      <c r="L3" s="799"/>
      <c r="M3" s="799"/>
      <c r="N3" s="799"/>
      <c r="O3" s="799"/>
      <c r="P3" s="799"/>
      <c r="Q3" s="799"/>
      <c r="R3" s="799"/>
    </row>
    <row r="4" spans="1:29" ht="36">
      <c r="A4" s="2441"/>
      <c r="B4" s="323" t="s">
        <v>2254</v>
      </c>
      <c r="C4" s="2467"/>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2269</v>
      </c>
      <c r="D14" s="2464"/>
      <c r="E14" s="2495"/>
      <c r="F14" s="2495"/>
      <c r="G14" s="2459" t="s">
        <v>2270</v>
      </c>
    </row>
    <row r="15" spans="1:29" ht="25.5">
      <c r="A15" s="2443" t="s">
        <v>2271</v>
      </c>
      <c r="B15" s="2496" t="s">
        <v>2252</v>
      </c>
      <c r="C15" s="2497">
        <f>C3</f>
        <v>0</v>
      </c>
      <c r="D15" s="2464"/>
      <c r="E15" s="2444" t="s">
        <v>2272</v>
      </c>
      <c r="F15" s="2496" t="s">
        <v>2273</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17457.32</v>
      </c>
      <c r="C1" s="2685"/>
      <c r="D1" s="2685"/>
      <c r="E1" s="2685"/>
      <c r="F1" s="2685"/>
      <c r="G1" s="2686"/>
      <c r="H1" s="2687"/>
      <c r="I1" s="2687"/>
      <c r="J1" s="2687"/>
      <c r="K1" s="2687"/>
    </row>
    <row r="2" spans="1:11" ht="16.5">
      <c r="A2" s="2511" t="s">
        <v>653</v>
      </c>
      <c r="B2" s="2511">
        <f>SUM(C14:C23)</f>
        <v>3862.4</v>
      </c>
      <c r="C2" s="2685"/>
      <c r="D2" s="2685"/>
      <c r="E2" s="2685"/>
      <c r="F2" s="2685"/>
      <c r="G2" s="2686"/>
      <c r="H2" s="2687"/>
      <c r="I2" s="2687"/>
      <c r="J2" s="2687"/>
      <c r="K2" s="2687"/>
    </row>
    <row r="3" spans="1:11" ht="16.5">
      <c r="A3" s="2511" t="s">
        <v>662</v>
      </c>
      <c r="B3" s="2513">
        <f>项目基本情况!D3</f>
        <v>45526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50650</v>
      </c>
      <c r="C5" s="2511">
        <f ca="1">IF(B5=D14,结果表!H102,ROUND(B5*10000/$B$1,0))</f>
        <v>29014</v>
      </c>
      <c r="D5" s="2511">
        <f ca="1">ROUND(B5*10000/$B$2,0)</f>
        <v>131136</v>
      </c>
      <c r="E5" s="2685"/>
      <c r="F5" s="2686"/>
      <c r="G5" s="2686"/>
      <c r="H5" s="2687"/>
      <c r="I5" s="2687"/>
      <c r="J5" s="2687"/>
      <c r="K5" s="2687"/>
    </row>
    <row r="6" spans="1:11" ht="16.5">
      <c r="A6" s="2511" t="s">
        <v>656</v>
      </c>
      <c r="B6" s="2511">
        <f ca="1">SUM(G14:G23)</f>
        <v>50650</v>
      </c>
      <c r="C6" s="2511">
        <f ca="1">IF(B6=G14,结果表!H108,ROUND(B6*10000/$B$1,0))</f>
        <v>29014</v>
      </c>
      <c r="D6" s="2511">
        <f ca="1">ROUND(B6*10000/$B$2,0)</f>
        <v>131136</v>
      </c>
      <c r="E6" s="2685"/>
      <c r="F6" s="2686"/>
      <c r="G6" s="2686"/>
      <c r="H6" s="2687"/>
      <c r="I6" s="2687"/>
      <c r="J6" s="2687"/>
      <c r="K6" s="2687"/>
    </row>
    <row r="7" spans="1:11" ht="16.5">
      <c r="A7" s="2511" t="s">
        <v>664</v>
      </c>
      <c r="B7" s="2511">
        <f ca="1">SUM(H14:H23)</f>
        <v>50650</v>
      </c>
      <c r="C7" s="2511" t="str">
        <f ca="1">IF(B7=H14,结果表!H110,ROUND(B7*10000/$B$1,0))</f>
        <v>——</v>
      </c>
      <c r="D7" s="2511">
        <f ca="1">ROUND(B7*10000/$B$2,0)</f>
        <v>131136</v>
      </c>
      <c r="E7" s="2685"/>
      <c r="F7" s="2686"/>
      <c r="G7" s="2686"/>
      <c r="H7" s="2687"/>
      <c r="I7" s="2687"/>
      <c r="J7" s="2687"/>
      <c r="K7" s="2687"/>
    </row>
    <row r="8" spans="1:11" ht="16.5">
      <c r="A8" s="2511" t="s">
        <v>587</v>
      </c>
      <c r="B8" s="2511">
        <f ca="1">SUM(I14:I23)</f>
        <v>45512</v>
      </c>
      <c r="C8" s="2511">
        <f ca="1">IF(B8=I14,结果表!H112,ROUND(B8*10000/$B$1,0))</f>
        <v>26070</v>
      </c>
      <c r="D8" s="2511">
        <f ca="1">ROUND(B8*10000/$B$2,0)</f>
        <v>117833</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17457.32</v>
      </c>
      <c r="C14" s="2517">
        <f>结果表!C118</f>
        <v>3862.4</v>
      </c>
      <c r="D14" s="2517">
        <f ca="1">结果表!H118</f>
        <v>50650</v>
      </c>
      <c r="E14" s="2517">
        <f ca="1">ROUND(D14*10000/B14,0)</f>
        <v>29014</v>
      </c>
      <c r="F14" s="2517">
        <f ca="1">ROUND(D14*10000/C14,0)</f>
        <v>131136</v>
      </c>
      <c r="G14" s="2517">
        <f ca="1">D14</f>
        <v>50650</v>
      </c>
      <c r="H14" s="2517">
        <f ca="1">G14</f>
        <v>50650</v>
      </c>
      <c r="I14" s="2517">
        <f ca="1">结果表!N59</f>
        <v>45512</v>
      </c>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3" sqref="I2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t="s">
        <v>3408</v>
      </c>
      <c r="D1" s="1746"/>
      <c r="E1" s="1746"/>
      <c r="F1" s="1748" t="s">
        <v>1263</v>
      </c>
      <c r="G1" s="1560" t="s">
        <v>3430</v>
      </c>
      <c r="H1" s="1749" t="str">
        <f>IF(G1="现房","——","估价对象范围")</f>
        <v>——</v>
      </c>
      <c r="I1" s="1750" t="s">
        <v>3431</v>
      </c>
    </row>
    <row r="2" spans="1:12" ht="21.75" customHeight="1" thickBot="1">
      <c r="A2" s="3611" t="str">
        <f>项目基本情况!S2</f>
        <v>北京市房地产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3" t="s">
        <v>1265</v>
      </c>
      <c r="B4" s="1754" t="s">
        <v>1266</v>
      </c>
      <c r="C4" s="1755" t="s">
        <v>3432</v>
      </c>
      <c r="D4" s="1755" t="s">
        <v>3423</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1268</v>
      </c>
      <c r="B5" s="3578">
        <v>25</v>
      </c>
      <c r="C5" s="3594"/>
      <c r="D5" s="3614"/>
      <c r="E5" s="131" t="s">
        <v>1269</v>
      </c>
      <c r="F5" s="1756"/>
      <c r="G5" s="1756"/>
      <c r="H5" s="1756"/>
      <c r="I5" s="1372"/>
    </row>
    <row r="6" spans="1:12" ht="12.75">
      <c r="A6" s="3591"/>
      <c r="B6" s="3578"/>
      <c r="C6" s="3595"/>
      <c r="D6" s="3614"/>
      <c r="E6" s="131" t="s">
        <v>1270</v>
      </c>
      <c r="F6" s="1756"/>
      <c r="G6" s="1756"/>
      <c r="H6" s="1756"/>
      <c r="I6" s="1372"/>
    </row>
    <row r="7" spans="1:12" ht="12.75">
      <c r="A7" s="3591"/>
      <c r="B7" s="3578"/>
      <c r="C7" s="3596"/>
      <c r="D7" s="3614"/>
      <c r="E7" s="131" t="s">
        <v>1271</v>
      </c>
      <c r="F7" s="1756"/>
      <c r="G7" s="1756"/>
      <c r="H7" s="1756"/>
      <c r="I7" s="1372"/>
    </row>
    <row r="8" spans="1:12" ht="12.75">
      <c r="A8" s="3591" t="s">
        <v>1272</v>
      </c>
      <c r="B8" s="3578">
        <v>15</v>
      </c>
      <c r="C8" s="3594"/>
      <c r="D8" s="3614"/>
      <c r="E8" s="131" t="s">
        <v>1273</v>
      </c>
      <c r="F8" s="1756"/>
      <c r="G8" s="1756"/>
      <c r="H8" s="1756"/>
      <c r="I8" s="1372"/>
    </row>
    <row r="9" spans="1:12" ht="12.75">
      <c r="A9" s="3591"/>
      <c r="B9" s="3578"/>
      <c r="C9" s="3596"/>
      <c r="D9" s="3614"/>
      <c r="E9" s="131" t="s">
        <v>1274</v>
      </c>
      <c r="F9" s="1756"/>
      <c r="G9" s="1756"/>
      <c r="H9" s="1756"/>
      <c r="I9" s="1372"/>
    </row>
    <row r="10" spans="1:12" ht="12.75">
      <c r="A10" s="3591" t="s">
        <v>1275</v>
      </c>
      <c r="B10" s="3578">
        <v>15</v>
      </c>
      <c r="C10" s="3594"/>
      <c r="D10" s="3614"/>
      <c r="E10" s="131" t="s">
        <v>1276</v>
      </c>
      <c r="F10" s="1756"/>
      <c r="G10" s="1756"/>
      <c r="H10" s="1756"/>
      <c r="I10" s="1372"/>
    </row>
    <row r="11" spans="1:12" ht="12.75">
      <c r="A11" s="3591"/>
      <c r="B11" s="3578"/>
      <c r="C11" s="3596"/>
      <c r="D11" s="3614"/>
      <c r="E11" s="131" t="s">
        <v>1277</v>
      </c>
      <c r="F11" s="1756"/>
      <c r="G11" s="1756"/>
      <c r="H11" s="1756"/>
      <c r="I11" s="1372"/>
    </row>
    <row r="12" spans="1:12" ht="12.75">
      <c r="A12" s="3591" t="s">
        <v>1278</v>
      </c>
      <c r="B12" s="3578">
        <v>15</v>
      </c>
      <c r="C12" s="3594"/>
      <c r="D12" s="3614"/>
      <c r="E12" s="131" t="s">
        <v>1279</v>
      </c>
      <c r="F12" s="1756"/>
      <c r="G12" s="1756"/>
      <c r="H12" s="1756"/>
      <c r="I12" s="1372"/>
    </row>
    <row r="13" spans="1:12" ht="12.75">
      <c r="A13" s="3591"/>
      <c r="B13" s="3578"/>
      <c r="C13" s="3596"/>
      <c r="D13" s="3614"/>
      <c r="E13" s="131" t="s">
        <v>1280</v>
      </c>
      <c r="F13" s="1756"/>
      <c r="G13" s="1756"/>
      <c r="H13" s="1756"/>
      <c r="I13" s="1372"/>
    </row>
    <row r="14" spans="1:12" ht="12.75">
      <c r="A14" s="3591" t="s">
        <v>1281</v>
      </c>
      <c r="B14" s="3578">
        <v>30</v>
      </c>
      <c r="C14" s="3594">
        <v>5</v>
      </c>
      <c r="D14" s="3614">
        <v>5</v>
      </c>
      <c r="E14" s="131" t="s">
        <v>1282</v>
      </c>
      <c r="F14" s="1756"/>
      <c r="G14" s="1756"/>
      <c r="H14" s="1756"/>
      <c r="I14" s="1372"/>
    </row>
    <row r="15" spans="1:12" ht="12.75">
      <c r="A15" s="3591"/>
      <c r="B15" s="3578"/>
      <c r="C15" s="3595"/>
      <c r="D15" s="3614"/>
      <c r="E15" s="131" t="s">
        <v>1283</v>
      </c>
      <c r="F15" s="1756"/>
      <c r="G15" s="1756"/>
      <c r="H15" s="1756"/>
      <c r="I15" s="1372"/>
    </row>
    <row r="16" spans="1:12" ht="12.75">
      <c r="A16" s="3591"/>
      <c r="B16" s="3578"/>
      <c r="C16" s="3596"/>
      <c r="D16" s="3614"/>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01" t="s">
        <v>2131</v>
      </c>
      <c r="F18" s="3602"/>
      <c r="G18" s="3602"/>
      <c r="H18" s="3602"/>
      <c r="I18" s="3602"/>
      <c r="K18" s="302" t="s">
        <v>1289</v>
      </c>
      <c r="L18" s="302">
        <f>IF(C1="",'数据-汇总表'!E3,SUMIF(项目类型,C1,'数据-汇总表'!E17:E26)+SUMIF(项目类型,C1,'数据-汇总表'!I17:I26))</f>
        <v>17457.32</v>
      </c>
      <c r="M18" s="302">
        <f>IF(C1="",'数据-汇总表'!E3,SUMIF(项目类型,C1,'数据-汇总表'!E17:E26))</f>
        <v>17457.32</v>
      </c>
    </row>
    <row r="19" spans="1:36" ht="15">
      <c r="A19" s="1760" t="s">
        <v>1290</v>
      </c>
      <c r="B19" s="1761" t="s">
        <v>1291</v>
      </c>
      <c r="C19" s="134">
        <f ca="1">SUMIF(INDIRECT("'"&amp;C4&amp;"'"&amp;"!A:A"),结果表!B19,INDIRECT("'"&amp;C4&amp;"'"&amp;"!B:B"))</f>
        <v>46898</v>
      </c>
      <c r="D19" s="135">
        <f ca="1">SUMIF(INDIRECT("'"&amp;D4&amp;"'"&amp;"!A:A"),结果表!B19,INDIRECT("'"&amp;D4&amp;"'"&amp;"!B:B"))</f>
        <v>54401</v>
      </c>
      <c r="E19" s="1760" t="s">
        <v>1292</v>
      </c>
      <c r="F19" s="1761" t="s">
        <v>1291</v>
      </c>
      <c r="G19" s="136">
        <f ca="1">ROUND(C19*$C$18+D19*$D$18,0)</f>
        <v>50650</v>
      </c>
      <c r="H19" s="1762" t="s">
        <v>1293</v>
      </c>
      <c r="I19" s="129"/>
      <c r="K19" s="302" t="s">
        <v>1294</v>
      </c>
      <c r="L19" s="302">
        <f>IF(C1="",'数据-汇总表'!D3,SUMIF(项目类型,C1,'数据-汇总表'!D17:D26)+SUMIF(项目类型,C1,'数据-汇总表'!H17:H27))</f>
        <v>3862.4</v>
      </c>
      <c r="M19" s="302">
        <f>IF(C1="",'数据-汇总表'!D3,SUMIF(项目类型,C1,'数据-汇总表'!D17:D26))</f>
        <v>3862.4</v>
      </c>
    </row>
    <row r="20" spans="1:36" ht="15">
      <c r="A20" s="1763"/>
      <c r="B20" s="1026" t="s">
        <v>1295</v>
      </c>
      <c r="C20" s="137">
        <f ca="1">SUMIF(INDIRECT("'"&amp;C4&amp;"'"&amp;"!A:A"),结果表!B20,INDIRECT("'"&amp;C4&amp;"'"&amp;"!B:B"))</f>
        <v>26864</v>
      </c>
      <c r="D20" s="138">
        <f ca="1">SUMIF(INDIRECT("'"&amp;D4&amp;"'"&amp;"!A:A"),结果表!B20,INDIRECT("'"&amp;D4&amp;"'"&amp;"!B:B"))</f>
        <v>31162</v>
      </c>
      <c r="E20" s="1763"/>
      <c r="F20" s="1026" t="s">
        <v>1295</v>
      </c>
      <c r="G20" s="139">
        <f ca="1">ROUND(C20*$C$18+D20*$D$18,0)</f>
        <v>29013</v>
      </c>
      <c r="H20" s="808" t="s">
        <v>1296</v>
      </c>
      <c r="I20" s="129"/>
    </row>
    <row r="21" spans="1:36" ht="15" customHeight="1" thickBot="1">
      <c r="A21" s="828"/>
      <c r="B21" s="1764" t="s">
        <v>1297</v>
      </c>
      <c r="C21" s="719">
        <f ca="1">ROUND(C19*10000/L19,0)</f>
        <v>121422</v>
      </c>
      <c r="D21" s="720">
        <f ca="1">ROUND(D19*10000/L19,0)</f>
        <v>140848</v>
      </c>
      <c r="E21" s="828"/>
      <c r="F21" s="1764" t="s">
        <v>1297</v>
      </c>
      <c r="G21" s="140">
        <f ca="1">ROUND(G19*10000/L19,0)</f>
        <v>131136</v>
      </c>
      <c r="H21" s="1765" t="s">
        <v>1296</v>
      </c>
      <c r="I21" s="129"/>
    </row>
    <row r="22" spans="1:36" ht="15" thickBot="1">
      <c r="A22" s="1687" t="s">
        <v>1298</v>
      </c>
      <c r="B22" s="1766"/>
      <c r="C22" s="1767"/>
      <c r="D22" s="721">
        <f ca="1">IF(C19&lt;D19,D19/C19-1,C19/D19-1)</f>
        <v>0.15998550044778037</v>
      </c>
      <c r="E22" s="129"/>
      <c r="F22" s="129"/>
      <c r="G22" s="129"/>
      <c r="H22" s="129"/>
      <c r="I22" s="129"/>
    </row>
    <row r="23" spans="1:36" ht="13.5" thickBot="1">
      <c r="A23" s="1746"/>
      <c r="B23" s="1746"/>
      <c r="C23" s="1746"/>
      <c r="D23" s="1746"/>
      <c r="E23" s="129"/>
      <c r="F23" s="129"/>
      <c r="G23" s="129"/>
      <c r="H23" s="129"/>
      <c r="I23" s="129"/>
    </row>
    <row r="24" spans="1:36" ht="14.25">
      <c r="A24" s="3585" t="s">
        <v>1299</v>
      </c>
      <c r="B24" s="1761" t="s">
        <v>1291</v>
      </c>
      <c r="C24" s="136">
        <f>IF(B30=0,0,D30)</f>
        <v>0</v>
      </c>
      <c r="D24" s="1768"/>
      <c r="E24" s="129"/>
      <c r="F24" s="129"/>
      <c r="G24" s="129"/>
      <c r="H24" s="129"/>
      <c r="I24" s="129"/>
    </row>
    <row r="25" spans="1:36" ht="14.25">
      <c r="A25" s="3586"/>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5.2885634424006005</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50650</v>
      </c>
      <c r="D32" s="1774" t="s">
        <v>3433</v>
      </c>
      <c r="E32" s="129"/>
      <c r="F32" s="129"/>
      <c r="G32" s="129"/>
      <c r="H32" s="129"/>
      <c r="I32" s="129"/>
    </row>
    <row r="33" spans="1:15" ht="15">
      <c r="A33" s="786" t="s">
        <v>1306</v>
      </c>
      <c r="B33" s="1775"/>
      <c r="C33" s="1776" t="s">
        <v>3434</v>
      </c>
      <c r="D33" s="1777" t="s">
        <v>3432</v>
      </c>
      <c r="E33" s="1778" t="s">
        <v>1307</v>
      </c>
      <c r="F33" s="1779" t="str">
        <f>IF(D32="楼面单价","取值（单价）","取值（总价）")</f>
        <v>取值（总价）</v>
      </c>
      <c r="G33" s="129"/>
      <c r="H33" s="129"/>
      <c r="I33" s="129"/>
    </row>
    <row r="34" spans="1:15" ht="15">
      <c r="A34" s="1780"/>
      <c r="B34" s="1781" t="s">
        <v>1308</v>
      </c>
      <c r="C34" s="148">
        <f ca="1">IF(C33="自定义",F34,C32-C35)</f>
        <v>35658</v>
      </c>
      <c r="D34" s="861">
        <f ca="1">IF(C33="自定义",ROUND(C34/C32,3),IF(C33="收益比率",SUMIF(INDIRECT("'"&amp;D33&amp;"'"&amp;"!b:b"),"土地收益比率",INDIRECT("'"&amp;D33&amp;"'"&amp;"!c:c")),SUMIF(INDIRECT("'"&amp;D33&amp;"'"&amp;"!b:b"),"土地成本比率",INDIRECT("'"&amp;D33&amp;"'"&amp;"!c:c"))))</f>
        <v>0.70399999999999996</v>
      </c>
      <c r="E34" s="1782" t="s">
        <v>1309</v>
      </c>
      <c r="F34" s="1329"/>
      <c r="G34" s="129"/>
      <c r="H34" s="129"/>
      <c r="I34" s="129"/>
    </row>
    <row r="35" spans="1:15" ht="15.75" thickBot="1">
      <c r="A35" s="1783"/>
      <c r="B35" s="1784" t="s">
        <v>1310</v>
      </c>
      <c r="C35" s="1170">
        <f ca="1">IF(C33="自定义",F35,ROUND(C32*D35,0))</f>
        <v>14992</v>
      </c>
      <c r="D35" s="1171">
        <f ca="1">IF(C33="自定义",ROUND(C35/C32,3),IF(C33="收益比率",SUMIF(INDIRECT("'"&amp;D33&amp;"'"&amp;"!b:b"),"建筑物收益比率",INDIRECT("'"&amp;D33&amp;"'"&amp;"!c:c")),SUMIF(INDIRECT("'"&amp;D33&amp;"'"&amp;"!b:b"),"建筑物成本比率",INDIRECT("'"&amp;D33&amp;"'"&amp;"!c:c"))))</f>
        <v>0.29599999999999999</v>
      </c>
      <c r="E35" s="1785" t="s">
        <v>1311</v>
      </c>
      <c r="F35" s="154"/>
      <c r="G35" s="129"/>
      <c r="H35" s="129"/>
      <c r="I35" s="129"/>
    </row>
    <row r="36" spans="1:15" ht="15.75" thickBot="1">
      <c r="A36" s="3605" t="s">
        <v>1312</v>
      </c>
      <c r="B36" s="1786" t="s">
        <v>1313</v>
      </c>
      <c r="C36" s="145"/>
      <c r="D36" s="1787"/>
      <c r="E36" s="1788"/>
      <c r="F36" s="1789"/>
      <c r="G36" s="129"/>
      <c r="H36" s="129"/>
      <c r="I36" s="129"/>
    </row>
    <row r="37" spans="1:15" ht="15.75" thickBot="1">
      <c r="A37" s="3606"/>
      <c r="B37" s="1673" t="s">
        <v>1314</v>
      </c>
      <c r="C37" s="147"/>
      <c r="D37" s="1139"/>
      <c r="E37" s="1139"/>
      <c r="F37" s="1789"/>
      <c r="G37" s="129"/>
      <c r="H37" s="129"/>
      <c r="I37" s="129"/>
    </row>
    <row r="38" spans="1:15" ht="15.75" thickBot="1">
      <c r="A38" s="3607"/>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82" t="s">
        <v>1326</v>
      </c>
      <c r="B45" s="3583"/>
      <c r="C45" s="3584"/>
      <c r="D45" s="155">
        <f ca="1">ROUND(H101*F45,0)</f>
        <v>50650</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5"/>
      <c r="I46" s="159"/>
      <c r="J46" s="2522">
        <v>1</v>
      </c>
      <c r="K46" s="3641" t="s">
        <v>1331</v>
      </c>
      <c r="L46" s="3641"/>
      <c r="M46" s="3661"/>
      <c r="N46" s="3661"/>
      <c r="O46" s="3661"/>
    </row>
    <row r="47" spans="1:15" ht="12" customHeight="1">
      <c r="A47" s="160" t="s">
        <v>1332</v>
      </c>
      <c r="B47" s="161"/>
      <c r="C47" s="162"/>
      <c r="D47" s="1087" t="s">
        <v>1333</v>
      </c>
      <c r="E47" s="302" t="s">
        <v>1334</v>
      </c>
      <c r="F47" s="163" t="s">
        <v>1335</v>
      </c>
      <c r="G47" s="2545" t="s">
        <v>1336</v>
      </c>
      <c r="H47" s="2546"/>
      <c r="I47" s="159"/>
      <c r="J47" s="2522">
        <v>2</v>
      </c>
      <c r="K47" s="3641" t="s">
        <v>1337</v>
      </c>
      <c r="L47" s="3641"/>
      <c r="M47" s="3662">
        <f>'数据-取费表'!B2</f>
        <v>45526</v>
      </c>
      <c r="N47" s="3662"/>
      <c r="O47" s="3662"/>
    </row>
    <row r="48" spans="1:15" ht="25.5">
      <c r="A48" s="3610" t="s">
        <v>1338</v>
      </c>
      <c r="B48" s="3593"/>
      <c r="C48" s="3593"/>
      <c r="D48" s="2323">
        <f ca="1">IF(H48="情况1",0,IF(H48="情况2",D52,IF(H48="情况3",D53,IF(H48="情况4",D54))))</f>
        <v>2701</v>
      </c>
      <c r="E48" s="2333" t="str">
        <f>IF(H48="情况4","(销售额-原购置价)×税（费）率","销售额×税（费）率")</f>
        <v>(销售额-原购置价)×税（费）率</v>
      </c>
      <c r="F48" s="2547">
        <f>IF(H48="情况1","免征",'数据-取费表'!B41)</f>
        <v>5.6000000000000001E-2</v>
      </c>
      <c r="G48" s="2548" t="s">
        <v>1339</v>
      </c>
      <c r="H48" s="2549" t="s">
        <v>3588</v>
      </c>
      <c r="I48" s="1805"/>
      <c r="J48" s="2522">
        <v>3</v>
      </c>
      <c r="K48" s="3641" t="s">
        <v>1340</v>
      </c>
      <c r="L48" s="3641"/>
      <c r="M48" s="3663">
        <f ca="1">H101</f>
        <v>50650</v>
      </c>
      <c r="N48" s="3663"/>
      <c r="O48" s="3663"/>
    </row>
    <row r="49" spans="1:35" ht="25.5" customHeight="1">
      <c r="A49" s="2332" t="s">
        <v>1341</v>
      </c>
      <c r="B49" s="3577" t="s">
        <v>1342</v>
      </c>
      <c r="C49" s="3577"/>
      <c r="D49" s="1589">
        <v>0</v>
      </c>
      <c r="E49" s="324" t="s">
        <v>1343</v>
      </c>
      <c r="F49" s="2423" t="s">
        <v>28</v>
      </c>
      <c r="G49" s="3647"/>
      <c r="H49" s="2309" t="s">
        <v>2134</v>
      </c>
      <c r="I49" s="2310"/>
      <c r="J49" s="2522">
        <v>4</v>
      </c>
      <c r="K49" s="3641" t="str">
        <f>IF(项目基本情况!E8="房地产抵押价值","房地产抵押价值","抵押担保权已注销时的房地产抵押价值")</f>
        <v>房地产抵押价值</v>
      </c>
      <c r="L49" s="3641"/>
      <c r="M49" s="3663">
        <f ca="1">IF(项目基本情况!E8="房地产抵押价值",H107,H109)</f>
        <v>50650</v>
      </c>
      <c r="N49" s="3663"/>
      <c r="O49" s="3663"/>
    </row>
    <row r="50" spans="1:35" ht="25.5" customHeight="1">
      <c r="A50" s="2550"/>
      <c r="B50" s="3577" t="s">
        <v>1344</v>
      </c>
      <c r="C50" s="3577"/>
      <c r="D50" s="2551"/>
      <c r="E50" s="332"/>
      <c r="F50" s="2423"/>
      <c r="G50" s="3648"/>
      <c r="H50" s="2311" t="s">
        <v>2135</v>
      </c>
      <c r="I50" s="2310"/>
      <c r="J50" s="3660" t="s">
        <v>1345</v>
      </c>
      <c r="K50" s="3660"/>
      <c r="L50" s="3660"/>
      <c r="M50" s="3660"/>
      <c r="N50" s="3660"/>
      <c r="O50" s="3660"/>
    </row>
    <row r="51" spans="1:35" ht="20.45" customHeight="1">
      <c r="A51" s="2552"/>
      <c r="B51" s="3577" t="s">
        <v>1346</v>
      </c>
      <c r="C51" s="3577"/>
      <c r="D51" s="1087"/>
      <c r="E51" s="327"/>
      <c r="F51" s="2423"/>
      <c r="G51" s="3649"/>
      <c r="H51" s="2311" t="s">
        <v>2136</v>
      </c>
      <c r="I51" s="2310"/>
      <c r="J51" s="2523" t="s">
        <v>1347</v>
      </c>
      <c r="K51" s="3641" t="s">
        <v>1348</v>
      </c>
      <c r="L51" s="3641"/>
      <c r="M51" s="2523" t="s">
        <v>1349</v>
      </c>
      <c r="N51" s="2523" t="s">
        <v>1350</v>
      </c>
      <c r="O51" s="2523" t="s">
        <v>1351</v>
      </c>
    </row>
    <row r="52" spans="1:35" ht="24" customHeight="1">
      <c r="A52" s="2334" t="s">
        <v>1352</v>
      </c>
      <c r="B52" s="3577" t="s">
        <v>1353</v>
      </c>
      <c r="C52" s="3577"/>
      <c r="D52" s="1087">
        <f ca="1">ROUND(D45*'数据-取费表'!B41/(1+'数据-取费表'!C42),0)</f>
        <v>2701</v>
      </c>
      <c r="E52" s="2333" t="s">
        <v>1354</v>
      </c>
      <c r="F52" s="2553">
        <f>'数据-取费表'!B41</f>
        <v>5.6000000000000001E-2</v>
      </c>
      <c r="G52" s="2554"/>
      <c r="H52" s="2543"/>
      <c r="I52" s="1806"/>
      <c r="J52" s="2522">
        <v>1</v>
      </c>
      <c r="K52" s="3642" t="s">
        <v>1355</v>
      </c>
      <c r="L52" s="3642"/>
      <c r="M52" s="2524">
        <f ca="1">D48</f>
        <v>2701</v>
      </c>
      <c r="N52" s="2522" t="str">
        <f>E48</f>
        <v>(销售额-原购置价)×税（费）率</v>
      </c>
      <c r="O52" s="2525">
        <f>F48</f>
        <v>5.6000000000000001E-2</v>
      </c>
    </row>
    <row r="53" spans="1:35" ht="12" customHeight="1">
      <c r="A53" s="2334" t="s">
        <v>1356</v>
      </c>
      <c r="B53" s="3603" t="s">
        <v>2289</v>
      </c>
      <c r="C53" s="3604"/>
      <c r="D53" s="1087">
        <f ca="1">ROUND(D45*'数据-取费表'!B41/(1+'数据-取费表'!C42),0)</f>
        <v>2701</v>
      </c>
      <c r="E53" s="2333" t="s">
        <v>1354</v>
      </c>
      <c r="F53" s="2553">
        <f>'数据-取费表'!B41</f>
        <v>5.6000000000000001E-2</v>
      </c>
      <c r="G53" s="2554"/>
      <c r="H53" s="2543"/>
      <c r="I53" s="1806"/>
      <c r="J53" s="2522">
        <v>2</v>
      </c>
      <c r="K53" s="3642" t="s">
        <v>1357</v>
      </c>
      <c r="L53" s="3642"/>
      <c r="M53" s="2524">
        <f t="shared" ref="M53:O54" ca="1" si="0">D55</f>
        <v>25</v>
      </c>
      <c r="N53" s="2522" t="str">
        <f t="shared" si="0"/>
        <v>销售额×税（费）率</v>
      </c>
      <c r="O53" s="2525">
        <f t="shared" si="0"/>
        <v>5.0000000000000001E-4</v>
      </c>
    </row>
    <row r="54" spans="1:35" ht="12" customHeight="1">
      <c r="A54" s="2334" t="s">
        <v>1358</v>
      </c>
      <c r="B54" s="3603" t="s">
        <v>2290</v>
      </c>
      <c r="C54" s="3604"/>
      <c r="D54" s="1087">
        <f ca="1">C68</f>
        <v>2701</v>
      </c>
      <c r="E54" s="327" t="s">
        <v>1359</v>
      </c>
      <c r="F54" s="2553">
        <f>'数据-取费表'!B41</f>
        <v>5.6000000000000001E-2</v>
      </c>
      <c r="G54" s="2554"/>
      <c r="H54" s="2555"/>
      <c r="I54" s="1806"/>
      <c r="J54" s="2522">
        <v>3</v>
      </c>
      <c r="K54" s="3642" t="s">
        <v>1360</v>
      </c>
      <c r="L54" s="3642"/>
      <c r="M54" s="2524">
        <f t="shared" ca="1" si="0"/>
        <v>2412</v>
      </c>
      <c r="N54" s="2522" t="str">
        <f t="shared" si="0"/>
        <v>增值额×税（费）率</v>
      </c>
      <c r="O54" s="2526" t="str">
        <f t="shared" si="0"/>
        <v>——</v>
      </c>
    </row>
    <row r="55" spans="1:35" ht="24" customHeight="1">
      <c r="A55" s="3592" t="s">
        <v>1361</v>
      </c>
      <c r="B55" s="3593"/>
      <c r="C55" s="3593"/>
      <c r="D55" s="2323">
        <f ca="1">IF(H55="个人住宅",0,ROUND(D45*I55,0))</f>
        <v>25</v>
      </c>
      <c r="E55" s="2333" t="s">
        <v>1362</v>
      </c>
      <c r="F55" s="2553">
        <f>IF(H55="正常",I55,"免征")</f>
        <v>5.0000000000000001E-4</v>
      </c>
      <c r="G55" s="2554"/>
      <c r="H55" s="2549" t="s">
        <v>3571</v>
      </c>
      <c r="I55" s="165">
        <f>'数据-取费表'!B49</f>
        <v>5.0000000000000001E-4</v>
      </c>
      <c r="J55" s="2522" t="str">
        <f>IF(H59="非个人房产","",4)</f>
        <v/>
      </c>
      <c r="K55" s="3642" t="str">
        <f>IF(H59="非个人房产","——","个人所得税")</f>
        <v>——</v>
      </c>
      <c r="L55" s="3642"/>
      <c r="M55" s="2527" t="str">
        <f>D59</f>
        <v>——</v>
      </c>
      <c r="N55" s="2039" t="str">
        <f>E59</f>
        <v>——</v>
      </c>
      <c r="O55" s="2528" t="str">
        <f>F59</f>
        <v>——</v>
      </c>
    </row>
    <row r="56" spans="1:35" ht="24.75">
      <c r="A56" s="3592" t="s">
        <v>1363</v>
      </c>
      <c r="B56" s="3593"/>
      <c r="C56" s="3593"/>
      <c r="D56" s="3486">
        <f ca="1">ROUND(D45/1.05*0.05,0)</f>
        <v>2412</v>
      </c>
      <c r="E56" s="2333" t="s">
        <v>1364</v>
      </c>
      <c r="F56" s="2553" t="str">
        <f>IF(H56="正常",F58,"免征")</f>
        <v>——</v>
      </c>
      <c r="G56" s="2556" t="s">
        <v>1365</v>
      </c>
      <c r="H56" s="2557" t="s">
        <v>3571</v>
      </c>
      <c r="I56" s="1807"/>
      <c r="J56" s="2522" t="str">
        <f>IF(项目基本情况!K6="上海银行",IF(J55="",4,J55+1),"")</f>
        <v/>
      </c>
      <c r="K56" s="3665" t="str">
        <f>IF(项目基本情况!K6="上海银行","其他处置费用","")</f>
        <v/>
      </c>
      <c r="L56" s="3666"/>
      <c r="M56" s="2524" t="str">
        <f>IF(项目基本情况!K6="上海银行",M69,"")</f>
        <v/>
      </c>
      <c r="N56" s="3665" t="str">
        <f>IF(项目基本情况!K6="上海银行","包含处置中涉及的律师、诉讼、拍卖、评估等费用","")</f>
        <v/>
      </c>
      <c r="O56" s="3668"/>
    </row>
    <row r="57" spans="1:35" ht="12.75">
      <c r="A57" s="2334" t="s">
        <v>1341</v>
      </c>
      <c r="B57" s="3603" t="s">
        <v>1366</v>
      </c>
      <c r="C57" s="3604"/>
      <c r="D57" s="1589">
        <v>0</v>
      </c>
      <c r="E57" s="324" t="s">
        <v>1343</v>
      </c>
      <c r="F57" s="302"/>
      <c r="G57" s="2554"/>
      <c r="H57" s="2558"/>
      <c r="I57" s="1807"/>
      <c r="J57" s="3642">
        <f>IF(AND(J55="",J56=""),4,IF(项目基本情况!K6="上海银行",结果表!J56+1,结果表!J55+1))</f>
        <v>4</v>
      </c>
      <c r="K57" s="3642" t="s">
        <v>1367</v>
      </c>
      <c r="L57" s="2529" t="s">
        <v>1368</v>
      </c>
      <c r="M57" s="2530"/>
      <c r="N57" s="2531">
        <f ca="1">SUMIF(M52:M56,"&lt;9e307")</f>
        <v>5138</v>
      </c>
      <c r="O57" s="2532"/>
      <c r="P57" s="2689">
        <f ca="1">N57/M49</f>
        <v>0.10144126357354392</v>
      </c>
    </row>
    <row r="58" spans="1:35" ht="24.75">
      <c r="A58" s="2334" t="s">
        <v>1352</v>
      </c>
      <c r="B58" s="3603" t="s">
        <v>1369</v>
      </c>
      <c r="C58" s="3577"/>
      <c r="D58" s="2323">
        <f ca="1">IF(H58="转让取得",C81,C97)</f>
        <v>28668</v>
      </c>
      <c r="E58" s="2333" t="s">
        <v>1364</v>
      </c>
      <c r="F58" s="302" t="s">
        <v>28</v>
      </c>
      <c r="G58" s="2554"/>
      <c r="H58" s="2557" t="s">
        <v>3589</v>
      </c>
      <c r="I58" s="1807"/>
      <c r="J58" s="3642"/>
      <c r="K58" s="3642"/>
      <c r="L58" s="2529" t="s">
        <v>1370</v>
      </c>
      <c r="M58" s="2533"/>
      <c r="N58" s="2534" t="str">
        <f ca="1">NUMBERSTRING(INT(N57*10000),2)&amp;"元整"</f>
        <v>伍仟壹佰叁拾捌万元整</v>
      </c>
      <c r="O58" s="2535"/>
    </row>
    <row r="59" spans="1:35" ht="24.75" thickBot="1">
      <c r="A59" s="3645" t="s">
        <v>1371</v>
      </c>
      <c r="B59" s="3646"/>
      <c r="C59" s="3646"/>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3590</v>
      </c>
      <c r="I59" s="2312" t="s">
        <v>2137</v>
      </c>
      <c r="J59" s="3643">
        <f>J57+1</f>
        <v>5</v>
      </c>
      <c r="K59" s="3642" t="s">
        <v>1372</v>
      </c>
      <c r="L59" s="2522" t="s">
        <v>1368</v>
      </c>
      <c r="M59" s="2536"/>
      <c r="N59" s="2537">
        <f ca="1">M49-N57</f>
        <v>45512</v>
      </c>
      <c r="O59" s="2538"/>
    </row>
    <row r="60" spans="1:35" ht="12" customHeight="1">
      <c r="A60" s="1808"/>
      <c r="B60" s="1746"/>
      <c r="C60" s="1746"/>
      <c r="D60" s="1746"/>
      <c r="E60" s="1577"/>
      <c r="F60" s="1807"/>
      <c r="G60" s="1807"/>
      <c r="H60" s="1809"/>
      <c r="I60" s="129"/>
      <c r="J60" s="3644"/>
      <c r="K60" s="3642"/>
      <c r="L60" s="2529" t="s">
        <v>1370</v>
      </c>
      <c r="M60" s="2533"/>
      <c r="N60" s="2534" t="str">
        <f ca="1">NUMBERSTRING(INT(N59*10000),2)&amp;"元整"</f>
        <v>肆亿伍仟伍佰壹拾贰万元整</v>
      </c>
      <c r="O60" s="2535"/>
    </row>
    <row r="61" spans="1:35" ht="13.5" thickBot="1">
      <c r="A61" s="3590" t="s">
        <v>1373</v>
      </c>
      <c r="B61" s="3590"/>
      <c r="C61" s="3590"/>
      <c r="D61" s="3590"/>
      <c r="E61" s="3590"/>
      <c r="F61" s="1807"/>
      <c r="G61" s="1807"/>
      <c r="H61" s="1809"/>
      <c r="I61" s="129"/>
      <c r="J61" s="2522">
        <f>J59+1</f>
        <v>6</v>
      </c>
      <c r="K61" s="3642" t="s">
        <v>1374</v>
      </c>
      <c r="L61" s="3642"/>
      <c r="M61" s="2539"/>
      <c r="N61" s="2540">
        <f ca="1">ROUND(N59*10000/'数据-汇总表'!E3,0)</f>
        <v>26070</v>
      </c>
      <c r="O61" s="2541"/>
    </row>
    <row r="62" spans="1:35" ht="12.75">
      <c r="A62" s="3608" t="s">
        <v>1375</v>
      </c>
      <c r="B62" s="3609"/>
      <c r="C62" s="2020"/>
      <c r="D62" s="2020" t="s">
        <v>1376</v>
      </c>
      <c r="E62" s="166" t="s">
        <v>1377</v>
      </c>
      <c r="F62" s="1807"/>
      <c r="G62" s="1807"/>
      <c r="H62" s="1809"/>
      <c r="I62" s="129"/>
    </row>
    <row r="63" spans="1:35" ht="12.75">
      <c r="A63" s="173" t="s">
        <v>330</v>
      </c>
      <c r="B63" s="167" t="s">
        <v>1378</v>
      </c>
      <c r="C63" s="2563">
        <f ca="1">ROUND((C64+C65)/(1+'数据-取费表'!C42),0)</f>
        <v>48238</v>
      </c>
      <c r="D63" s="167"/>
      <c r="E63" s="168"/>
      <c r="F63" s="1807"/>
      <c r="G63" s="1807"/>
      <c r="H63" s="1809"/>
      <c r="I63" s="129"/>
      <c r="J63" s="3667" t="s">
        <v>1379</v>
      </c>
      <c r="K63" s="1331" t="s">
        <v>1380</v>
      </c>
      <c r="L63" s="1331">
        <f ca="1">IF(M49&gt;10000,M49*0.5%,IF(AND(M49&gt;1000,M49&lt;=10000),M49*1%,IF(AND(M49&gt;100,M49&lt;=1000),M49*3%,IF(AND(M49&gt;10,M49&lt;=100),M49*5%,M49*8%))))</f>
        <v>253.25</v>
      </c>
      <c r="M63" s="302">
        <f ca="1">ROUND(L63,1)</f>
        <v>253.3</v>
      </c>
      <c r="N63" s="2542"/>
      <c r="Z63" s="1751"/>
      <c r="AI63" s="1752"/>
    </row>
    <row r="64" spans="1:35" ht="14.25" customHeight="1">
      <c r="A64" s="169" t="s">
        <v>325</v>
      </c>
      <c r="B64" s="170" t="s">
        <v>1381</v>
      </c>
      <c r="C64" s="2564">
        <f ca="1">D45</f>
        <v>50650</v>
      </c>
      <c r="D64" s="170" t="s">
        <v>26</v>
      </c>
      <c r="E64" s="172"/>
      <c r="F64" s="1807"/>
      <c r="G64" s="1807"/>
      <c r="H64" s="1809"/>
      <c r="I64" s="129"/>
      <c r="J64" s="3667"/>
      <c r="K64" s="1331" t="s">
        <v>1382</v>
      </c>
      <c r="L64" s="1331">
        <f ca="1">IF(M49&gt;2000,M49*0.5%,IF(AND(M49&gt;1000,M49&lt;=2000),M49*0.6%,IF(AND(M49&gt;500,M49&lt;=1000),M49*0.7%,IF(AND(M49&gt;200,M49&lt;=500),M49*0.8%,IF(AND(M49&gt;100,M49&lt;=200),M49*0.9%,IF(AND(M49&gt;50,M49&lt;=100),M49*1%,IF(AND(M49&gt;20,M49&lt;=50),M49*1.5%,IF(AND(M49&gt;10,M49&lt;=20),M49*2%,IF(AND(M49&gt;1,M49&lt;=10),M49*2.5%)))))))))</f>
        <v>253.25</v>
      </c>
      <c r="M64" s="302">
        <f t="shared" ref="M64:M65" ca="1" si="1">ROUND(L64,1)</f>
        <v>253.3</v>
      </c>
      <c r="N64" s="2543" t="s">
        <v>1383</v>
      </c>
      <c r="Z64" s="1751"/>
      <c r="AI64" s="1752"/>
    </row>
    <row r="65" spans="1:35" ht="14.25" customHeight="1">
      <c r="A65" s="169" t="s">
        <v>326</v>
      </c>
      <c r="B65" s="170" t="s">
        <v>1384</v>
      </c>
      <c r="C65" s="2565"/>
      <c r="D65" s="170"/>
      <c r="E65" s="172"/>
      <c r="F65" s="1807"/>
      <c r="G65" s="1807"/>
      <c r="H65" s="1809"/>
      <c r="I65" s="129"/>
      <c r="J65" s="3667"/>
      <c r="K65" s="1331" t="s">
        <v>1385</v>
      </c>
      <c r="L65" s="1331">
        <f ca="1">IF(M49&gt;1000,M49*0.1%,IF(AND(M49&gt;500,M49&lt;=1000),M49*0.5%,IF(AND(M49&gt;50,M49&lt;=500),M49*1%,IF(AND(M49&gt;1,M49&lt;=50),M49*1.5%))))</f>
        <v>50.65</v>
      </c>
      <c r="M65" s="302">
        <f t="shared" ca="1" si="1"/>
        <v>50.7</v>
      </c>
      <c r="N65" s="2543" t="s">
        <v>1383</v>
      </c>
      <c r="Z65" s="1751"/>
      <c r="AI65" s="1752"/>
    </row>
    <row r="66" spans="1:35" ht="14.25" customHeight="1">
      <c r="A66" s="173" t="s">
        <v>327</v>
      </c>
      <c r="B66" s="174" t="s">
        <v>1386</v>
      </c>
      <c r="C66" s="2566"/>
      <c r="D66" s="174" t="s">
        <v>26</v>
      </c>
      <c r="E66" s="1337" t="s">
        <v>671</v>
      </c>
      <c r="F66" s="1807"/>
      <c r="G66" s="1807"/>
      <c r="H66" s="1809"/>
      <c r="I66" s="129"/>
      <c r="J66" s="3667"/>
      <c r="K66" s="1331" t="s">
        <v>1387</v>
      </c>
      <c r="L66" s="1331">
        <f ca="1">M49*0.5%</f>
        <v>253.25</v>
      </c>
      <c r="M66" s="302">
        <f ca="1">IF(L66&gt;0.5,0.5,ROUND(L66,0))</f>
        <v>0.5</v>
      </c>
      <c r="N66" s="2543" t="s">
        <v>1388</v>
      </c>
      <c r="Z66" s="1751"/>
      <c r="AI66" s="1752"/>
    </row>
    <row r="67" spans="1:35" ht="14.25" customHeight="1">
      <c r="A67" s="173" t="s">
        <v>328</v>
      </c>
      <c r="B67" s="174" t="s">
        <v>1389</v>
      </c>
      <c r="C67" s="2567">
        <f ca="1">C63-C66</f>
        <v>48238</v>
      </c>
      <c r="D67" s="170" t="s">
        <v>26</v>
      </c>
      <c r="E67" s="172"/>
      <c r="F67" s="1807"/>
      <c r="G67" s="1807"/>
      <c r="H67" s="1809"/>
      <c r="I67" s="129"/>
      <c r="J67" s="3667"/>
      <c r="K67" s="1331" t="s">
        <v>1390</v>
      </c>
      <c r="L67" s="1331">
        <f ca="1">IF(M49&gt;=10000,(8.25+(M49-10000)*0.01%),IF(AND(M49&gt;=8000,M49&lt;10000),(7.85+(M49-8000)*0.02%),IF(AND(M49&gt;=5000,M49&lt;8000),(6.65+(M49-5000)*0.04%),IF(AND(M49&gt;=2000,M49&lt;5000),(4.25+(PM49-2000)*0.08%),IF(AND(M49&gt;=1000,M49&lt;2000),(2.75+(M49-1000)*0.15%),IF(AND(M49&gt;=100,M49&lt;1000),(0.5+(M49-100)*0.25%),IF(AND(M49&gt;0,M49&lt;100),M49*0.5%)))))))</f>
        <v>12.315000000000001</v>
      </c>
      <c r="M67" s="302">
        <f ca="1">ROUND(L67*0.9,1)</f>
        <v>11.1</v>
      </c>
      <c r="N67" s="2542"/>
      <c r="Z67" s="1751"/>
      <c r="AI67" s="1752"/>
    </row>
    <row r="68" spans="1:35" ht="14.25" customHeight="1" thickBot="1">
      <c r="A68" s="176" t="s">
        <v>329</v>
      </c>
      <c r="B68" s="177" t="s">
        <v>1391</v>
      </c>
      <c r="C68" s="2568">
        <f ca="1">IF(C67&lt;=0,0,ROUND(C67*D68,0))</f>
        <v>2701</v>
      </c>
      <c r="D68" s="2569">
        <f>'数据-取费表'!B41</f>
        <v>5.6000000000000001E-2</v>
      </c>
      <c r="E68" s="178"/>
      <c r="F68" s="1807"/>
      <c r="G68" s="1807"/>
      <c r="H68" s="1809"/>
      <c r="I68" s="129"/>
      <c r="J68" s="3667"/>
      <c r="K68" s="1331" t="s">
        <v>1392</v>
      </c>
      <c r="L68" s="1331">
        <f ca="1">IF(M49&gt;10000,M49*0.5%,IF(AND(M49&gt;5000,M49&lt;=10000),M49*1%,IF(AND(M49&gt;1000,M49&lt;=5000),M49*2%,IF(AND(M49&gt;200,M49&lt;=1000),M49*3%,M49*5%))))</f>
        <v>253.25</v>
      </c>
      <c r="M68" s="302">
        <f ca="1">ROUND(L68,1)</f>
        <v>253.3</v>
      </c>
      <c r="N68" s="2542"/>
      <c r="Z68" s="1751"/>
      <c r="AI68" s="1752"/>
    </row>
    <row r="69" spans="1:35" s="1771" customFormat="1" ht="16.5" customHeight="1">
      <c r="A69" s="1810"/>
      <c r="B69" s="1811"/>
      <c r="C69" s="1812"/>
      <c r="D69" s="1813"/>
      <c r="E69" s="1814"/>
      <c r="F69" s="1577"/>
      <c r="G69" s="1577"/>
      <c r="H69" s="1576"/>
      <c r="I69" s="1746"/>
      <c r="J69" s="3667"/>
      <c r="K69" s="1331" t="s">
        <v>1393</v>
      </c>
      <c r="L69" s="1331"/>
      <c r="M69" s="302">
        <f ca="1">ROUND(SUM(M63:M68),0)</f>
        <v>822</v>
      </c>
      <c r="N69" s="2544">
        <f ca="1">M69/M49</f>
        <v>1.6229022704837118E-2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29" t="s">
        <v>1394</v>
      </c>
      <c r="B70" s="3630"/>
      <c r="C70" s="3630"/>
      <c r="D70" s="3630"/>
      <c r="E70" s="3630"/>
      <c r="F70" s="3630"/>
      <c r="G70" s="3630"/>
      <c r="H70" s="363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8" t="s">
        <v>1375</v>
      </c>
      <c r="B71" s="360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48238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3" t="s">
        <v>1402</v>
      </c>
      <c r="F76" s="3577"/>
      <c r="G76" s="3577"/>
      <c r="H76" s="362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289</v>
      </c>
      <c r="D78" s="2576">
        <f>'数据-取费表'!B43</f>
        <v>6.000000000000001E-3</v>
      </c>
      <c r="E78" s="3587" t="s">
        <v>1406</v>
      </c>
      <c r="F78" s="3588"/>
      <c r="G78" s="3588"/>
      <c r="H78" s="359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47949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165.91349480968859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28668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9" t="s">
        <v>1410</v>
      </c>
      <c r="B83" s="3630"/>
      <c r="C83" s="3630"/>
      <c r="D83" s="3630"/>
      <c r="E83" s="3630"/>
      <c r="F83" s="3630"/>
      <c r="G83" s="3630"/>
      <c r="H83" s="363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8" t="s">
        <v>1375</v>
      </c>
      <c r="B84" s="360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48238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69" t="s">
        <v>2129</v>
      </c>
      <c r="H90" s="3670"/>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7" t="s">
        <v>1419</v>
      </c>
      <c r="F91" s="3588"/>
      <c r="G91" s="358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7" t="s">
        <v>1422</v>
      </c>
      <c r="F92" s="3588"/>
      <c r="G92" s="3588"/>
      <c r="H92" s="3597"/>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289</v>
      </c>
      <c r="D93" s="2576">
        <f>'数据-取费表'!B43</f>
        <v>6.000000000000001E-3</v>
      </c>
      <c r="E93" s="3587" t="s">
        <v>1406</v>
      </c>
      <c r="F93" s="3588"/>
      <c r="G93" s="3588"/>
      <c r="H93" s="359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98" t="s">
        <v>1426</v>
      </c>
      <c r="F94" s="3599"/>
      <c r="G94" s="3599"/>
      <c r="H94" s="360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47949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165.91349480968859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28668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4" t="str">
        <f>C4</f>
        <v>成本法</v>
      </c>
      <c r="D101" s="2585" t="str">
        <f>D4</f>
        <v>收益法</v>
      </c>
      <c r="E101" s="3664" t="s">
        <v>1431</v>
      </c>
      <c r="F101" s="3621"/>
      <c r="G101" s="1826" t="s">
        <v>1432</v>
      </c>
      <c r="H101" s="2594">
        <f ca="1">H118</f>
        <v>50650</v>
      </c>
      <c r="I101" s="129"/>
    </row>
    <row r="102" spans="1:35" ht="18.75" customHeight="1">
      <c r="A102" s="3623" t="s">
        <v>1433</v>
      </c>
      <c r="B102" s="2583" t="s">
        <v>1432</v>
      </c>
      <c r="C102" s="2584">
        <f ca="1">IF(D32="楼面单价",ROUND(C19,0),C19)</f>
        <v>46898</v>
      </c>
      <c r="D102" s="2585">
        <f ca="1">IF(D32="楼面单价",ROUND(D19,0),D19)</f>
        <v>54401</v>
      </c>
      <c r="E102" s="3664"/>
      <c r="F102" s="3621"/>
      <c r="G102" s="1826" t="s">
        <v>1434</v>
      </c>
      <c r="H102" s="2554">
        <f ca="1">I118</f>
        <v>29014</v>
      </c>
      <c r="I102" s="129"/>
    </row>
    <row r="103" spans="1:35" ht="42.75" customHeight="1">
      <c r="A103" s="3623"/>
      <c r="B103" s="2583" t="s">
        <v>1434</v>
      </c>
      <c r="C103" s="2586">
        <f ca="1">C20</f>
        <v>26864</v>
      </c>
      <c r="D103" s="2587">
        <f ca="1">D20</f>
        <v>31162</v>
      </c>
      <c r="E103" s="3658" t="s">
        <v>1435</v>
      </c>
      <c r="F103" s="3659"/>
      <c r="G103" s="1827" t="s">
        <v>1436</v>
      </c>
      <c r="H103" s="2594">
        <f>IF(D36="正常操作",H104+H105+H106,H105+H106)</f>
        <v>0</v>
      </c>
      <c r="I103" s="129"/>
    </row>
    <row r="104" spans="1:35" ht="18.75" customHeight="1">
      <c r="A104" s="3623" t="s">
        <v>1437</v>
      </c>
      <c r="B104" s="2588" t="s">
        <v>1432</v>
      </c>
      <c r="C104" s="2589">
        <f ca="1">H118</f>
        <v>50650</v>
      </c>
      <c r="D104" s="2590"/>
      <c r="E104" s="1673" t="s">
        <v>1438</v>
      </c>
      <c r="F104" s="1665"/>
      <c r="G104" s="1827" t="s">
        <v>1436</v>
      </c>
      <c r="H104" s="2595">
        <f>IF(D36="同一抵押权人同一抵押物续贷",C36&amp;"（续贷，未扣减，详见特别提示）",C36)</f>
        <v>0</v>
      </c>
      <c r="I104" s="129"/>
    </row>
    <row r="105" spans="1:35" ht="18.75" customHeight="1" thickBot="1">
      <c r="A105" s="3624"/>
      <c r="B105" s="2591" t="s">
        <v>1434</v>
      </c>
      <c r="C105" s="2592">
        <f ca="1">I118</f>
        <v>29014</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0" t="str">
        <f>IF(项目基本情况!E8="已注销","——","3.房地产抵押价值")</f>
        <v>3.房地产抵押价值</v>
      </c>
      <c r="F107" s="3621"/>
      <c r="G107" s="1826" t="s">
        <v>1432</v>
      </c>
      <c r="H107" s="2594">
        <f ca="1">IF(E107="——","——",H101-H103)</f>
        <v>50650</v>
      </c>
      <c r="I107" s="129"/>
    </row>
    <row r="108" spans="1:35" ht="18.75" customHeight="1">
      <c r="A108" s="129"/>
      <c r="B108" s="129"/>
      <c r="C108" s="129"/>
      <c r="D108" s="129"/>
      <c r="E108" s="3620"/>
      <c r="F108" s="3621"/>
      <c r="G108" s="1826" t="s">
        <v>1434</v>
      </c>
      <c r="H108" s="2554">
        <f ca="1">IF(H107=H101,H102,ROUND(H107*10000/'数据-汇总表'!E3,0))</f>
        <v>29014</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6" t="s">
        <v>1432</v>
      </c>
      <c r="H109" s="2597" t="str">
        <f>IF(E109="——","——",H101-H105-H106)</f>
        <v>——</v>
      </c>
      <c r="I109" s="129"/>
    </row>
    <row r="110" spans="1:35" ht="18.75" customHeight="1">
      <c r="A110" s="129"/>
      <c r="B110" s="129"/>
      <c r="C110" s="129"/>
      <c r="D110" s="129"/>
      <c r="E110" s="3620"/>
      <c r="F110" s="3621"/>
      <c r="G110" s="1826" t="s">
        <v>1434</v>
      </c>
      <c r="H110" s="2554"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4.抵押净值</v>
      </c>
      <c r="F111" s="3622"/>
      <c r="G111" s="1826" t="s">
        <v>1432</v>
      </c>
      <c r="H111" s="2594">
        <f ca="1">IF(E111="——","——",N59)</f>
        <v>45512</v>
      </c>
      <c r="I111" s="129"/>
    </row>
    <row r="112" spans="1:35" ht="18.75" customHeight="1" thickBot="1">
      <c r="A112" s="129"/>
      <c r="B112" s="129"/>
      <c r="C112" s="129"/>
      <c r="D112" s="129"/>
      <c r="E112" s="3653"/>
      <c r="F112" s="3654"/>
      <c r="G112" s="1829" t="s">
        <v>1434</v>
      </c>
      <c r="H112" s="2598">
        <f ca="1">IF(E111="——","——",N61)</f>
        <v>26070</v>
      </c>
      <c r="I112" s="129"/>
    </row>
    <row r="113" spans="1:27" ht="18.75" customHeight="1">
      <c r="A113" s="129"/>
      <c r="B113" s="129"/>
      <c r="C113" s="129"/>
      <c r="D113" s="129"/>
      <c r="E113" s="3625" t="s">
        <v>1440</v>
      </c>
      <c r="F113" s="3625"/>
      <c r="G113" s="3625"/>
      <c r="H113" s="3625"/>
      <c r="I113" s="129"/>
    </row>
    <row r="114" spans="1:27" ht="3.75" customHeight="1">
      <c r="A114" s="1746"/>
      <c r="B114" s="1746"/>
      <c r="C114" s="1746"/>
      <c r="D114" s="1746"/>
      <c r="E114" s="1808"/>
      <c r="F114" s="1808"/>
      <c r="G114" s="1808"/>
      <c r="H114" s="1808"/>
      <c r="I114" s="1746"/>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17457.32</v>
      </c>
      <c r="C118" s="2328">
        <f>M19</f>
        <v>3862.4</v>
      </c>
      <c r="D118" s="2328">
        <f ca="1">ROUND(IF(D32="总价",C34,E118*B118/10000),0)</f>
        <v>35658</v>
      </c>
      <c r="E118" s="2328">
        <f ca="1">ROUND(IF(C33="自定义",IF(D32="楼面单价",C34,D118*10000/B118),I118-G118),0)</f>
        <v>20426</v>
      </c>
      <c r="F118" s="2328">
        <f ca="1">ROUND(IF(D32="总价",C35,G118*B118/10000),0)</f>
        <v>14992</v>
      </c>
      <c r="G118" s="2328">
        <f ca="1">ROUND(IF(D32="楼面单价",C35,F118*10000/B118),0)</f>
        <v>8588</v>
      </c>
      <c r="H118" s="2328">
        <f ca="1">ROUND(IF(D32="总价",C32,I118*B118/10000),0)</f>
        <v>50650</v>
      </c>
      <c r="I118" s="2328">
        <f ca="1">ROUND(IF(D32="楼面单价",C32,H118*10000/B118),0)</f>
        <v>29014</v>
      </c>
    </row>
    <row r="119" spans="1:27" ht="18.75" customHeight="1">
      <c r="A119" s="3591" t="s">
        <v>1452</v>
      </c>
      <c r="B119" s="3591"/>
      <c r="C119" s="3591"/>
      <c r="D119" s="3631" t="str">
        <f ca="1">NUMBERSTRING(INT(D118*10000),2)&amp;"元整"</f>
        <v>叁亿伍仟陆佰伍拾捌万元整</v>
      </c>
      <c r="E119" s="3633"/>
      <c r="F119" s="3631" t="str">
        <f ca="1">NUMBERSTRING(INT(F118*10000),2)&amp;"元整"</f>
        <v>壹亿肆仟玖佰玖拾贰万元整</v>
      </c>
      <c r="G119" s="3633"/>
      <c r="H119" s="3631" t="str">
        <f ca="1">NUMBERSTRING(INT(H118*10000),2)&amp;"元整"</f>
        <v>伍亿零陆佰伍拾万元整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1" t="s">
        <v>1452</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50650</v>
      </c>
      <c r="E122" s="3656"/>
      <c r="F122" s="3656"/>
      <c r="G122" s="3656"/>
      <c r="H122" s="3656"/>
      <c r="I122" s="3657"/>
      <c r="AA122" s="725"/>
    </row>
    <row r="123" spans="1:27" ht="18.75" customHeight="1">
      <c r="A123" s="3591" t="s">
        <v>1452</v>
      </c>
      <c r="B123" s="3591"/>
      <c r="C123" s="3591"/>
      <c r="D123" s="3631" t="str">
        <f ca="1">NUMBERSTRING(INT(D122*10000),2)&amp;"元整"</f>
        <v>伍亿零陆佰伍拾万元整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1452</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抵押净值</v>
      </c>
      <c r="B126" s="3622"/>
      <c r="C126" s="3622"/>
      <c r="D126" s="3655">
        <f ca="1">H111</f>
        <v>45512</v>
      </c>
      <c r="E126" s="3656"/>
      <c r="F126" s="3656"/>
      <c r="G126" s="3656"/>
      <c r="H126" s="3656"/>
      <c r="I126" s="3657"/>
      <c r="AA126" s="725"/>
    </row>
    <row r="127" spans="1:27" ht="18.75" customHeight="1">
      <c r="A127" s="3591" t="s">
        <v>1452</v>
      </c>
      <c r="B127" s="3591"/>
      <c r="C127" s="3591"/>
      <c r="D127" s="3631" t="str">
        <f ca="1">NUMBERSTRING(INT(D126*10000),2)&amp;"元整"</f>
        <v>肆亿伍仟伍佰壹拾贰万元整</v>
      </c>
      <c r="E127" s="3632"/>
      <c r="F127" s="3632"/>
      <c r="G127" s="3632"/>
      <c r="H127" s="3632"/>
      <c r="I127" s="3633"/>
      <c r="AA127" s="725"/>
    </row>
    <row r="128" spans="1:27" ht="21.75" customHeight="1">
      <c r="A128" s="3638" t="s">
        <v>1453</v>
      </c>
      <c r="B128" s="3638"/>
      <c r="C128" s="3638"/>
      <c r="D128" s="3638"/>
      <c r="E128" s="3638"/>
      <c r="F128" s="3638"/>
      <c r="G128" s="3638"/>
      <c r="H128" s="3638"/>
      <c r="I128" s="363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7" t="str">
        <f>项目基本情况!B1</f>
        <v>北京市房地产抵押价值预评估</v>
      </c>
      <c r="C37" s="3487"/>
      <c r="D37" s="3487"/>
      <c r="E37" s="3487"/>
      <c r="F37" s="3487"/>
      <c r="G37" s="3487"/>
      <c r="H37" s="3487"/>
      <c r="I37" s="3487"/>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Normal="60" zoomScaleSheetLayoutView="100" workbookViewId="0">
      <selection activeCell="C19" sqref="C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21929</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12561</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5" t="s">
        <v>1770</v>
      </c>
      <c r="D4" s="3687"/>
      <c r="E4" s="3688" t="s">
        <v>1771</v>
      </c>
      <c r="F4" s="3689"/>
      <c r="G4" s="3675" t="s">
        <v>1772</v>
      </c>
      <c r="H4" s="3687"/>
      <c r="I4" s="3675" t="s">
        <v>1773</v>
      </c>
      <c r="J4" s="3687"/>
      <c r="K4" s="559" t="s">
        <v>1774</v>
      </c>
      <c r="L4" s="2714"/>
      <c r="M4" s="2715"/>
      <c r="N4" s="2715"/>
      <c r="O4" s="2715"/>
      <c r="P4" s="3690" t="s">
        <v>1775</v>
      </c>
      <c r="Q4" s="3691"/>
      <c r="R4" s="3696" t="s">
        <v>1771</v>
      </c>
      <c r="S4" s="3697"/>
      <c r="T4" s="3696" t="s">
        <v>1772</v>
      </c>
      <c r="U4" s="3697"/>
      <c r="V4" s="3683" t="s">
        <v>1773</v>
      </c>
      <c r="W4" s="3683"/>
      <c r="X4" s="1354"/>
      <c r="Y4" s="3696" t="s">
        <v>1775</v>
      </c>
      <c r="Z4" s="3697"/>
      <c r="AA4" s="3684" t="s">
        <v>1771</v>
      </c>
      <c r="AB4" s="3685" t="s">
        <v>1772</v>
      </c>
      <c r="AC4" s="3684" t="s">
        <v>1773</v>
      </c>
    </row>
    <row r="5" spans="1:30" ht="63" customHeight="1">
      <c r="A5" s="358"/>
      <c r="B5" s="359"/>
      <c r="C5" s="3704" t="s">
        <v>1673</v>
      </c>
      <c r="D5" s="3705"/>
      <c r="E5" s="3711" t="str">
        <f>土地案例!A2</f>
        <v>北京丽泽金融商务区北区A地块建设及综合治理项目FT00-0609-0037(2)地块B4综合性商业金融服务业用地</v>
      </c>
      <c r="F5" s="3712"/>
      <c r="G5" s="3704" t="str">
        <f>土地案例!A3</f>
        <v>北京市丰台区丽泽金融商务区FT00-0612-0016等地块F3其他类多功能用地、S32公交场站设施用地</v>
      </c>
      <c r="H5" s="3705"/>
      <c r="I5" s="3704" t="str">
        <f>土地案例!A4</f>
        <v>北京市丰台区丽泽金融商务区D-01地块B4综合性商业金融服务业用地</v>
      </c>
      <c r="J5" s="3705"/>
      <c r="K5" s="559"/>
      <c r="L5" s="2714"/>
      <c r="M5" s="2715"/>
      <c r="N5" s="2715"/>
      <c r="O5" s="2715"/>
      <c r="P5" s="3692"/>
      <c r="Q5" s="3693"/>
      <c r="R5" s="3698"/>
      <c r="S5" s="3699"/>
      <c r="T5" s="3698"/>
      <c r="U5" s="3699"/>
      <c r="V5" s="3683"/>
      <c r="W5" s="3683"/>
      <c r="X5" s="1354"/>
      <c r="Y5" s="3698"/>
      <c r="Z5" s="3699"/>
      <c r="AA5" s="3685"/>
      <c r="AB5" s="3685"/>
      <c r="AC5" s="3685"/>
    </row>
    <row r="6" spans="1:30"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3"/>
      <c r="W6" s="3683"/>
      <c r="X6" s="1354"/>
      <c r="Y6" s="3700"/>
      <c r="Z6" s="3701"/>
      <c r="AA6" s="3686"/>
      <c r="AB6" s="3686"/>
      <c r="AC6" s="3686"/>
    </row>
    <row r="7" spans="1:30" s="108" customFormat="1" ht="15.75" thickBot="1">
      <c r="A7" s="362" t="s">
        <v>1679</v>
      </c>
      <c r="B7" s="363"/>
      <c r="C7" s="364">
        <f>'数据-取费表'!B2</f>
        <v>45526</v>
      </c>
      <c r="D7" s="365">
        <v>100</v>
      </c>
      <c r="E7" s="366">
        <f>土地案例!AG2</f>
        <v>45288.000497685185</v>
      </c>
      <c r="F7" s="367">
        <f>SUMIF(69:69,YEAR(E7)&amp;"-"&amp;INT((MONTH(E7)+2)/3),70:70)</f>
        <v>99.399999999999991</v>
      </c>
      <c r="G7" s="1973">
        <f>土地案例!AG3</f>
        <v>45090.000497685185</v>
      </c>
      <c r="H7" s="365">
        <f>SUMIF(69:69,YEAR(G7)&amp;"-"&amp;INT((MONTH(G7)+2)/3),70:70)</f>
        <v>98.999999999999986</v>
      </c>
      <c r="I7" s="1973">
        <f>土地案例!AG4</f>
        <v>44798.000497685185</v>
      </c>
      <c r="J7" s="365">
        <f>SUMIF(69:69,YEAR(I7)&amp;"-"&amp;INT((MONTH(I7)+2)/3),70:70)</f>
        <v>98.399999999999977</v>
      </c>
      <c r="K7" s="560"/>
      <c r="L7" s="2716"/>
      <c r="M7" s="2717"/>
      <c r="N7" s="2717"/>
      <c r="O7" s="2717"/>
      <c r="P7" s="3706" t="s">
        <v>1680</v>
      </c>
      <c r="Q7" s="3708"/>
      <c r="R7" s="701" t="s">
        <v>14</v>
      </c>
      <c r="S7" s="702">
        <f t="shared" ref="S7:S15" si="0">F7</f>
        <v>99.399999999999991</v>
      </c>
      <c r="T7" s="701" t="s">
        <v>14</v>
      </c>
      <c r="U7" s="702">
        <f t="shared" ref="U7:U15" si="1">H7</f>
        <v>98.999999999999986</v>
      </c>
      <c r="V7" s="701" t="s">
        <v>14</v>
      </c>
      <c r="W7" s="702">
        <f t="shared" ref="W7:W15" si="2">J7</f>
        <v>98.399999999999977</v>
      </c>
      <c r="X7" s="703"/>
      <c r="Y7" s="3706" t="s">
        <v>1680</v>
      </c>
      <c r="Z7" s="3707"/>
      <c r="AA7" s="704">
        <f>D7/F7</f>
        <v>1.0060362173038231</v>
      </c>
      <c r="AB7" s="704">
        <f>D7/H7</f>
        <v>1.0101010101010102</v>
      </c>
      <c r="AC7" s="704">
        <f>D7/J7</f>
        <v>1.0162601626016263</v>
      </c>
    </row>
    <row r="8" spans="1:30" s="108" customFormat="1" ht="15.75" thickBot="1">
      <c r="A8" s="362" t="s">
        <v>1681</v>
      </c>
      <c r="B8" s="363"/>
      <c r="C8" s="368" t="s">
        <v>1682</v>
      </c>
      <c r="D8" s="365">
        <v>100</v>
      </c>
      <c r="E8" s="368" t="s">
        <v>3571</v>
      </c>
      <c r="F8" s="367">
        <f>SUMIF(72:72,E8,73:73)-SUMIF(72:72,C8,73:73)+100</f>
        <v>100</v>
      </c>
      <c r="G8" s="368" t="s">
        <v>3571</v>
      </c>
      <c r="H8" s="365">
        <f>SUMIF(72:72,G8,73:73)-SUMIF(72:72,C8,73:73)+100</f>
        <v>100</v>
      </c>
      <c r="I8" s="368" t="s">
        <v>3571</v>
      </c>
      <c r="J8" s="365">
        <f>SUMIF(72:72,I8,73:73)-SUMIF(72:72,C8,73:73)+100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45" si="3">D8/F8</f>
        <v>1</v>
      </c>
      <c r="AB8" s="704">
        <f t="shared" ref="AB8:AB45" si="4">D8/H8</f>
        <v>1</v>
      </c>
      <c r="AC8" s="704">
        <f t="shared" ref="AC8:AC45" si="5">D8/J8</f>
        <v>1</v>
      </c>
    </row>
    <row r="9" spans="1:30" s="108" customFormat="1" ht="15">
      <c r="A9" s="369" t="s">
        <v>1684</v>
      </c>
      <c r="B9" s="63" t="s">
        <v>1685</v>
      </c>
      <c r="C9" s="1976" t="s">
        <v>3591</v>
      </c>
      <c r="D9" s="126">
        <v>100</v>
      </c>
      <c r="E9" s="1976" t="s">
        <v>3591</v>
      </c>
      <c r="F9" s="126">
        <f>SUMIF(74:74,E9,75:75)-SUMIF(74:74,C9,75:75)+100</f>
        <v>100</v>
      </c>
      <c r="G9" s="1976" t="s">
        <v>3592</v>
      </c>
      <c r="H9" s="126">
        <f>SUMIF(74:74,G9,75:75)-SUMIF(74:74,C9,75:75)+100</f>
        <v>95</v>
      </c>
      <c r="I9" s="1976" t="s">
        <v>3591</v>
      </c>
      <c r="J9" s="126">
        <f>SUMIF(74:74,I9,75:75)-SUMIF(74:74,C9,75:75)+100</f>
        <v>100</v>
      </c>
      <c r="K9" s="560"/>
      <c r="L9" s="2716"/>
      <c r="M9" s="2717"/>
      <c r="N9" s="2717"/>
      <c r="O9" s="2771"/>
      <c r="P9" s="3678" t="s">
        <v>1686</v>
      </c>
      <c r="Q9" s="1342" t="str">
        <f t="shared" ref="Q9:Q15" si="6">B9</f>
        <v>用途</v>
      </c>
      <c r="R9" s="701" t="s">
        <v>14</v>
      </c>
      <c r="S9" s="702">
        <f t="shared" si="0"/>
        <v>100</v>
      </c>
      <c r="T9" s="701" t="s">
        <v>14</v>
      </c>
      <c r="U9" s="702">
        <f t="shared" si="1"/>
        <v>95</v>
      </c>
      <c r="V9" s="701" t="s">
        <v>14</v>
      </c>
      <c r="W9" s="702">
        <f t="shared" si="2"/>
        <v>100</v>
      </c>
      <c r="X9" s="703"/>
      <c r="Y9" s="3578" t="s">
        <v>1687</v>
      </c>
      <c r="Z9" s="52" t="str">
        <f t="shared" ref="Z9:Z15" si="7">Q9</f>
        <v>用途</v>
      </c>
      <c r="AA9" s="704">
        <f t="shared" si="3"/>
        <v>1</v>
      </c>
      <c r="AB9" s="704">
        <f t="shared" si="4"/>
        <v>1.0526315789473684</v>
      </c>
      <c r="AC9" s="704">
        <f t="shared" si="5"/>
        <v>1</v>
      </c>
    </row>
    <row r="10" spans="1:30" s="378" customFormat="1" ht="27">
      <c r="A10" s="374"/>
      <c r="B10" s="375" t="s">
        <v>1688</v>
      </c>
      <c r="C10" s="383"/>
      <c r="D10" s="127">
        <v>100</v>
      </c>
      <c r="E10" s="416"/>
      <c r="F10" s="127">
        <f>ROUND(100/'数据-取费表'!G16,0)</f>
        <v>131</v>
      </c>
      <c r="G10" s="414"/>
      <c r="H10" s="127">
        <f>ROUND(100/'数据-取费表'!G16,0)</f>
        <v>131</v>
      </c>
      <c r="I10" s="414"/>
      <c r="J10" s="127">
        <f>ROUND(100/'数据-取费表'!G16,0)</f>
        <v>131</v>
      </c>
      <c r="K10" s="620"/>
      <c r="L10" s="2718"/>
      <c r="M10" s="2719"/>
      <c r="N10" s="2719"/>
      <c r="O10" s="2772"/>
      <c r="P10" s="3678"/>
      <c r="Q10" s="1342" t="str">
        <f t="shared" si="6"/>
        <v>土地使用年限（年）</v>
      </c>
      <c r="R10" s="701" t="s">
        <v>14</v>
      </c>
      <c r="S10" s="702">
        <f t="shared" si="0"/>
        <v>131</v>
      </c>
      <c r="T10" s="701" t="s">
        <v>14</v>
      </c>
      <c r="U10" s="702">
        <f t="shared" si="1"/>
        <v>131</v>
      </c>
      <c r="V10" s="701" t="s">
        <v>14</v>
      </c>
      <c r="W10" s="702">
        <f t="shared" si="2"/>
        <v>131</v>
      </c>
      <c r="X10" s="703"/>
      <c r="Y10" s="3578"/>
      <c r="Z10" s="52" t="str">
        <f t="shared" si="7"/>
        <v>土地使用年限（年）</v>
      </c>
      <c r="AA10" s="704">
        <f t="shared" si="3"/>
        <v>0.76335877862595425</v>
      </c>
      <c r="AB10" s="704">
        <f t="shared" si="4"/>
        <v>0.76335877862595425</v>
      </c>
      <c r="AC10" s="704">
        <f t="shared" si="5"/>
        <v>0.76335877862595425</v>
      </c>
    </row>
    <row r="11" spans="1:30" ht="15">
      <c r="A11" s="379"/>
      <c r="B11" s="375" t="s">
        <v>1689</v>
      </c>
      <c r="C11" s="380">
        <f>'数据-汇总表'!I7</f>
        <v>2.48</v>
      </c>
      <c r="D11" s="127">
        <v>100</v>
      </c>
      <c r="E11" s="380">
        <v>7</v>
      </c>
      <c r="F11" s="127">
        <f>LOOKUP(E11,79:79,80:80)-LOOKUP(C11,79:79,80:80)+100</f>
        <v>85</v>
      </c>
      <c r="G11" s="381">
        <f>土地案例!S3</f>
        <v>4.4000000000000004</v>
      </c>
      <c r="H11" s="127">
        <f>LOOKUP(G11,79:79,80:80)-LOOKUP(C11,79:79,80:80)+100</f>
        <v>94</v>
      </c>
      <c r="I11" s="380">
        <v>6.33</v>
      </c>
      <c r="J11" s="127">
        <f>LOOKUP(I11,79:79,80:80)-LOOKUP(C11,79:79,80:80)+100</f>
        <v>88</v>
      </c>
      <c r="K11" s="621">
        <v>3</v>
      </c>
      <c r="L11" s="2720"/>
      <c r="M11" s="2715"/>
      <c r="N11" s="2715"/>
      <c r="O11" s="2773"/>
      <c r="P11" s="3678"/>
      <c r="Q11" s="1342" t="str">
        <f t="shared" si="6"/>
        <v>容积率</v>
      </c>
      <c r="R11" s="701" t="s">
        <v>14</v>
      </c>
      <c r="S11" s="702">
        <f t="shared" si="0"/>
        <v>85</v>
      </c>
      <c r="T11" s="701" t="s">
        <v>14</v>
      </c>
      <c r="U11" s="702">
        <f t="shared" si="1"/>
        <v>94</v>
      </c>
      <c r="V11" s="701" t="s">
        <v>14</v>
      </c>
      <c r="W11" s="702">
        <f t="shared" si="2"/>
        <v>88</v>
      </c>
      <c r="X11" s="703"/>
      <c r="Y11" s="3578"/>
      <c r="Z11" s="52" t="str">
        <f t="shared" si="7"/>
        <v>容积率</v>
      </c>
      <c r="AA11" s="704">
        <f t="shared" si="3"/>
        <v>1.1764705882352942</v>
      </c>
      <c r="AB11" s="704">
        <f t="shared" si="4"/>
        <v>1.0638297872340425</v>
      </c>
      <c r="AC11" s="704">
        <f t="shared" si="5"/>
        <v>1.1363636363636365</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8"/>
      <c r="Q12" s="1342" t="str">
        <f t="shared" si="6"/>
        <v>配建</v>
      </c>
      <c r="R12" s="701" t="s">
        <v>14</v>
      </c>
      <c r="S12" s="702">
        <f t="shared" si="0"/>
        <v>100</v>
      </c>
      <c r="T12" s="701" t="s">
        <v>14</v>
      </c>
      <c r="U12" s="702">
        <f t="shared" si="1"/>
        <v>100</v>
      </c>
      <c r="V12" s="701" t="s">
        <v>14</v>
      </c>
      <c r="W12" s="702">
        <f t="shared" si="2"/>
        <v>100</v>
      </c>
      <c r="X12" s="703"/>
      <c r="Y12" s="357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8"/>
      <c r="Q13" s="1342">
        <f t="shared" si="6"/>
        <v>111</v>
      </c>
      <c r="R13" s="701" t="s">
        <v>14</v>
      </c>
      <c r="S13" s="702">
        <f t="shared" si="0"/>
        <v>100</v>
      </c>
      <c r="T13" s="701" t="s">
        <v>14</v>
      </c>
      <c r="U13" s="702">
        <f t="shared" si="1"/>
        <v>100</v>
      </c>
      <c r="V13" s="701" t="s">
        <v>14</v>
      </c>
      <c r="W13" s="702">
        <f t="shared" si="2"/>
        <v>100</v>
      </c>
      <c r="X13" s="703"/>
      <c r="Y13" s="357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8"/>
      <c r="Q14" s="1342">
        <f t="shared" si="6"/>
        <v>111</v>
      </c>
      <c r="R14" s="701" t="s">
        <v>14</v>
      </c>
      <c r="S14" s="702">
        <f t="shared" si="0"/>
        <v>100</v>
      </c>
      <c r="T14" s="701" t="s">
        <v>14</v>
      </c>
      <c r="U14" s="702">
        <f t="shared" si="1"/>
        <v>100</v>
      </c>
      <c r="V14" s="701" t="s">
        <v>14</v>
      </c>
      <c r="W14" s="702">
        <f t="shared" si="2"/>
        <v>100</v>
      </c>
      <c r="X14" s="703"/>
      <c r="Y14" s="3578"/>
      <c r="Z14" s="52">
        <f t="shared" si="7"/>
        <v>111</v>
      </c>
      <c r="AA14" s="704">
        <f>D14/F14</f>
        <v>1</v>
      </c>
      <c r="AB14" s="704">
        <f>D14/H14</f>
        <v>1</v>
      </c>
      <c r="AC14" s="704">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9" t="s">
        <v>1691</v>
      </c>
      <c r="Q15" s="1351" t="str">
        <f t="shared" si="6"/>
        <v>居住社区成熟度</v>
      </c>
      <c r="R15" s="705" t="s">
        <v>14</v>
      </c>
      <c r="S15" s="706">
        <f t="shared" si="0"/>
        <v>100</v>
      </c>
      <c r="T15" s="705" t="s">
        <v>14</v>
      </c>
      <c r="U15" s="706">
        <f t="shared" si="1"/>
        <v>100</v>
      </c>
      <c r="V15" s="705" t="s">
        <v>14</v>
      </c>
      <c r="W15" s="706">
        <f t="shared" si="2"/>
        <v>100</v>
      </c>
      <c r="X15" s="1354"/>
      <c r="Y15" s="367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80"/>
      <c r="Q16" s="1351"/>
      <c r="R16" s="705"/>
      <c r="S16" s="706"/>
      <c r="T16" s="705"/>
      <c r="U16" s="706"/>
      <c r="V16" s="705"/>
      <c r="W16" s="706"/>
      <c r="X16" s="1354"/>
      <c r="Y16" s="3680"/>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0"/>
      <c r="Q17" s="1351" t="str">
        <f>B17</f>
        <v>商业繁华度</v>
      </c>
      <c r="R17" s="705" t="s">
        <v>14</v>
      </c>
      <c r="S17" s="706">
        <f>F17</f>
        <v>100</v>
      </c>
      <c r="T17" s="705" t="s">
        <v>14</v>
      </c>
      <c r="U17" s="706">
        <f>H17</f>
        <v>100</v>
      </c>
      <c r="V17" s="705" t="s">
        <v>14</v>
      </c>
      <c r="W17" s="706">
        <f>J17</f>
        <v>100</v>
      </c>
      <c r="X17" s="1354"/>
      <c r="Y17" s="368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80"/>
      <c r="Q18" s="1351"/>
      <c r="R18" s="705"/>
      <c r="S18" s="706"/>
      <c r="T18" s="705"/>
      <c r="U18" s="706"/>
      <c r="V18" s="705"/>
      <c r="W18" s="706"/>
      <c r="X18" s="1354"/>
      <c r="Y18" s="368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103</v>
      </c>
      <c r="G19" s="408"/>
      <c r="H19" s="401">
        <f>SUMIF(91:91,G20,92:92)-SUMIF(91:91,C20,92:92)+100</f>
        <v>103</v>
      </c>
      <c r="I19" s="410"/>
      <c r="J19" s="401">
        <f>SUMIF(91:91,I20,92:92)-SUMIF(91:91,C20,92:92)+100</f>
        <v>103</v>
      </c>
      <c r="K19" s="621">
        <v>3</v>
      </c>
      <c r="L19" s="2721"/>
      <c r="M19" s="2715"/>
      <c r="N19" s="2715"/>
      <c r="O19" s="2773"/>
      <c r="P19" s="3680"/>
      <c r="Q19" s="1351" t="str">
        <f>B19</f>
        <v>办公集聚程度</v>
      </c>
      <c r="R19" s="705" t="s">
        <v>14</v>
      </c>
      <c r="S19" s="706">
        <f>F19</f>
        <v>103</v>
      </c>
      <c r="T19" s="705" t="s">
        <v>14</v>
      </c>
      <c r="U19" s="706">
        <f>H19</f>
        <v>103</v>
      </c>
      <c r="V19" s="705" t="s">
        <v>14</v>
      </c>
      <c r="W19" s="706">
        <f>J19</f>
        <v>103</v>
      </c>
      <c r="X19" s="1354"/>
      <c r="Y19" s="3680"/>
      <c r="Z19" s="1355" t="str">
        <f>Q19</f>
        <v>办公集聚程度</v>
      </c>
      <c r="AA19" s="1352">
        <f t="shared" si="3"/>
        <v>0.970873786407767</v>
      </c>
      <c r="AB19" s="1352">
        <f t="shared" si="4"/>
        <v>0.970873786407767</v>
      </c>
      <c r="AC19" s="1352">
        <f t="shared" si="5"/>
        <v>0.970873786407767</v>
      </c>
    </row>
    <row r="20" spans="1:29" ht="15">
      <c r="A20" s="379"/>
      <c r="B20" s="407"/>
      <c r="C20" s="398" t="s">
        <v>3458</v>
      </c>
      <c r="D20" s="399"/>
      <c r="E20" s="398" t="s">
        <v>3457</v>
      </c>
      <c r="F20" s="399"/>
      <c r="G20" s="398" t="s">
        <v>3457</v>
      </c>
      <c r="H20" s="399"/>
      <c r="I20" s="398" t="s">
        <v>3457</v>
      </c>
      <c r="J20" s="399"/>
      <c r="K20" s="620"/>
      <c r="L20" s="2721"/>
      <c r="M20" s="2715"/>
      <c r="N20" s="2715"/>
      <c r="O20" s="2773"/>
      <c r="P20" s="3680"/>
      <c r="Q20" s="1351"/>
      <c r="R20" s="705"/>
      <c r="S20" s="706"/>
      <c r="T20" s="705"/>
      <c r="U20" s="706"/>
      <c r="V20" s="705"/>
      <c r="W20" s="706"/>
      <c r="X20" s="1354"/>
      <c r="Y20" s="368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97</v>
      </c>
      <c r="G21" s="403"/>
      <c r="H21" s="401">
        <f>SUMIF(93:93,G22,94:94)-SUMIF(93:93,C22,94:94)+100</f>
        <v>94</v>
      </c>
      <c r="I21" s="405"/>
      <c r="J21" s="401">
        <f>SUMIF(93:93,I22,94:94)-SUMIF(93:93,C22,94:94)+100</f>
        <v>97</v>
      </c>
      <c r="K21" s="621">
        <v>3</v>
      </c>
      <c r="L21" s="2721"/>
      <c r="M21" s="2715"/>
      <c r="N21" s="2715"/>
      <c r="O21" s="2773"/>
      <c r="P21" s="3680"/>
      <c r="Q21" s="1351" t="str">
        <f>B21</f>
        <v>交通便捷度</v>
      </c>
      <c r="R21" s="705" t="s">
        <v>14</v>
      </c>
      <c r="S21" s="706">
        <f>F21</f>
        <v>97</v>
      </c>
      <c r="T21" s="705" t="s">
        <v>14</v>
      </c>
      <c r="U21" s="706">
        <f>H21</f>
        <v>94</v>
      </c>
      <c r="V21" s="705" t="s">
        <v>14</v>
      </c>
      <c r="W21" s="706">
        <f>J21</f>
        <v>97</v>
      </c>
      <c r="X21" s="1354"/>
      <c r="Y21" s="3680"/>
      <c r="Z21" s="1355" t="str">
        <f>Q21</f>
        <v>交通便捷度</v>
      </c>
      <c r="AA21" s="1352">
        <f t="shared" si="3"/>
        <v>1.0309278350515463</v>
      </c>
      <c r="AB21" s="1352">
        <f t="shared" si="4"/>
        <v>1.0638297872340425</v>
      </c>
      <c r="AC21" s="1352">
        <f t="shared" si="5"/>
        <v>1.0309278350515463</v>
      </c>
    </row>
    <row r="22" spans="1:29" ht="15">
      <c r="A22" s="379"/>
      <c r="B22" s="1131"/>
      <c r="C22" s="398" t="s">
        <v>3463</v>
      </c>
      <c r="D22" s="401"/>
      <c r="E22" s="1897" t="s">
        <v>3457</v>
      </c>
      <c r="F22" s="399"/>
      <c r="G22" s="1897" t="s">
        <v>3458</v>
      </c>
      <c r="H22" s="399"/>
      <c r="I22" s="1897" t="s">
        <v>3457</v>
      </c>
      <c r="J22" s="399"/>
      <c r="K22" s="620"/>
      <c r="L22" s="2721"/>
      <c r="M22" s="2715"/>
      <c r="N22" s="2715"/>
      <c r="O22" s="2773"/>
      <c r="P22" s="3680"/>
      <c r="Q22" s="1351"/>
      <c r="R22" s="705"/>
      <c r="S22" s="706"/>
      <c r="T22" s="705"/>
      <c r="U22" s="706"/>
      <c r="V22" s="705"/>
      <c r="W22" s="706"/>
      <c r="X22" s="1354"/>
      <c r="Y22" s="3680"/>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0"/>
      <c r="Q23" s="1351" t="str">
        <f t="shared" ref="Q23:Q37" si="8">B23</f>
        <v>区域土地利用方向</v>
      </c>
      <c r="R23" s="705" t="s">
        <v>14</v>
      </c>
      <c r="S23" s="706">
        <f>F23</f>
        <v>100</v>
      </c>
      <c r="T23" s="705" t="s">
        <v>14</v>
      </c>
      <c r="U23" s="706">
        <f>H23</f>
        <v>100</v>
      </c>
      <c r="V23" s="705" t="s">
        <v>14</v>
      </c>
      <c r="W23" s="706">
        <f>J23</f>
        <v>100</v>
      </c>
      <c r="X23" s="1354"/>
      <c r="Y23" s="3680"/>
      <c r="Z23" s="1355" t="str">
        <f>Q23</f>
        <v>区域土地利用方向</v>
      </c>
      <c r="AA23" s="1352">
        <f t="shared" si="3"/>
        <v>1</v>
      </c>
      <c r="AB23" s="1352">
        <f t="shared" si="4"/>
        <v>1</v>
      </c>
      <c r="AC23" s="1352">
        <f t="shared" si="5"/>
        <v>1</v>
      </c>
    </row>
    <row r="24" spans="1:29" ht="15">
      <c r="A24" s="358"/>
      <c r="B24" s="407"/>
      <c r="C24" s="565" t="s">
        <v>3457</v>
      </c>
      <c r="D24" s="399"/>
      <c r="E24" s="565" t="s">
        <v>3457</v>
      </c>
      <c r="F24" s="399"/>
      <c r="G24" s="565" t="s">
        <v>3457</v>
      </c>
      <c r="H24" s="399"/>
      <c r="I24" s="565" t="s">
        <v>3457</v>
      </c>
      <c r="J24" s="399"/>
      <c r="K24" s="740"/>
      <c r="L24" s="2721"/>
      <c r="M24" s="2715"/>
      <c r="N24" s="2715"/>
      <c r="O24" s="2773"/>
      <c r="P24" s="3680"/>
      <c r="Q24" s="1351"/>
      <c r="R24" s="705"/>
      <c r="S24" s="706"/>
      <c r="T24" s="705"/>
      <c r="U24" s="706"/>
      <c r="V24" s="705"/>
      <c r="W24" s="706"/>
      <c r="X24" s="1354"/>
      <c r="Y24" s="3680"/>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97</v>
      </c>
      <c r="G25" s="403"/>
      <c r="H25" s="401">
        <f>SUMIF(97:97,G26,98:98)-SUMIF(97:97,C26,98:98)+100</f>
        <v>97</v>
      </c>
      <c r="I25" s="405"/>
      <c r="J25" s="401">
        <f>SUMIF(97:97,I26,98:98)-SUMIF(97:97,C26,98:98)+100</f>
        <v>97</v>
      </c>
      <c r="K25" s="621">
        <v>3</v>
      </c>
      <c r="L25" s="2721"/>
      <c r="M25" s="2715"/>
      <c r="N25" s="2715"/>
      <c r="O25" s="2773"/>
      <c r="P25" s="3680"/>
      <c r="Q25" s="1351" t="str">
        <f t="shared" si="8"/>
        <v>自然及人文环境状况</v>
      </c>
      <c r="R25" s="705" t="s">
        <v>14</v>
      </c>
      <c r="S25" s="706">
        <f>F25</f>
        <v>97</v>
      </c>
      <c r="T25" s="705" t="s">
        <v>14</v>
      </c>
      <c r="U25" s="706">
        <f>H25</f>
        <v>97</v>
      </c>
      <c r="V25" s="705" t="s">
        <v>14</v>
      </c>
      <c r="W25" s="706">
        <f>J25</f>
        <v>97</v>
      </c>
      <c r="X25" s="1354"/>
      <c r="Y25" s="3680"/>
      <c r="Z25" s="1355" t="str">
        <f>Q25</f>
        <v>自然及人文环境状况</v>
      </c>
      <c r="AA25" s="1352">
        <f t="shared" si="3"/>
        <v>1.0309278350515463</v>
      </c>
      <c r="AB25" s="1352">
        <f t="shared" si="4"/>
        <v>1.0309278350515463</v>
      </c>
      <c r="AC25" s="1352">
        <f t="shared" si="5"/>
        <v>1.0309278350515463</v>
      </c>
    </row>
    <row r="26" spans="1:29" ht="15">
      <c r="A26" s="358"/>
      <c r="B26" s="407"/>
      <c r="C26" s="398" t="s">
        <v>3457</v>
      </c>
      <c r="D26" s="399"/>
      <c r="E26" s="398" t="s">
        <v>3458</v>
      </c>
      <c r="F26" s="399"/>
      <c r="G26" s="398" t="s">
        <v>3458</v>
      </c>
      <c r="H26" s="399"/>
      <c r="I26" s="398" t="s">
        <v>3458</v>
      </c>
      <c r="J26" s="399"/>
      <c r="K26" s="620"/>
      <c r="L26" s="2721"/>
      <c r="M26" s="2715"/>
      <c r="N26" s="2715"/>
      <c r="O26" s="2773"/>
      <c r="P26" s="3680"/>
      <c r="Q26" s="1351"/>
      <c r="R26" s="705"/>
      <c r="S26" s="706"/>
      <c r="T26" s="705"/>
      <c r="U26" s="706"/>
      <c r="V26" s="705"/>
      <c r="W26" s="706"/>
      <c r="X26" s="1354"/>
      <c r="Y26" s="3680"/>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97</v>
      </c>
      <c r="G27" s="403"/>
      <c r="H27" s="401">
        <f>SUMIF(99:99,G28,100:100)-SUMIF(99:99,C28,100:100)+100</f>
        <v>97</v>
      </c>
      <c r="I27" s="405"/>
      <c r="J27" s="401">
        <f>SUMIF(99:99,I28,100:100)-SUMIF(99:99,C28,100:100)+100</f>
        <v>97</v>
      </c>
      <c r="K27" s="621">
        <v>3</v>
      </c>
      <c r="L27" s="2716"/>
      <c r="M27" s="2717"/>
      <c r="N27" s="2717"/>
      <c r="O27" s="2771"/>
      <c r="P27" s="3680"/>
      <c r="Q27" s="1342" t="str">
        <f t="shared" si="8"/>
        <v>公共配套设施</v>
      </c>
      <c r="R27" s="701" t="s">
        <v>14</v>
      </c>
      <c r="S27" s="702">
        <f>F27</f>
        <v>97</v>
      </c>
      <c r="T27" s="701" t="s">
        <v>14</v>
      </c>
      <c r="U27" s="702">
        <f>H27</f>
        <v>97</v>
      </c>
      <c r="V27" s="701" t="s">
        <v>14</v>
      </c>
      <c r="W27" s="702">
        <f>J27</f>
        <v>97</v>
      </c>
      <c r="X27" s="703"/>
      <c r="Y27" s="3680"/>
      <c r="Z27" s="52" t="str">
        <f>Q27</f>
        <v>公共配套设施</v>
      </c>
      <c r="AA27" s="1352">
        <f>D27/F27</f>
        <v>1.0309278350515463</v>
      </c>
      <c r="AB27" s="1352">
        <f>D27/H27</f>
        <v>1.0309278350515463</v>
      </c>
      <c r="AC27" s="1352">
        <f>D27/J27</f>
        <v>1.0309278350515463</v>
      </c>
    </row>
    <row r="28" spans="1:29" s="108" customFormat="1" ht="15">
      <c r="A28" s="597"/>
      <c r="B28" s="407"/>
      <c r="C28" s="1977" t="s">
        <v>3457</v>
      </c>
      <c r="D28" s="399"/>
      <c r="E28" s="398" t="s">
        <v>3458</v>
      </c>
      <c r="F28" s="399"/>
      <c r="G28" s="398" t="s">
        <v>3458</v>
      </c>
      <c r="H28" s="399"/>
      <c r="I28" s="398" t="s">
        <v>3458</v>
      </c>
      <c r="J28" s="399"/>
      <c r="K28" s="620"/>
      <c r="L28" s="2716"/>
      <c r="M28" s="2717"/>
      <c r="N28" s="2717"/>
      <c r="O28" s="2771"/>
      <c r="P28" s="3680"/>
      <c r="Q28" s="1342"/>
      <c r="R28" s="701"/>
      <c r="S28" s="702"/>
      <c r="T28" s="701"/>
      <c r="U28" s="702"/>
      <c r="V28" s="701"/>
      <c r="W28" s="702"/>
      <c r="X28" s="703"/>
      <c r="Y28" s="3680"/>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6"/>
      <c r="M29" s="2717"/>
      <c r="N29" s="2717"/>
      <c r="O29" s="2771"/>
      <c r="P29" s="3680"/>
      <c r="Q29" s="1342"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2">
        <f>D29/F29</f>
        <v>1</v>
      </c>
      <c r="AB29" s="1352">
        <f>D29/H29</f>
        <v>1</v>
      </c>
      <c r="AC29" s="1352">
        <f>D29/J29</f>
        <v>1</v>
      </c>
    </row>
    <row r="30" spans="1:29" s="108" customFormat="1" ht="15">
      <c r="A30" s="597"/>
      <c r="B30" s="407"/>
      <c r="C30" s="1977" t="s">
        <v>3572</v>
      </c>
      <c r="D30" s="399"/>
      <c r="E30" s="1977" t="s">
        <v>3572</v>
      </c>
      <c r="F30" s="399"/>
      <c r="G30" s="1977" t="s">
        <v>3572</v>
      </c>
      <c r="H30" s="399"/>
      <c r="I30" s="1977" t="s">
        <v>3572</v>
      </c>
      <c r="J30" s="399"/>
      <c r="K30" s="620"/>
      <c r="L30" s="2716"/>
      <c r="M30" s="2717"/>
      <c r="N30" s="2717"/>
      <c r="O30" s="2771"/>
      <c r="P30" s="3680"/>
      <c r="Q30" s="1342"/>
      <c r="R30" s="701"/>
      <c r="S30" s="702"/>
      <c r="T30" s="701"/>
      <c r="U30" s="702"/>
      <c r="V30" s="701"/>
      <c r="W30" s="702"/>
      <c r="X30" s="703"/>
      <c r="Y30" s="368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0"/>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96</v>
      </c>
      <c r="I32" s="405"/>
      <c r="J32" s="401">
        <f>SUMIF(105:105,I33,106:106)-SUMIF(105:105,C33,106:106)+100</f>
        <v>100</v>
      </c>
      <c r="K32" s="621">
        <v>2</v>
      </c>
      <c r="L32" s="2721"/>
      <c r="M32" s="2715"/>
      <c r="N32" s="2715"/>
      <c r="O32" s="2773"/>
      <c r="P32" s="3680"/>
      <c r="Q32" s="1351" t="str">
        <f t="shared" si="8"/>
        <v>毗邻道路的类型与等级</v>
      </c>
      <c r="R32" s="705" t="s">
        <v>14</v>
      </c>
      <c r="S32" s="706">
        <f t="shared" si="10"/>
        <v>100</v>
      </c>
      <c r="T32" s="705" t="s">
        <v>14</v>
      </c>
      <c r="U32" s="706">
        <f t="shared" si="11"/>
        <v>96</v>
      </c>
      <c r="V32" s="705" t="s">
        <v>14</v>
      </c>
      <c r="W32" s="706">
        <f t="shared" si="12"/>
        <v>100</v>
      </c>
      <c r="X32" s="1354"/>
      <c r="Y32" s="3680"/>
      <c r="Z32" s="1355" t="str">
        <f t="shared" si="13"/>
        <v>毗邻道路的类型与等级</v>
      </c>
      <c r="AA32" s="1352">
        <f t="shared" si="3"/>
        <v>1</v>
      </c>
      <c r="AB32" s="1352">
        <f t="shared" si="4"/>
        <v>1.0416666666666667</v>
      </c>
      <c r="AC32" s="1352">
        <f t="shared" si="5"/>
        <v>1</v>
      </c>
    </row>
    <row r="33" spans="1:29" ht="15">
      <c r="A33" s="379"/>
      <c r="B33" s="407"/>
      <c r="C33" s="398" t="s">
        <v>3574</v>
      </c>
      <c r="D33" s="399"/>
      <c r="E33" s="1903" t="s">
        <v>3574</v>
      </c>
      <c r="F33" s="399"/>
      <c r="G33" s="1903" t="s">
        <v>3577</v>
      </c>
      <c r="H33" s="399"/>
      <c r="I33" s="1903" t="s">
        <v>3574</v>
      </c>
      <c r="J33" s="399"/>
      <c r="K33" s="562"/>
      <c r="L33" s="2721"/>
      <c r="M33" s="2715"/>
      <c r="N33" s="2715"/>
      <c r="O33" s="2773"/>
      <c r="P33" s="3680"/>
      <c r="Q33" s="1351"/>
      <c r="R33" s="705"/>
      <c r="S33" s="706"/>
      <c r="T33" s="705"/>
      <c r="U33" s="706"/>
      <c r="V33" s="705"/>
      <c r="W33" s="706"/>
      <c r="X33" s="1354"/>
      <c r="Y33" s="368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0"/>
      <c r="Q34" s="1351" t="str">
        <f t="shared" si="8"/>
        <v>土地级别</v>
      </c>
      <c r="R34" s="705" t="s">
        <v>14</v>
      </c>
      <c r="S34" s="706">
        <f t="shared" si="10"/>
        <v>100</v>
      </c>
      <c r="T34" s="705" t="s">
        <v>14</v>
      </c>
      <c r="U34" s="706">
        <f t="shared" si="11"/>
        <v>100</v>
      </c>
      <c r="V34" s="705" t="s">
        <v>14</v>
      </c>
      <c r="W34" s="706">
        <f t="shared" si="12"/>
        <v>100</v>
      </c>
      <c r="X34" s="1354"/>
      <c r="Y34" s="3680"/>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0"/>
      <c r="Q35" s="1351">
        <f t="shared" si="8"/>
        <v>111</v>
      </c>
      <c r="R35" s="705" t="s">
        <v>14</v>
      </c>
      <c r="S35" s="706">
        <f t="shared" si="10"/>
        <v>100</v>
      </c>
      <c r="T35" s="705" t="s">
        <v>14</v>
      </c>
      <c r="U35" s="706">
        <f t="shared" si="11"/>
        <v>100</v>
      </c>
      <c r="V35" s="705" t="s">
        <v>14</v>
      </c>
      <c r="W35" s="706">
        <f t="shared" si="12"/>
        <v>100</v>
      </c>
      <c r="X35" s="1354"/>
      <c r="Y35" s="368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81" t="s">
        <v>1696</v>
      </c>
      <c r="Q36" s="1351">
        <f t="shared" si="8"/>
        <v>111</v>
      </c>
      <c r="R36" s="705" t="s">
        <v>14</v>
      </c>
      <c r="S36" s="706">
        <f t="shared" si="10"/>
        <v>100</v>
      </c>
      <c r="T36" s="705" t="s">
        <v>14</v>
      </c>
      <c r="U36" s="706">
        <f t="shared" si="11"/>
        <v>100</v>
      </c>
      <c r="V36" s="705" t="s">
        <v>14</v>
      </c>
      <c r="W36" s="706">
        <f t="shared" si="12"/>
        <v>100</v>
      </c>
      <c r="X36" s="1354"/>
      <c r="Y36" s="3682"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2"/>
      <c r="Q37" s="1351">
        <f t="shared" si="8"/>
        <v>111</v>
      </c>
      <c r="R37" s="708" t="s">
        <v>14</v>
      </c>
      <c r="S37" s="709">
        <f t="shared" si="10"/>
        <v>100</v>
      </c>
      <c r="T37" s="708" t="s">
        <v>14</v>
      </c>
      <c r="U37" s="709">
        <f t="shared" si="11"/>
        <v>100</v>
      </c>
      <c r="V37" s="708" t="s">
        <v>14</v>
      </c>
      <c r="W37" s="709">
        <f t="shared" si="12"/>
        <v>100</v>
      </c>
      <c r="X37" s="710"/>
      <c r="Y37" s="3682"/>
      <c r="Z37" s="711">
        <f t="shared" si="13"/>
        <v>111</v>
      </c>
      <c r="AA37" s="1352">
        <f t="shared" si="3"/>
        <v>1</v>
      </c>
      <c r="AB37" s="1352">
        <f t="shared" si="4"/>
        <v>1</v>
      </c>
      <c r="AC37" s="1352">
        <f t="shared" si="5"/>
        <v>1</v>
      </c>
    </row>
    <row r="38" spans="1:29" ht="15">
      <c r="A38" s="423" t="s">
        <v>1694</v>
      </c>
      <c r="B38" s="407" t="s">
        <v>1874</v>
      </c>
      <c r="C38" s="627">
        <f>'数据-汇总表'!D3</f>
        <v>3862.4</v>
      </c>
      <c r="D38" s="418">
        <v>100</v>
      </c>
      <c r="E38" s="627">
        <f>土地案例!I2</f>
        <v>7467</v>
      </c>
      <c r="F38" s="418">
        <f>LOOKUP(E38,116:116,117:117)-LOOKUP(C38,116:116,117:117)+100</f>
        <v>100</v>
      </c>
      <c r="G38" s="627">
        <f>土地案例!I3</f>
        <v>67829.210000000006</v>
      </c>
      <c r="H38" s="418">
        <f>LOOKUP(G38,116:116,117:117)-LOOKUP(C38,116:116,117:117)+100</f>
        <v>101</v>
      </c>
      <c r="I38" s="479">
        <f>土地案例!I4</f>
        <v>12629.88</v>
      </c>
      <c r="J38" s="418">
        <f>LOOKUP(I38,116:116,117:117)-LOOKUP(C38,116:116,117:117)+100</f>
        <v>101</v>
      </c>
      <c r="K38" s="562"/>
      <c r="L38" s="2721"/>
      <c r="M38" s="2715"/>
      <c r="N38" s="2715"/>
      <c r="O38" s="2773"/>
      <c r="P38" s="3682"/>
      <c r="Q38" s="1351" t="str">
        <f>B38</f>
        <v>宗地面积</v>
      </c>
      <c r="R38" s="705" t="s">
        <v>14</v>
      </c>
      <c r="S38" s="706">
        <f t="shared" si="10"/>
        <v>100</v>
      </c>
      <c r="T38" s="705" t="s">
        <v>14</v>
      </c>
      <c r="U38" s="706">
        <f t="shared" si="11"/>
        <v>101</v>
      </c>
      <c r="V38" s="705" t="s">
        <v>14</v>
      </c>
      <c r="W38" s="706">
        <f t="shared" si="12"/>
        <v>101</v>
      </c>
      <c r="X38" s="1354"/>
      <c r="Y38" s="3682"/>
      <c r="Z38" s="1355" t="str">
        <f t="shared" si="13"/>
        <v>宗地面积</v>
      </c>
      <c r="AA38" s="1352">
        <f t="shared" si="3"/>
        <v>1</v>
      </c>
      <c r="AB38" s="1352">
        <f t="shared" si="4"/>
        <v>0.99009900990099009</v>
      </c>
      <c r="AC38" s="1352">
        <f t="shared" si="5"/>
        <v>0.99009900990099009</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2"/>
      <c r="Q39" s="1351" t="str">
        <f t="shared" ref="Q39:Q45" si="14">B39</f>
        <v>宗地形状</v>
      </c>
      <c r="R39" s="705" t="s">
        <v>14</v>
      </c>
      <c r="S39" s="706">
        <f t="shared" si="10"/>
        <v>100</v>
      </c>
      <c r="T39" s="705" t="s">
        <v>14</v>
      </c>
      <c r="U39" s="706">
        <f t="shared" si="11"/>
        <v>100</v>
      </c>
      <c r="V39" s="705" t="s">
        <v>14</v>
      </c>
      <c r="W39" s="706">
        <f t="shared" si="12"/>
        <v>100</v>
      </c>
      <c r="X39" s="1354"/>
      <c r="Y39" s="3682"/>
      <c r="Z39" s="1355" t="str">
        <f t="shared" si="13"/>
        <v>宗地形状</v>
      </c>
      <c r="AA39" s="1352">
        <f t="shared" si="3"/>
        <v>1</v>
      </c>
      <c r="AB39" s="1352">
        <f t="shared" si="4"/>
        <v>1</v>
      </c>
      <c r="AC39" s="1352">
        <f t="shared" si="5"/>
        <v>1</v>
      </c>
    </row>
    <row r="40" spans="1:29" ht="15">
      <c r="A40" s="423"/>
      <c r="B40" s="375" t="s">
        <v>1876</v>
      </c>
      <c r="C40" s="1905" t="s">
        <v>3457</v>
      </c>
      <c r="D40" s="386">
        <v>100</v>
      </c>
      <c r="E40" s="1905" t="s">
        <v>3457</v>
      </c>
      <c r="F40" s="386">
        <f>SUMIF(120:120,E40,121:121)-SUMIF(120:120,C40,121:121)+100</f>
        <v>100</v>
      </c>
      <c r="G40" s="1905" t="s">
        <v>3457</v>
      </c>
      <c r="H40" s="386">
        <f>SUMIF(120:120,G40,121:121)-SUMIF(120:120,C40,121:121)+100</f>
        <v>100</v>
      </c>
      <c r="I40" s="1905" t="s">
        <v>3457</v>
      </c>
      <c r="J40" s="386">
        <f>SUMIF(120:120,I40,121:121)-SUMIF(120:120,C40,121:121)+100</f>
        <v>100</v>
      </c>
      <c r="K40" s="561">
        <v>2</v>
      </c>
      <c r="L40" s="2721"/>
      <c r="M40" s="2715"/>
      <c r="N40" s="2715"/>
      <c r="O40" s="2773"/>
      <c r="P40" s="3682"/>
      <c r="Q40" s="1351" t="str">
        <f t="shared" si="14"/>
        <v>临街宽度及深度</v>
      </c>
      <c r="R40" s="705" t="s">
        <v>14</v>
      </c>
      <c r="S40" s="706">
        <f t="shared" si="10"/>
        <v>100</v>
      </c>
      <c r="T40" s="705" t="s">
        <v>14</v>
      </c>
      <c r="U40" s="706">
        <f t="shared" si="11"/>
        <v>100</v>
      </c>
      <c r="V40" s="705" t="s">
        <v>14</v>
      </c>
      <c r="W40" s="706">
        <f t="shared" si="12"/>
        <v>100</v>
      </c>
      <c r="X40" s="1354"/>
      <c r="Y40" s="3682"/>
      <c r="Z40" s="1355" t="str">
        <f t="shared" si="13"/>
        <v>临街宽度及深度</v>
      </c>
      <c r="AA40" s="1352">
        <f t="shared" si="3"/>
        <v>1</v>
      </c>
      <c r="AB40" s="1352">
        <f t="shared" si="4"/>
        <v>1</v>
      </c>
      <c r="AC40" s="1352">
        <f t="shared" si="5"/>
        <v>1</v>
      </c>
    </row>
    <row r="41" spans="1:29" s="108" customFormat="1" ht="15">
      <c r="A41" s="424"/>
      <c r="B41" s="375" t="s">
        <v>1877</v>
      </c>
      <c r="C41" s="1979" t="s">
        <v>3579</v>
      </c>
      <c r="D41" s="127">
        <v>100</v>
      </c>
      <c r="E41" s="1979" t="s">
        <v>3582</v>
      </c>
      <c r="F41" s="386">
        <f>SUMIF(122:122,E41,123:123)-SUMIF(122:122,C41,123:123)+100</f>
        <v>97</v>
      </c>
      <c r="G41" s="1979" t="s">
        <v>3582</v>
      </c>
      <c r="H41" s="386">
        <f>SUMIF(122:122,G41,123:123)-SUMIF(122:122,C41,123:123)+100</f>
        <v>97</v>
      </c>
      <c r="I41" s="1979" t="s">
        <v>3582</v>
      </c>
      <c r="J41" s="386">
        <f>SUMIF(122:122,I41,123:123)-SUMIF(122:122,C41,123:123)+100</f>
        <v>97</v>
      </c>
      <c r="K41" s="561">
        <v>1</v>
      </c>
      <c r="L41" s="2716"/>
      <c r="M41" s="2717"/>
      <c r="N41" s="2717"/>
      <c r="O41" s="2771"/>
      <c r="P41" s="3682"/>
      <c r="Q41" s="1351" t="str">
        <f t="shared" si="14"/>
        <v>宗地开发程度</v>
      </c>
      <c r="R41" s="701" t="s">
        <v>14</v>
      </c>
      <c r="S41" s="702">
        <f t="shared" si="10"/>
        <v>97</v>
      </c>
      <c r="T41" s="701" t="s">
        <v>14</v>
      </c>
      <c r="U41" s="702">
        <f t="shared" si="11"/>
        <v>97</v>
      </c>
      <c r="V41" s="701" t="s">
        <v>14</v>
      </c>
      <c r="W41" s="702">
        <f t="shared" si="12"/>
        <v>97</v>
      </c>
      <c r="X41" s="703"/>
      <c r="Y41" s="3682"/>
      <c r="Z41" s="52" t="str">
        <f t="shared" si="13"/>
        <v>宗地开发程度</v>
      </c>
      <c r="AA41" s="704">
        <f t="shared" si="3"/>
        <v>1.0309278350515463</v>
      </c>
      <c r="AB41" s="704">
        <f t="shared" si="4"/>
        <v>1.0309278350515463</v>
      </c>
      <c r="AC41" s="704">
        <f t="shared" si="5"/>
        <v>1.0309278350515463</v>
      </c>
    </row>
    <row r="42" spans="1:29" ht="15">
      <c r="A42" s="423"/>
      <c r="B42" s="375" t="s">
        <v>1878</v>
      </c>
      <c r="C42" s="1905" t="s">
        <v>3457</v>
      </c>
      <c r="D42" s="386">
        <v>100</v>
      </c>
      <c r="E42" s="1905" t="s">
        <v>3457</v>
      </c>
      <c r="F42" s="386">
        <f>SUMIF(124:124,E42,125:125)-SUMIF(124:124,C42,125:125)+100</f>
        <v>100</v>
      </c>
      <c r="G42" s="1905" t="s">
        <v>3457</v>
      </c>
      <c r="H42" s="386">
        <f>SUMIF(124:124,G42,125:125)-SUMIF(124:124,C42,125:125)+100</f>
        <v>100</v>
      </c>
      <c r="I42" s="1905" t="s">
        <v>3457</v>
      </c>
      <c r="J42" s="386">
        <f>SUMIF(124:124,I42,125:125)-SUMIF(124:124,C42,125:125)+100</f>
        <v>100</v>
      </c>
      <c r="K42" s="561">
        <v>2</v>
      </c>
      <c r="L42" s="2721"/>
      <c r="M42" s="2715"/>
      <c r="N42" s="2715"/>
      <c r="O42" s="2773"/>
      <c r="P42" s="3682" t="s">
        <v>1696</v>
      </c>
      <c r="Q42" s="1351" t="str">
        <f t="shared" si="14"/>
        <v>工程地质条件</v>
      </c>
      <c r="R42" s="705" t="s">
        <v>14</v>
      </c>
      <c r="S42" s="706">
        <f t="shared" si="10"/>
        <v>100</v>
      </c>
      <c r="T42" s="705" t="s">
        <v>14</v>
      </c>
      <c r="U42" s="706">
        <f t="shared" si="11"/>
        <v>100</v>
      </c>
      <c r="V42" s="705" t="s">
        <v>14</v>
      </c>
      <c r="W42" s="706">
        <f t="shared" si="12"/>
        <v>100</v>
      </c>
      <c r="X42" s="1354"/>
      <c r="Y42" s="3682"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2"/>
      <c r="Q43" s="1351">
        <f t="shared" si="14"/>
        <v>111</v>
      </c>
      <c r="R43" s="705" t="s">
        <v>14</v>
      </c>
      <c r="S43" s="706">
        <f t="shared" si="10"/>
        <v>100</v>
      </c>
      <c r="T43" s="705" t="s">
        <v>14</v>
      </c>
      <c r="U43" s="706">
        <f t="shared" si="11"/>
        <v>100</v>
      </c>
      <c r="V43" s="705" t="s">
        <v>14</v>
      </c>
      <c r="W43" s="706">
        <f t="shared" si="12"/>
        <v>100</v>
      </c>
      <c r="X43" s="1354"/>
      <c r="Y43" s="3682"/>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2"/>
      <c r="Q44" s="1351">
        <f t="shared" si="14"/>
        <v>111</v>
      </c>
      <c r="R44" s="705" t="s">
        <v>14</v>
      </c>
      <c r="S44" s="706">
        <f t="shared" si="10"/>
        <v>100</v>
      </c>
      <c r="T44" s="705" t="s">
        <v>14</v>
      </c>
      <c r="U44" s="706">
        <f t="shared" si="11"/>
        <v>100</v>
      </c>
      <c r="V44" s="705" t="s">
        <v>14</v>
      </c>
      <c r="W44" s="706">
        <f t="shared" si="12"/>
        <v>100</v>
      </c>
      <c r="X44" s="1354"/>
      <c r="Y44" s="3682"/>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2"/>
      <c r="Q45" s="1351">
        <f t="shared" si="14"/>
        <v>111</v>
      </c>
      <c r="R45" s="708" t="s">
        <v>14</v>
      </c>
      <c r="S45" s="709">
        <f t="shared" si="10"/>
        <v>100</v>
      </c>
      <c r="T45" s="708" t="s">
        <v>14</v>
      </c>
      <c r="U45" s="709">
        <f t="shared" si="11"/>
        <v>100</v>
      </c>
      <c r="V45" s="708" t="s">
        <v>14</v>
      </c>
      <c r="W45" s="709">
        <f t="shared" si="12"/>
        <v>100</v>
      </c>
      <c r="X45" s="710"/>
      <c r="Y45" s="3682"/>
      <c r="Z45" s="711">
        <f t="shared" si="13"/>
        <v>111</v>
      </c>
      <c r="AA45" s="1352">
        <f t="shared" si="3"/>
        <v>1</v>
      </c>
      <c r="AB45" s="1352">
        <f t="shared" si="4"/>
        <v>1</v>
      </c>
      <c r="AC45" s="1352">
        <f t="shared" si="5"/>
        <v>1</v>
      </c>
    </row>
    <row r="46" spans="1:29" ht="15">
      <c r="A46" s="430" t="s">
        <v>1844</v>
      </c>
      <c r="B46" s="1981" t="s">
        <v>1879</v>
      </c>
      <c r="C46" s="630" t="s">
        <v>0</v>
      </c>
      <c r="D46" s="432"/>
      <c r="E46" s="433">
        <f>土地案例!AW2</f>
        <v>22692</v>
      </c>
      <c r="F46" s="434"/>
      <c r="G46" s="435">
        <f>土地案例!AW3</f>
        <v>22811</v>
      </c>
      <c r="H46" s="436"/>
      <c r="I46" s="433">
        <f>土地案例!AW4</f>
        <v>20750</v>
      </c>
      <c r="J46" s="436"/>
      <c r="K46" s="714"/>
      <c r="L46" s="2723"/>
      <c r="M46" s="2724"/>
      <c r="N46" s="2715"/>
      <c r="O46" s="2724"/>
      <c r="P46" s="3678" t="str">
        <f>A46</f>
        <v>成交单价</v>
      </c>
      <c r="Q46" s="3678"/>
      <c r="R46" s="3683">
        <f>E46</f>
        <v>22692</v>
      </c>
      <c r="S46" s="3683"/>
      <c r="T46" s="3683">
        <f>G46</f>
        <v>22811</v>
      </c>
      <c r="U46" s="3683"/>
      <c r="V46" s="3683">
        <f>I46</f>
        <v>20750</v>
      </c>
      <c r="W46" s="3683"/>
      <c r="X46" s="690"/>
      <c r="Y46" s="712"/>
      <c r="Z46" s="690"/>
      <c r="AA46" s="690"/>
      <c r="AB46" s="690"/>
      <c r="AC46" s="690"/>
    </row>
    <row r="47" spans="1:29" ht="15.75" thickBot="1">
      <c r="A47" s="437" t="s">
        <v>1793</v>
      </c>
      <c r="B47" s="631"/>
      <c r="C47" s="440">
        <f>R48</f>
        <v>21778</v>
      </c>
      <c r="D47" s="2316" t="s">
        <v>2138</v>
      </c>
      <c r="E47" s="440">
        <f>R47</f>
        <v>22484</v>
      </c>
      <c r="F47" s="2317"/>
      <c r="G47" s="439">
        <f>T47</f>
        <v>22989</v>
      </c>
      <c r="H47" s="2317"/>
      <c r="I47" s="440">
        <f>V47</f>
        <v>19862</v>
      </c>
      <c r="J47" s="2317"/>
      <c r="K47" s="2319">
        <f>F47+H47+J47</f>
        <v>0</v>
      </c>
      <c r="L47" s="2723"/>
      <c r="M47" s="2724"/>
      <c r="N47" s="2724"/>
      <c r="O47" s="2724"/>
      <c r="P47" s="3678" t="str">
        <f>A47</f>
        <v>比较价值（元/平方米）</v>
      </c>
      <c r="Q47" s="3678"/>
      <c r="R47" s="3671">
        <f>ROUND(PRODUCT(R46,AA7:AA45),0)</f>
        <v>22484</v>
      </c>
      <c r="S47" s="3671"/>
      <c r="T47" s="3671">
        <f>ROUND(PRODUCT(T46,AB7:AB45),0)</f>
        <v>22989</v>
      </c>
      <c r="U47" s="3671"/>
      <c r="V47" s="3671">
        <f>ROUND(PRODUCT(V46,AC7:AC45),0)</f>
        <v>19862</v>
      </c>
      <c r="W47" s="3671"/>
      <c r="X47" s="690"/>
      <c r="Y47" s="690"/>
      <c r="Z47" s="690"/>
      <c r="AA47" s="690"/>
      <c r="AB47" s="690"/>
      <c r="AC47" s="690"/>
    </row>
    <row r="48" spans="1:29" ht="15.75" thickBot="1">
      <c r="A48" s="441" t="s">
        <v>1880</v>
      </c>
      <c r="B48" s="442"/>
      <c r="C48" s="443">
        <f>R48</f>
        <v>21778</v>
      </c>
      <c r="D48" s="443"/>
      <c r="E48" s="443"/>
      <c r="F48" s="443"/>
      <c r="G48" s="443"/>
      <c r="H48" s="443"/>
      <c r="I48" s="443"/>
      <c r="J48" s="443"/>
      <c r="K48" s="715"/>
      <c r="L48" s="2723"/>
      <c r="M48" s="2724"/>
      <c r="N48" s="2724"/>
      <c r="O48" s="2724"/>
      <c r="P48" s="3672" t="str">
        <f>A48</f>
        <v>估价对象XX用房的比较价值（楼面单价，元/平方米）</v>
      </c>
      <c r="Q48" s="3673"/>
      <c r="R48" s="3674">
        <f>ROUND(IF(D47="简单平均",AVERAGE(R47:W47),R47*F47+T47*H47+V47*J47),0)</f>
        <v>21778</v>
      </c>
      <c r="S48" s="3674"/>
      <c r="T48" s="3674"/>
      <c r="U48" s="3674"/>
      <c r="V48" s="3674"/>
      <c r="W48" s="367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9.2510229496531871E-3</v>
      </c>
      <c r="F51" s="449" t="str">
        <f>IF(OR(E51&gt;=0.3,E51&lt;=-0.3),"超过30%","")</f>
        <v/>
      </c>
      <c r="G51" s="448">
        <f>IF(G46&lt;G47,G47/G46-1,G46/G47-1)</f>
        <v>7.8032528166236403E-3</v>
      </c>
      <c r="H51" s="449" t="str">
        <f>IF(OR(G51&gt;=0.3,G51&lt;=-0.3),"超过30%","")</f>
        <v/>
      </c>
      <c r="I51" s="448">
        <f>IF(I46&lt;I47,I47/I46-1,I46/I47-1)</f>
        <v>4.4708488571140848E-2</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2.2460416296032681E-2</v>
      </c>
      <c r="F52" s="449" t="str">
        <f>IF(OR(E52&gt;=0.2,E52&lt;=-0.2),"超过20%","")</f>
        <v/>
      </c>
      <c r="G52" s="448">
        <f>IF(G47&lt;I47,I47/G47-1,G47/I47-1)</f>
        <v>0.15743631054274498</v>
      </c>
      <c r="H52" s="449" t="str">
        <f>IF(OR(G52&gt;=0.2,G52&lt;=-0.2),"超过20%","")</f>
        <v/>
      </c>
      <c r="I52" s="448">
        <f>IF(I47&lt;E47,E47/I47-1,I47/E47-1)</f>
        <v>0.13201087503776066</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5.2441389035784436E-3</v>
      </c>
      <c r="F53" s="449" t="str">
        <f>IF(OR(E53&gt;=0.3,E53&lt;=-0.3),"超过30%","")</f>
        <v/>
      </c>
      <c r="G53" s="448">
        <f>IF(G46&lt;I46,I46/G46-1,G46/I46-1)</f>
        <v>9.9325301204819194E-2</v>
      </c>
      <c r="H53" s="449" t="str">
        <f>IF(OR(G53&gt;=0.3,G53&lt;=-0.3),"超过30%","")</f>
        <v/>
      </c>
      <c r="I53" s="448">
        <f>IF(I46&lt;E46,E46/I46-1,I46/E46-1)</f>
        <v>9.3590361445783143E-2</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5" t="s">
        <v>1887</v>
      </c>
      <c r="H55" s="367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21778</v>
      </c>
      <c r="C56" s="638">
        <v>1</v>
      </c>
      <c r="D56" s="944">
        <v>1</v>
      </c>
      <c r="E56" s="638">
        <f>'数据-汇总表'!E8+'数据-汇总表'!E9</f>
        <v>9577.27</v>
      </c>
      <c r="F56" s="886">
        <f t="shared" ref="F56:F64" si="15">ROUND(B56*E56/10000,0)</f>
        <v>20857</v>
      </c>
      <c r="G56" s="3677"/>
      <c r="H56" s="367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3267</v>
      </c>
      <c r="C57" s="171">
        <f t="shared" ref="C57:C64" si="16">IF($C$55="北京市系数",I57,J57)</f>
        <v>0.6</v>
      </c>
      <c r="D57" s="945">
        <v>0.25</v>
      </c>
      <c r="E57" s="642"/>
      <c r="F57" s="886">
        <f t="shared" si="15"/>
        <v>0</v>
      </c>
      <c r="G57" s="3005" t="s">
        <v>1892</v>
      </c>
      <c r="H57" s="887" t="str">
        <f>项目基本情况!B37</f>
        <v>三级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1633</v>
      </c>
      <c r="C58" s="171">
        <f t="shared" si="16"/>
        <v>0.3</v>
      </c>
      <c r="D58" s="945">
        <v>0.25</v>
      </c>
      <c r="E58" s="642"/>
      <c r="F58" s="886">
        <f t="shared" si="15"/>
        <v>0</v>
      </c>
      <c r="G58" s="3006"/>
      <c r="H58" s="887" t="str">
        <f>项目基本情况!B37</f>
        <v>三级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1361</v>
      </c>
      <c r="C59" s="171">
        <f t="shared" si="16"/>
        <v>0.25</v>
      </c>
      <c r="D59" s="945">
        <v>0.25</v>
      </c>
      <c r="E59" s="642"/>
      <c r="F59" s="886">
        <f t="shared" si="15"/>
        <v>0</v>
      </c>
      <c r="G59" s="3006"/>
      <c r="H59" s="887" t="str">
        <f>项目基本情况!B37</f>
        <v>三级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1361</v>
      </c>
      <c r="C60" s="171">
        <f t="shared" si="16"/>
        <v>0.25</v>
      </c>
      <c r="D60" s="945">
        <v>0.25</v>
      </c>
      <c r="E60" s="217">
        <f>'数据-汇总表'!E11</f>
        <v>7880.05</v>
      </c>
      <c r="F60" s="886">
        <f t="shared" si="15"/>
        <v>1072</v>
      </c>
      <c r="G60" s="1986" t="s">
        <v>1896</v>
      </c>
      <c r="H60" s="887" t="str">
        <f>项目基本情况!C37</f>
        <v>三级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1361</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三级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3587</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817</v>
      </c>
      <c r="C63" s="171">
        <f t="shared" si="16"/>
        <v>0.15</v>
      </c>
      <c r="D63" s="945">
        <v>0.25</v>
      </c>
      <c r="E63" s="217">
        <f>'数据-汇总表'!E14</f>
        <v>0</v>
      </c>
      <c r="F63" s="886">
        <f t="shared" si="15"/>
        <v>0</v>
      </c>
      <c r="G63" s="1986" t="s">
        <v>1892</v>
      </c>
      <c r="H63" s="887" t="str">
        <f>项目基本情况!B37</f>
        <v>三级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817</v>
      </c>
      <c r="C64" s="171">
        <f t="shared" si="16"/>
        <v>0.15</v>
      </c>
      <c r="D64" s="945">
        <v>0.25</v>
      </c>
      <c r="E64" s="217">
        <f>'数据-汇总表'!E15</f>
        <v>0</v>
      </c>
      <c r="F64" s="886">
        <f t="shared" si="15"/>
        <v>0</v>
      </c>
      <c r="G64" s="1987" t="s">
        <v>1896</v>
      </c>
      <c r="H64" s="897" t="str">
        <f>项目基本情况!C37</f>
        <v>三级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17457.32</v>
      </c>
      <c r="F65" s="645">
        <f>IF(B46="楼面地价",SUM(F56:F64),ROUND(C48*E65/10000,0))</f>
        <v>21929</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f>C70-0.2</f>
        <v>99.8</v>
      </c>
      <c r="E70" s="544">
        <f t="shared" ref="E70:O70" si="20">D70-0.2</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f t="shared" si="20"/>
        <v>97.799999999999969</v>
      </c>
      <c r="O70" s="544">
        <f t="shared" si="20"/>
        <v>97.599999999999966</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t="s">
        <v>3585</v>
      </c>
      <c r="D74" s="479" t="s">
        <v>3586</v>
      </c>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95</v>
      </c>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7（含）-8</v>
      </c>
      <c r="K78" s="496" t="str">
        <f t="shared" si="21"/>
        <v>8（含）-</v>
      </c>
      <c r="L78" s="496" t="str">
        <f t="shared" si="21"/>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v>8</v>
      </c>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97</v>
      </c>
      <c r="E94" s="493">
        <f>D94-$K21</f>
        <v>94</v>
      </c>
      <c r="F94" s="493">
        <f>E94-$K21</f>
        <v>91</v>
      </c>
      <c r="G94" s="493">
        <f>F94-$K21</f>
        <v>88</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85" t="s">
        <v>3573</v>
      </c>
      <c r="D105" s="3485" t="s">
        <v>3575</v>
      </c>
      <c r="E105" s="3485" t="s">
        <v>3576</v>
      </c>
      <c r="F105" s="3485" t="s">
        <v>3578</v>
      </c>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C106-$K32</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3">
        <f t="shared" si="24"/>
        <v>80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0(含)-10000</v>
      </c>
      <c r="D115" s="478" t="str">
        <f t="shared" ref="D115:M115" si="26">D116&amp;"(含)"&amp;"-"&amp;E116</f>
        <v>10000(含)-30000</v>
      </c>
      <c r="E115" s="478" t="str">
        <f t="shared" si="26"/>
        <v>30000(含)-50000</v>
      </c>
      <c r="F115" s="478" t="str">
        <f t="shared" si="26"/>
        <v>50000(含)-70000</v>
      </c>
      <c r="G115" s="478" t="str">
        <f t="shared" si="26"/>
        <v>70000(含)-</v>
      </c>
      <c r="H115" s="478" t="str">
        <f t="shared" si="26"/>
        <v>(含)-</v>
      </c>
      <c r="I115" s="478" t="str">
        <f t="shared" si="26"/>
        <v>(含)-</v>
      </c>
      <c r="J115" s="478" t="str">
        <f t="shared" si="26"/>
        <v>(含)-</v>
      </c>
      <c r="K115" s="478" t="str">
        <f t="shared" si="26"/>
        <v>(含)-</v>
      </c>
      <c r="L115" s="478" t="str">
        <f t="shared" si="26"/>
        <v>(含)-</v>
      </c>
      <c r="M115" s="478" t="str">
        <f t="shared" si="26"/>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30000</v>
      </c>
      <c r="F116" s="544">
        <v>50000</v>
      </c>
      <c r="G116" s="544">
        <v>70000</v>
      </c>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99</v>
      </c>
      <c r="E117" s="540">
        <v>100</v>
      </c>
      <c r="F117" s="540">
        <v>99</v>
      </c>
      <c r="G117" s="540">
        <v>98</v>
      </c>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t="s">
        <v>3463</v>
      </c>
      <c r="D120" s="503" t="s">
        <v>3457</v>
      </c>
      <c r="E120" s="503" t="s">
        <v>3458</v>
      </c>
      <c r="F120" s="532" t="s">
        <v>3583</v>
      </c>
      <c r="G120" s="532" t="s">
        <v>3584</v>
      </c>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3572</v>
      </c>
      <c r="D122" s="503" t="s">
        <v>3579</v>
      </c>
      <c r="E122" s="503" t="s">
        <v>3580</v>
      </c>
      <c r="F122" s="503" t="s">
        <v>3581</v>
      </c>
      <c r="G122" s="503" t="s">
        <v>3582</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t="s">
        <v>3463</v>
      </c>
      <c r="D124" s="503" t="s">
        <v>3457</v>
      </c>
      <c r="E124" s="532" t="s">
        <v>3458</v>
      </c>
      <c r="F124" s="532" t="s">
        <v>3583</v>
      </c>
      <c r="G124" s="532" t="s">
        <v>3584</v>
      </c>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4"/>
  <sheetViews>
    <sheetView workbookViewId="0">
      <selection activeCell="BC35" sqref="BC35"/>
    </sheetView>
  </sheetViews>
  <sheetFormatPr defaultRowHeight="12.75"/>
  <cols>
    <col min="1" max="1" width="9" style="3484"/>
    <col min="2" max="8" width="0" style="3484" hidden="1" customWidth="1"/>
    <col min="9" max="10" width="9.125" style="3484" bestFit="1" customWidth="1"/>
    <col min="11" max="14" width="0" style="3484" hidden="1" customWidth="1"/>
    <col min="15" max="18" width="9" style="3484"/>
    <col min="19" max="19" width="9.125" style="3484" bestFit="1" customWidth="1"/>
    <col min="20" max="20" width="9.125" style="3484" hidden="1" customWidth="1"/>
    <col min="21" max="29" width="0" style="3484" hidden="1" customWidth="1"/>
    <col min="30" max="32" width="11.625" style="3484" hidden="1" customWidth="1"/>
    <col min="33" max="33" width="11.625" style="3484" bestFit="1" customWidth="1"/>
    <col min="34" max="36" width="9" style="3484"/>
    <col min="37" max="39" width="0" style="3484" hidden="1" customWidth="1"/>
    <col min="40" max="41" width="9.125" style="3484" hidden="1" customWidth="1"/>
    <col min="42" max="42" width="0" style="3484" hidden="1" customWidth="1"/>
    <col min="43" max="43" width="9.125" style="3484" bestFit="1" customWidth="1"/>
    <col min="44" max="48" width="9.125" style="3484" hidden="1" customWidth="1"/>
    <col min="49" max="49" width="9.125" style="3484" bestFit="1" customWidth="1"/>
    <col min="50" max="51" width="0" style="3484" hidden="1" customWidth="1"/>
    <col min="52" max="52" width="9.125" style="3484" bestFit="1" customWidth="1"/>
    <col min="53" max="54" width="9" style="3484"/>
    <col min="55" max="55" width="9.125" style="3484" bestFit="1" customWidth="1"/>
    <col min="56" max="16384" width="9" style="3484"/>
  </cols>
  <sheetData>
    <row r="1" spans="1:61" s="3481" customFormat="1" ht="15">
      <c r="A1" s="3481" t="s">
        <v>3471</v>
      </c>
      <c r="B1" s="3481" t="s">
        <v>3472</v>
      </c>
      <c r="C1" s="3481" t="s">
        <v>3473</v>
      </c>
      <c r="D1" s="3481" t="s">
        <v>3474</v>
      </c>
      <c r="E1" s="3481" t="s">
        <v>3475</v>
      </c>
      <c r="F1" s="3481" t="s">
        <v>3476</v>
      </c>
      <c r="G1" s="3481" t="s">
        <v>3477</v>
      </c>
      <c r="H1" s="3481" t="s">
        <v>3478</v>
      </c>
      <c r="I1" s="3481" t="s">
        <v>3479</v>
      </c>
      <c r="J1" s="3481" t="s">
        <v>3480</v>
      </c>
      <c r="K1" s="3481" t="s">
        <v>3481</v>
      </c>
      <c r="L1" s="3481" t="s">
        <v>3482</v>
      </c>
      <c r="M1" s="3481" t="s">
        <v>3483</v>
      </c>
      <c r="N1" s="3481" t="s">
        <v>3484</v>
      </c>
      <c r="O1" s="3481" t="s">
        <v>3485</v>
      </c>
      <c r="P1" s="3481" t="s">
        <v>3486</v>
      </c>
      <c r="Q1" s="3481" t="s">
        <v>3487</v>
      </c>
      <c r="R1" s="3481" t="s">
        <v>3488</v>
      </c>
      <c r="S1" s="3481" t="s">
        <v>3489</v>
      </c>
      <c r="T1" s="3481" t="s">
        <v>3490</v>
      </c>
      <c r="U1" s="3481" t="s">
        <v>3491</v>
      </c>
      <c r="V1" s="3481" t="s">
        <v>3492</v>
      </c>
      <c r="W1" s="3481" t="s">
        <v>3493</v>
      </c>
      <c r="X1" s="3481" t="s">
        <v>3494</v>
      </c>
      <c r="Y1" s="3481" t="s">
        <v>3495</v>
      </c>
      <c r="Z1" s="3481" t="s">
        <v>3496</v>
      </c>
      <c r="AA1" s="3481" t="s">
        <v>3497</v>
      </c>
      <c r="AB1" s="3481" t="s">
        <v>3498</v>
      </c>
      <c r="AC1" s="3481" t="s">
        <v>3499</v>
      </c>
      <c r="AD1" s="3481" t="s">
        <v>3500</v>
      </c>
      <c r="AE1" s="3481" t="s">
        <v>3501</v>
      </c>
      <c r="AF1" s="3481" t="s">
        <v>3502</v>
      </c>
      <c r="AG1" s="3481" t="s">
        <v>3503</v>
      </c>
      <c r="AH1" s="3481" t="s">
        <v>3504</v>
      </c>
      <c r="AI1" s="3481" t="s">
        <v>3505</v>
      </c>
      <c r="AJ1" s="3481" t="s">
        <v>3506</v>
      </c>
      <c r="AK1" s="3481" t="s">
        <v>3507</v>
      </c>
      <c r="AL1" s="3481" t="s">
        <v>3508</v>
      </c>
      <c r="AM1" s="3481" t="s">
        <v>3509</v>
      </c>
      <c r="AN1" s="3481" t="s">
        <v>3510</v>
      </c>
      <c r="AO1" s="3481" t="s">
        <v>3511</v>
      </c>
      <c r="AP1" s="3481" t="s">
        <v>3512</v>
      </c>
      <c r="AQ1" s="3481" t="s">
        <v>3513</v>
      </c>
      <c r="AR1" s="3481" t="s">
        <v>3514</v>
      </c>
      <c r="AS1" s="3481" t="s">
        <v>3515</v>
      </c>
      <c r="AT1" s="3481" t="s">
        <v>3516</v>
      </c>
      <c r="AU1" s="3481" t="s">
        <v>3517</v>
      </c>
      <c r="AV1" s="3481" t="s">
        <v>3518</v>
      </c>
      <c r="AW1" s="3481" t="s">
        <v>3519</v>
      </c>
      <c r="AX1" s="3481" t="s">
        <v>3520</v>
      </c>
      <c r="AY1" s="3481" t="s">
        <v>3521</v>
      </c>
      <c r="AZ1" s="3481" t="s">
        <v>3522</v>
      </c>
      <c r="BA1" s="3481" t="s">
        <v>3523</v>
      </c>
      <c r="BB1" s="3481" t="s">
        <v>3524</v>
      </c>
      <c r="BC1" s="3481" t="s">
        <v>3525</v>
      </c>
      <c r="BD1" s="3481" t="s">
        <v>3526</v>
      </c>
      <c r="BE1" s="3481" t="s">
        <v>3527</v>
      </c>
      <c r="BF1" s="3481" t="s">
        <v>3528</v>
      </c>
      <c r="BG1" s="3481" t="s">
        <v>3529</v>
      </c>
      <c r="BH1" s="3481" t="s">
        <v>3530</v>
      </c>
      <c r="BI1" s="3481" t="s">
        <v>3531</v>
      </c>
    </row>
    <row r="2" spans="1:61" s="3482" customFormat="1" ht="15">
      <c r="A2" s="3482" t="s">
        <v>3532</v>
      </c>
      <c r="B2" s="3482" t="s">
        <v>3533</v>
      </c>
      <c r="C2" s="3482" t="s">
        <v>3534</v>
      </c>
      <c r="D2" s="3482" t="s">
        <v>3535</v>
      </c>
      <c r="E2" s="3482" t="s">
        <v>3536</v>
      </c>
      <c r="F2" s="3482" t="s">
        <v>3537</v>
      </c>
      <c r="G2" s="3482" t="s">
        <v>3538</v>
      </c>
      <c r="H2" s="3482" t="s">
        <v>3539</v>
      </c>
      <c r="I2" s="3482">
        <v>7467</v>
      </c>
      <c r="J2" s="3482">
        <v>52000</v>
      </c>
      <c r="K2" s="3482" t="s">
        <v>3465</v>
      </c>
      <c r="L2" s="3482" t="s">
        <v>3465</v>
      </c>
      <c r="M2" s="3482">
        <v>0</v>
      </c>
      <c r="N2" s="3482">
        <v>0</v>
      </c>
      <c r="O2" s="3482" t="s">
        <v>3540</v>
      </c>
      <c r="P2" s="3482" t="s">
        <v>3541</v>
      </c>
      <c r="Q2" s="3482" t="s">
        <v>3542</v>
      </c>
      <c r="R2" s="3482" t="s">
        <v>3543</v>
      </c>
      <c r="S2" s="3482" t="s">
        <v>3544</v>
      </c>
      <c r="T2" s="3482">
        <v>7</v>
      </c>
      <c r="U2" s="3482" t="s">
        <v>3465</v>
      </c>
      <c r="V2" s="3482" t="s">
        <v>3465</v>
      </c>
      <c r="W2" s="3482">
        <v>90</v>
      </c>
      <c r="X2" s="3482" t="s">
        <v>3545</v>
      </c>
      <c r="Y2" s="3482" t="s">
        <v>3466</v>
      </c>
      <c r="Z2" s="3482" t="s">
        <v>3465</v>
      </c>
      <c r="AA2" s="3482" t="s">
        <v>3465</v>
      </c>
      <c r="AB2" s="3482" t="s">
        <v>3465</v>
      </c>
      <c r="AC2" s="3482" t="s">
        <v>3465</v>
      </c>
      <c r="AD2" s="3483">
        <v>45254.000497685185</v>
      </c>
      <c r="AE2" s="3483">
        <v>45274.000497685185</v>
      </c>
      <c r="AF2" s="3483">
        <v>45288.000497685185</v>
      </c>
      <c r="AG2" s="3483">
        <v>45288.000497685185</v>
      </c>
      <c r="AH2" s="3482" t="s">
        <v>3546</v>
      </c>
      <c r="AI2" s="3482" t="s">
        <v>3547</v>
      </c>
      <c r="AJ2" s="3482" t="s">
        <v>3548</v>
      </c>
      <c r="AK2" s="3482" t="s">
        <v>3549</v>
      </c>
      <c r="AL2" s="3482" t="s">
        <v>3550</v>
      </c>
      <c r="AM2" s="3482" t="s">
        <v>3465</v>
      </c>
      <c r="AN2" s="3482">
        <v>118000</v>
      </c>
      <c r="AO2" s="3482">
        <v>24000</v>
      </c>
      <c r="AP2" s="3482" t="s">
        <v>3467</v>
      </c>
      <c r="AQ2" s="3482">
        <v>118000</v>
      </c>
      <c r="AR2" s="3482">
        <v>158028.66</v>
      </c>
      <c r="AS2" s="3482">
        <v>158028.66</v>
      </c>
      <c r="AT2" s="3482">
        <v>10535.24</v>
      </c>
      <c r="AU2" s="3482">
        <v>10535.24</v>
      </c>
      <c r="AV2" s="3482">
        <v>22692</v>
      </c>
      <c r="AW2" s="3482">
        <v>22692</v>
      </c>
      <c r="AX2" s="3482" t="s">
        <v>3465</v>
      </c>
      <c r="AY2" s="3482" t="s">
        <v>3465</v>
      </c>
      <c r="AZ2" s="3482">
        <v>0</v>
      </c>
      <c r="BA2" s="3482" t="s">
        <v>3465</v>
      </c>
      <c r="BB2" s="3482" t="s">
        <v>3465</v>
      </c>
      <c r="BC2" s="3482" t="s">
        <v>3465</v>
      </c>
      <c r="BD2" s="3482" t="s">
        <v>3465</v>
      </c>
      <c r="BE2" s="3482" t="s">
        <v>3465</v>
      </c>
      <c r="BF2" s="3482" t="s">
        <v>3465</v>
      </c>
      <c r="BG2" s="3482" t="s">
        <v>3465</v>
      </c>
      <c r="BH2" s="3482" t="s">
        <v>3551</v>
      </c>
      <c r="BI2" s="3482" t="s">
        <v>3468</v>
      </c>
    </row>
    <row r="3" spans="1:61" s="3482" customFormat="1" ht="15">
      <c r="A3" s="3482" t="s">
        <v>3552</v>
      </c>
      <c r="B3" s="3482" t="s">
        <v>3533</v>
      </c>
      <c r="C3" s="3482" t="s">
        <v>3534</v>
      </c>
      <c r="D3" s="3482" t="s">
        <v>3535</v>
      </c>
      <c r="E3" s="3482" t="s">
        <v>3536</v>
      </c>
      <c r="F3" s="3482" t="s">
        <v>3553</v>
      </c>
      <c r="G3" s="3482" t="s">
        <v>3554</v>
      </c>
      <c r="H3" s="3482" t="s">
        <v>3539</v>
      </c>
      <c r="I3" s="3482">
        <v>67829.210000000006</v>
      </c>
      <c r="J3" s="3482">
        <v>298100</v>
      </c>
      <c r="K3" s="3482" t="s">
        <v>3465</v>
      </c>
      <c r="L3" s="3482" t="s">
        <v>3465</v>
      </c>
      <c r="M3" s="3482">
        <v>0</v>
      </c>
      <c r="N3" s="3482">
        <v>0</v>
      </c>
      <c r="O3" s="3482" t="s">
        <v>3540</v>
      </c>
      <c r="P3" s="3482" t="s">
        <v>3555</v>
      </c>
      <c r="Q3" s="3482" t="s">
        <v>3556</v>
      </c>
      <c r="R3" s="3482" t="s">
        <v>3557</v>
      </c>
      <c r="S3" s="3482">
        <v>4.4000000000000004</v>
      </c>
      <c r="T3" s="3482">
        <v>4.4000000000000004</v>
      </c>
      <c r="U3" s="3482" t="s">
        <v>3465</v>
      </c>
      <c r="V3" s="3482" t="s">
        <v>3465</v>
      </c>
      <c r="W3" s="3482" t="s">
        <v>3465</v>
      </c>
      <c r="X3" s="3482" t="s">
        <v>3545</v>
      </c>
      <c r="Y3" s="3482" t="s">
        <v>3466</v>
      </c>
      <c r="Z3" s="3482" t="s">
        <v>3465</v>
      </c>
      <c r="AA3" s="3482" t="s">
        <v>3465</v>
      </c>
      <c r="AB3" s="3482" t="s">
        <v>3465</v>
      </c>
      <c r="AC3" s="3482" t="s">
        <v>3465</v>
      </c>
      <c r="AD3" s="3483">
        <v>45056.000497685185</v>
      </c>
      <c r="AE3" s="3483">
        <v>45076.000497685185</v>
      </c>
      <c r="AF3" s="3483">
        <v>45090.000497685185</v>
      </c>
      <c r="AG3" s="3483">
        <v>45090.000497685185</v>
      </c>
      <c r="AH3" s="3482" t="s">
        <v>3546</v>
      </c>
      <c r="AI3" s="3482" t="s">
        <v>3547</v>
      </c>
      <c r="AJ3" s="3482" t="s">
        <v>3558</v>
      </c>
      <c r="AK3" s="3482" t="s">
        <v>3559</v>
      </c>
      <c r="AL3" s="3482" t="s">
        <v>3560</v>
      </c>
      <c r="AM3" s="3482" t="s">
        <v>3561</v>
      </c>
      <c r="AN3" s="3482">
        <v>680000</v>
      </c>
      <c r="AO3" s="3482">
        <v>136000</v>
      </c>
      <c r="AP3" s="3482" t="s">
        <v>3469</v>
      </c>
      <c r="AQ3" s="3482">
        <v>680000</v>
      </c>
      <c r="AR3" s="3482">
        <v>100251.8</v>
      </c>
      <c r="AS3" s="3482">
        <v>100251.8</v>
      </c>
      <c r="AT3" s="3482">
        <v>6683.45</v>
      </c>
      <c r="AU3" s="3482">
        <v>6683.45</v>
      </c>
      <c r="AV3" s="3482">
        <v>22811</v>
      </c>
      <c r="AW3" s="3482">
        <v>22811</v>
      </c>
      <c r="AX3" s="3482" t="s">
        <v>3465</v>
      </c>
      <c r="AY3" s="3482" t="s">
        <v>3465</v>
      </c>
      <c r="AZ3" s="3482">
        <v>0</v>
      </c>
      <c r="BA3" s="3482" t="s">
        <v>3465</v>
      </c>
      <c r="BB3" s="3482" t="s">
        <v>3465</v>
      </c>
      <c r="BC3" s="3482" t="s">
        <v>3465</v>
      </c>
      <c r="BD3" s="3482" t="s">
        <v>3465</v>
      </c>
      <c r="BE3" s="3482" t="s">
        <v>3465</v>
      </c>
      <c r="BF3" s="3482" t="s">
        <v>3465</v>
      </c>
      <c r="BG3" s="3482" t="s">
        <v>3465</v>
      </c>
      <c r="BH3" s="3482" t="s">
        <v>3551</v>
      </c>
      <c r="BI3" s="3482" t="s">
        <v>3468</v>
      </c>
    </row>
    <row r="4" spans="1:61" s="3482" customFormat="1" ht="15">
      <c r="A4" s="3482" t="s">
        <v>3562</v>
      </c>
      <c r="B4" s="3482" t="s">
        <v>3533</v>
      </c>
      <c r="C4" s="3482" t="s">
        <v>3534</v>
      </c>
      <c r="D4" s="3482" t="s">
        <v>3535</v>
      </c>
      <c r="E4" s="3482" t="s">
        <v>3536</v>
      </c>
      <c r="F4" s="3482" t="s">
        <v>3563</v>
      </c>
      <c r="G4" s="3482" t="s">
        <v>3564</v>
      </c>
      <c r="H4" s="3482" t="s">
        <v>3539</v>
      </c>
      <c r="I4" s="3482">
        <v>12629.88</v>
      </c>
      <c r="J4" s="3482">
        <v>80000</v>
      </c>
      <c r="K4" s="3482" t="s">
        <v>3465</v>
      </c>
      <c r="L4" s="3482" t="s">
        <v>3465</v>
      </c>
      <c r="M4" s="3482">
        <v>0</v>
      </c>
      <c r="N4" s="3482">
        <v>0</v>
      </c>
      <c r="O4" s="3482" t="s">
        <v>3540</v>
      </c>
      <c r="P4" s="3482" t="s">
        <v>3541</v>
      </c>
      <c r="Q4" s="3482" t="s">
        <v>3565</v>
      </c>
      <c r="R4" s="3482" t="s">
        <v>3557</v>
      </c>
      <c r="S4" s="3482" t="s">
        <v>3566</v>
      </c>
      <c r="T4" s="3482">
        <v>6.33</v>
      </c>
      <c r="U4" s="3482" t="s">
        <v>3465</v>
      </c>
      <c r="V4" s="3482">
        <v>0.4</v>
      </c>
      <c r="W4" s="3482" t="s">
        <v>3465</v>
      </c>
      <c r="X4" s="3482" t="s">
        <v>3545</v>
      </c>
      <c r="Y4" s="3482" t="s">
        <v>3466</v>
      </c>
      <c r="Z4" s="3482" t="s">
        <v>3465</v>
      </c>
      <c r="AA4" s="3482" t="s">
        <v>3465</v>
      </c>
      <c r="AB4" s="3482" t="s">
        <v>3465</v>
      </c>
      <c r="AC4" s="3482" t="s">
        <v>3465</v>
      </c>
      <c r="AD4" s="3483">
        <v>44764.000497685185</v>
      </c>
      <c r="AE4" s="3483">
        <v>44784.000497685185</v>
      </c>
      <c r="AF4" s="3483">
        <v>44798.000497685185</v>
      </c>
      <c r="AG4" s="3483">
        <v>44798.000497685185</v>
      </c>
      <c r="AH4" s="3482" t="s">
        <v>3546</v>
      </c>
      <c r="AI4" s="3482" t="s">
        <v>3547</v>
      </c>
      <c r="AJ4" s="3482" t="s">
        <v>3567</v>
      </c>
      <c r="AK4" s="3482" t="s">
        <v>3568</v>
      </c>
      <c r="AL4" s="3482" t="s">
        <v>3569</v>
      </c>
      <c r="AM4" s="3482" t="s">
        <v>3570</v>
      </c>
      <c r="AN4" s="3482">
        <v>166000</v>
      </c>
      <c r="AO4" s="3482">
        <v>34000</v>
      </c>
      <c r="AP4" s="3482" t="s">
        <v>3470</v>
      </c>
      <c r="AQ4" s="3482">
        <v>166000</v>
      </c>
      <c r="AR4" s="3482">
        <v>131434.34</v>
      </c>
      <c r="AS4" s="3482">
        <v>131434.34</v>
      </c>
      <c r="AT4" s="3482">
        <v>8762.2900000000009</v>
      </c>
      <c r="AU4" s="3482">
        <v>8762.2900000000009</v>
      </c>
      <c r="AV4" s="3482">
        <v>20750</v>
      </c>
      <c r="AW4" s="3482">
        <v>20750</v>
      </c>
      <c r="AX4" s="3482" t="s">
        <v>3465</v>
      </c>
      <c r="AY4" s="3482" t="s">
        <v>3465</v>
      </c>
      <c r="AZ4" s="3482">
        <v>0</v>
      </c>
      <c r="BA4" s="3482" t="s">
        <v>3465</v>
      </c>
      <c r="BB4" s="3482" t="s">
        <v>3465</v>
      </c>
      <c r="BC4" s="3482">
        <v>0</v>
      </c>
      <c r="BD4" s="3482" t="s">
        <v>3465</v>
      </c>
      <c r="BE4" s="3482" t="s">
        <v>3465</v>
      </c>
      <c r="BF4" s="3482" t="s">
        <v>3465</v>
      </c>
      <c r="BG4" s="3482" t="s">
        <v>3465</v>
      </c>
      <c r="BH4" s="3482" t="s">
        <v>3551</v>
      </c>
      <c r="BI4" s="3482" t="s">
        <v>3468</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46898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26864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22947</v>
      </c>
      <c r="D5" s="211" t="s">
        <v>1469</v>
      </c>
      <c r="E5" s="212" t="s">
        <v>1470</v>
      </c>
      <c r="F5" s="212" t="s">
        <v>1471</v>
      </c>
      <c r="G5" s="213"/>
    </row>
    <row r="6" spans="1:9" s="214" customFormat="1" ht="13.5" customHeight="1">
      <c r="A6" s="778" t="s">
        <v>1472</v>
      </c>
      <c r="B6" s="215" t="s">
        <v>1473</v>
      </c>
      <c r="C6" s="216">
        <f>'土地比较法-住宅、综合'!F65</f>
        <v>21929</v>
      </c>
      <c r="D6" s="217"/>
      <c r="E6" s="218"/>
      <c r="F6" s="218"/>
      <c r="G6" s="219"/>
    </row>
    <row r="7" spans="1:9" s="214" customFormat="1" ht="13.5" customHeight="1">
      <c r="A7" s="778" t="s">
        <v>1474</v>
      </c>
      <c r="B7" s="215" t="s">
        <v>1475</v>
      </c>
      <c r="C7" s="220">
        <f>ROUND(C6*F7,0)</f>
        <v>669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349</v>
      </c>
      <c r="D8" s="222"/>
      <c r="E8" s="220"/>
      <c r="F8" s="221"/>
      <c r="G8" s="1855" t="s">
        <v>3459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3460</v>
      </c>
      <c r="H9" s="1137"/>
      <c r="I9" s="1857" t="s">
        <v>1479</v>
      </c>
    </row>
    <row r="10" spans="1:9" s="214" customFormat="1" ht="13.5" customHeight="1">
      <c r="A10" s="779" t="s">
        <v>356</v>
      </c>
      <c r="B10" s="224" t="s">
        <v>1480</v>
      </c>
      <c r="C10" s="225">
        <f ca="1">ROUND(D10*E10/10000,0)</f>
        <v>349</v>
      </c>
      <c r="D10" s="845">
        <f ca="1">IF(B1="",'数据-汇总表'!E6,IF(INDIRECT("'数据-取费表'!c"&amp;$G$1)="住宅",INDIRECT("'数据-取费表'!s"&amp;$G$1),INDIRECT("'数据-取费表'!k"&amp;$G$1)+INDIRECT("'数据-取费表'!s"&amp;$G$1)))</f>
        <v>17457.32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17457.32</v>
      </c>
      <c r="E19" s="211">
        <f>'数据-取费表'!B31</f>
        <v>200</v>
      </c>
      <c r="F19" s="231"/>
      <c r="G19" s="1855" t="s">
        <v>3461</v>
      </c>
    </row>
    <row r="20" spans="1:7" s="214" customFormat="1" ht="13.5" customHeight="1">
      <c r="A20" s="255" t="s">
        <v>1493</v>
      </c>
      <c r="B20" s="210" t="s">
        <v>1494</v>
      </c>
      <c r="C20" s="232">
        <f>ROUND((C5+C19)*F20,0)</f>
        <v>574</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1994</v>
      </c>
      <c r="D22" s="235">
        <f ca="1">C26</f>
        <v>1.1000000000000001E-3</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1970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24</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4704</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4704</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33005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12490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11347</v>
      </c>
      <c r="D34" s="217"/>
      <c r="E34" s="220"/>
      <c r="F34" s="257">
        <f ca="1">IF('数据-取费表'!B24=0,1,IF(B1="",'数据-取费表'!N16,INDIRECT("'数据-取费表'!n"&amp;$G$1)))</f>
        <v>1</v>
      </c>
      <c r="G34" s="219" t="s">
        <v>1526</v>
      </c>
    </row>
    <row r="35" spans="1:7" ht="13.5" customHeight="1">
      <c r="A35" s="780" t="s">
        <v>351</v>
      </c>
      <c r="B35" s="215" t="s">
        <v>1527</v>
      </c>
      <c r="C35" s="220">
        <f ca="1">ROUND(C34*F35,0)</f>
        <v>567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349</v>
      </c>
      <c r="D37" s="217">
        <f ca="1">D19</f>
        <v>17457.32</v>
      </c>
      <c r="E37" s="249">
        <f>'数据-取费表'!B35</f>
        <v>200</v>
      </c>
      <c r="F37" s="259"/>
      <c r="G37" s="261" t="s">
        <v>1532</v>
      </c>
    </row>
    <row r="38" spans="1:7" ht="13.5" customHeight="1">
      <c r="A38" s="780" t="s">
        <v>354</v>
      </c>
      <c r="B38" s="215" t="s">
        <v>1533</v>
      </c>
      <c r="C38" s="220">
        <f ca="1">ROUND(C34*F38,0)</f>
        <v>227</v>
      </c>
      <c r="D38" s="220"/>
      <c r="E38" s="220"/>
      <c r="F38" s="259">
        <f>'数据-取费表'!B36</f>
        <v>0.02</v>
      </c>
      <c r="G38" s="219" t="s">
        <v>1528</v>
      </c>
    </row>
    <row r="39" spans="1:7" s="214" customFormat="1" ht="13.5" customHeight="1">
      <c r="A39" s="255" t="s">
        <v>1534</v>
      </c>
      <c r="B39" s="210" t="s">
        <v>1535</v>
      </c>
      <c r="C39" s="232">
        <f ca="1">ROUND(C33*F20,0)</f>
        <v>312</v>
      </c>
      <c r="D39" s="232"/>
      <c r="E39" s="232"/>
      <c r="F39" s="233">
        <f>F20</f>
        <v>2.5000000000000001E-2</v>
      </c>
      <c r="G39" s="234" t="s">
        <v>1536</v>
      </c>
    </row>
    <row r="40" spans="1:7" s="214" customFormat="1" ht="13.5" customHeight="1">
      <c r="A40" s="255" t="s">
        <v>1537</v>
      </c>
      <c r="B40" s="210" t="s">
        <v>1538</v>
      </c>
      <c r="C40" s="1326">
        <f>F21</f>
        <v>2.5000000000000001E-2</v>
      </c>
      <c r="D40" s="236" t="s">
        <v>1539</v>
      </c>
      <c r="E40" s="232"/>
      <c r="F40" s="233">
        <f>F21</f>
        <v>2.5000000000000001E-2</v>
      </c>
      <c r="G40" s="234" t="s">
        <v>1540</v>
      </c>
    </row>
    <row r="41" spans="1:7" s="214" customFormat="1" ht="13.5" customHeight="1">
      <c r="A41" s="255" t="s">
        <v>1541</v>
      </c>
      <c r="B41" s="210" t="s">
        <v>1542</v>
      </c>
      <c r="C41" s="232">
        <f ca="1">ROUND(SUM(C42:C43),0)</f>
        <v>538</v>
      </c>
      <c r="D41" s="235">
        <f ca="1">C44</f>
        <v>1.1000000000000001E-3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525</v>
      </c>
      <c r="D42" s="238"/>
      <c r="E42" s="238"/>
      <c r="F42" s="239"/>
      <c r="G42" s="3713" t="s">
        <v>1544</v>
      </c>
    </row>
    <row r="43" spans="1:7" ht="13.5" customHeight="1">
      <c r="A43" s="780" t="s">
        <v>347</v>
      </c>
      <c r="B43" s="215" t="s">
        <v>1545</v>
      </c>
      <c r="C43" s="238">
        <f ca="1">ROUND(IF('数据-取费表'!B22&lt;=1,C39*F22*'数据-取费表'!B21/2,C39*(POWER((1+F22),'数据-取费表'!B21/2)-1)),0)</f>
        <v>13</v>
      </c>
      <c r="D43" s="238"/>
      <c r="E43" s="238"/>
      <c r="F43" s="239"/>
      <c r="G43" s="3714"/>
    </row>
    <row r="44" spans="1:7" ht="13.5" customHeight="1">
      <c r="A44" s="780" t="s">
        <v>348</v>
      </c>
      <c r="B44" s="215" t="s">
        <v>1546</v>
      </c>
      <c r="C44" s="238">
        <f ca="1">ROUND(IF('数据-取费表'!B22&lt;=1,C40*F22*'数据-取费表'!B21/2,C40*(POWER((1+F22),'数据-取费表'!B21/2)-1)),4)</f>
        <v>1.1000000000000001E-3</v>
      </c>
      <c r="D44" s="238"/>
      <c r="E44" s="238"/>
      <c r="F44" s="239"/>
      <c r="G44" s="3715"/>
    </row>
    <row r="45" spans="1:7" s="214" customFormat="1" ht="13.5" customHeight="1">
      <c r="A45" s="255" t="s">
        <v>1547</v>
      </c>
      <c r="B45" s="244" t="s">
        <v>1513</v>
      </c>
      <c r="C45" s="245">
        <f ca="1">C46</f>
        <v>2560</v>
      </c>
      <c r="D45" s="235">
        <f ca="1">C47</f>
        <v>5.0000000000000001E-3</v>
      </c>
      <c r="E45" s="236" t="s">
        <v>1539</v>
      </c>
      <c r="F45" s="246">
        <f ca="1">F27</f>
        <v>0.2</v>
      </c>
      <c r="G45" s="247" t="s">
        <v>1548</v>
      </c>
    </row>
    <row r="46" spans="1:7" s="214" customFormat="1" ht="13.5" customHeight="1">
      <c r="A46" s="780" t="s">
        <v>346</v>
      </c>
      <c r="B46" s="248" t="s">
        <v>1549</v>
      </c>
      <c r="C46" s="249">
        <f ca="1">ROUND((C33+C39)*F27,0)</f>
        <v>2560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17366</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13893</v>
      </c>
      <c r="D51" s="232"/>
      <c r="E51" s="232"/>
      <c r="F51" s="264"/>
      <c r="G51" s="234" t="s">
        <v>1560</v>
      </c>
    </row>
    <row r="52" spans="1:7" s="208" customFormat="1" ht="16.5" thickBot="1">
      <c r="A52" s="265" t="s">
        <v>1561</v>
      </c>
      <c r="B52" s="266"/>
      <c r="C52" s="267">
        <f ca="1">C31+C51</f>
        <v>46898</v>
      </c>
      <c r="D52" s="266"/>
      <c r="E52" s="266"/>
      <c r="F52" s="266"/>
      <c r="G52" s="268"/>
    </row>
    <row r="55" spans="1:7" ht="15">
      <c r="B55" s="270" t="s">
        <v>1562</v>
      </c>
      <c r="C55" s="271"/>
    </row>
    <row r="56" spans="1:7">
      <c r="B56" s="273" t="s">
        <v>802</v>
      </c>
      <c r="C56" s="275">
        <f ca="1">1-C57</f>
        <v>0.70399999999999996</v>
      </c>
    </row>
    <row r="57" spans="1:7">
      <c r="B57" s="273" t="s">
        <v>803</v>
      </c>
      <c r="C57" s="274">
        <f ca="1">ROUND(C51/C52,3)</f>
        <v>0.29599999999999999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14898.575699999999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8534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3491464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3491464</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3491464</v>
      </c>
      <c r="D10" s="845">
        <f ca="1">IF(B1="",'数据-汇总表'!E6,IF(INDIRECT("'数据-取费表'!c"&amp;$G$1)="住宅",INDIRECT("'数据-取费表'!s"&amp;$G$1),INDIRECT("'数据-取费表'!k"&amp;$G$1)+INDIRECT("'数据-取费表'!s"&amp;$G$1)))</f>
        <v>17457.32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3491464</v>
      </c>
      <c r="D19" s="849">
        <f ca="1">D9+D10</f>
        <v>17457.32</v>
      </c>
      <c r="E19" s="211">
        <f>'数据-取费表'!B31</f>
        <v>200</v>
      </c>
      <c r="F19" s="231"/>
      <c r="G19" s="1855"/>
    </row>
    <row r="20" spans="1:7" s="214" customFormat="1" ht="13.5" customHeight="1">
      <c r="A20" s="255" t="s">
        <v>1574</v>
      </c>
      <c r="B20" s="210" t="s">
        <v>1575</v>
      </c>
      <c r="C20" s="232">
        <f ca="1">ROUND((C5+C19)*F20,0)</f>
        <v>174573</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606937</v>
      </c>
      <c r="D22" s="235">
        <f ca="1">C26</f>
        <v>1.1000000000000001E-3</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299798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299798</v>
      </c>
      <c r="D24" s="238"/>
      <c r="E24" s="238"/>
      <c r="F24" s="239"/>
      <c r="G24" s="240" t="s">
        <v>1586</v>
      </c>
    </row>
    <row r="25" spans="1:7" s="214" customFormat="1" ht="24">
      <c r="A25" s="780" t="s">
        <v>1476</v>
      </c>
      <c r="B25" s="215" t="s">
        <v>1587</v>
      </c>
      <c r="C25" s="1128">
        <f ca="1">ROUND(IF('数据-取费表'!B22&lt;=1,C20*F22*'数据-取费表'!B22/2,C20*(POWER((1+F22),'数据-取费表'!B22/2)-1)),0)</f>
        <v>7341</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1431500</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1431500</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10043619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124907125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113472580</v>
      </c>
      <c r="D34" s="217"/>
      <c r="E34" s="220"/>
      <c r="F34" s="257"/>
      <c r="G34" s="219"/>
    </row>
    <row r="35" spans="1:7" ht="13.5" customHeight="1">
      <c r="A35" s="780" t="s">
        <v>351</v>
      </c>
      <c r="B35" s="215" t="s">
        <v>1527</v>
      </c>
      <c r="C35" s="220">
        <f ca="1">ROUND(C34*F35,0)</f>
        <v>5673629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3491464</v>
      </c>
      <c r="D37" s="217">
        <f ca="1">D19</f>
        <v>17457.32</v>
      </c>
      <c r="E37" s="249">
        <f>'数据-取费表'!B35</f>
        <v>200</v>
      </c>
      <c r="F37" s="259"/>
      <c r="G37" s="261"/>
    </row>
    <row r="38" spans="1:7" ht="13.5" customHeight="1">
      <c r="A38" s="780" t="s">
        <v>354</v>
      </c>
      <c r="B38" s="215" t="s">
        <v>1533</v>
      </c>
      <c r="C38" s="220">
        <f ca="1">ROUND(C34*F38,0)</f>
        <v>2269452</v>
      </c>
      <c r="D38" s="220"/>
      <c r="E38" s="220"/>
      <c r="F38" s="259">
        <f>'数据-取费表'!B36</f>
        <v>0.02</v>
      </c>
      <c r="G38" s="219" t="s">
        <v>1528</v>
      </c>
    </row>
    <row r="39" spans="1:7" s="214" customFormat="1" ht="13.5" customHeight="1">
      <c r="A39" s="255" t="s">
        <v>1534</v>
      </c>
      <c r="B39" s="210" t="s">
        <v>1535</v>
      </c>
      <c r="C39" s="232">
        <f ca="1">ROUND(C33*F20,0)</f>
        <v>3122678</v>
      </c>
      <c r="D39" s="232"/>
      <c r="E39" s="232"/>
      <c r="F39" s="233">
        <f>F20</f>
        <v>2.5000000000000001E-2</v>
      </c>
      <c r="G39" s="234" t="s">
        <v>1536</v>
      </c>
    </row>
    <row r="40" spans="1:7" s="214" customFormat="1" ht="13.5" customHeight="1">
      <c r="A40" s="255" t="s">
        <v>1537</v>
      </c>
      <c r="B40" s="210" t="s">
        <v>1538</v>
      </c>
      <c r="C40" s="1326">
        <f>F21</f>
        <v>2.5000000000000001E-2</v>
      </c>
      <c r="D40" s="236" t="s">
        <v>1539</v>
      </c>
      <c r="E40" s="232"/>
      <c r="F40" s="233">
        <f>F21</f>
        <v>2.5000000000000001E-2</v>
      </c>
      <c r="G40" s="234" t="s">
        <v>1540</v>
      </c>
    </row>
    <row r="41" spans="1:7" s="214" customFormat="1" ht="13.5" customHeight="1">
      <c r="A41" s="255" t="s">
        <v>1541</v>
      </c>
      <c r="B41" s="210" t="s">
        <v>1542</v>
      </c>
      <c r="C41" s="232">
        <f ca="1">ROUND(SUM(C42:C43),0)</f>
        <v>5383513</v>
      </c>
      <c r="D41" s="235">
        <f ca="1">C44</f>
        <v>1.1000000000000001E-3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5252208</v>
      </c>
      <c r="D42" s="238"/>
      <c r="E42" s="238"/>
      <c r="F42" s="239"/>
      <c r="G42" s="3713" t="s">
        <v>1591</v>
      </c>
    </row>
    <row r="43" spans="1:7" ht="13.5" customHeight="1">
      <c r="A43" s="780" t="s">
        <v>347</v>
      </c>
      <c r="B43" s="215" t="s">
        <v>1545</v>
      </c>
      <c r="C43" s="238">
        <f ca="1">ROUND(IF('数据-取费表'!B22&lt;=1,C39*F22*'数据-取费表'!B20/2,C39*(POWER((1+F22),'数据-取费表'!B20/2)-1)),0)</f>
        <v>131305</v>
      </c>
      <c r="D43" s="238"/>
      <c r="E43" s="238"/>
      <c r="F43" s="239"/>
      <c r="G43" s="3714"/>
    </row>
    <row r="44" spans="1:7" ht="13.5" customHeight="1">
      <c r="A44" s="780" t="s">
        <v>348</v>
      </c>
      <c r="B44" s="215" t="s">
        <v>1546</v>
      </c>
      <c r="C44" s="238">
        <f ca="1">ROUND(IF('数据-取费表'!B22&lt;=1,C40*F22*'数据-取费表'!B20/2,C40*(POWER((1+F22),'数据-取费表'!B20/2)-1)),4)</f>
        <v>1.1000000000000001E-3</v>
      </c>
      <c r="D44" s="238"/>
      <c r="E44" s="238"/>
      <c r="F44" s="239"/>
      <c r="G44" s="3715"/>
    </row>
    <row r="45" spans="1:7" s="214" customFormat="1" ht="13.5" customHeight="1">
      <c r="A45" s="255" t="s">
        <v>1547</v>
      </c>
      <c r="B45" s="244" t="s">
        <v>1513</v>
      </c>
      <c r="C45" s="245">
        <f ca="1">C46</f>
        <v>25605961</v>
      </c>
      <c r="D45" s="235">
        <f ca="1">C47</f>
        <v>5.0000000000000001E-3</v>
      </c>
      <c r="E45" s="236" t="s">
        <v>1539</v>
      </c>
      <c r="F45" s="246">
        <f ca="1">F27</f>
        <v>0.2</v>
      </c>
      <c r="G45" s="247" t="s">
        <v>1548</v>
      </c>
    </row>
    <row r="46" spans="1:7" s="214" customFormat="1" ht="13.5" customHeight="1">
      <c r="A46" s="780" t="s">
        <v>346</v>
      </c>
      <c r="B46" s="248" t="s">
        <v>1549</v>
      </c>
      <c r="C46" s="249">
        <f ca="1">ROUND((C33+C39)*F27,0)</f>
        <v>25605961</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173677673</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138942138</v>
      </c>
      <c r="D51" s="232"/>
      <c r="E51" s="232"/>
      <c r="F51" s="264"/>
      <c r="G51" s="234" t="s">
        <v>1560</v>
      </c>
    </row>
    <row r="52" spans="1:7" s="208" customFormat="1" ht="16.5" thickBot="1">
      <c r="A52" s="265" t="s">
        <v>1561</v>
      </c>
      <c r="B52" s="266"/>
      <c r="C52" s="267">
        <f ca="1">C31+C51</f>
        <v>148985757</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17457.32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17457.32</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349</v>
      </c>
      <c r="D20" s="846">
        <f ca="1">IF(C1="",'数据-汇总表'!E6,IF(INDIRECT("'数据-取费表'!c"&amp;$K$1)="住宅",INDIRECT("'数据-取费表'!s"&amp;$K$1),INDIRECT("'数据-取费表'!k"&amp;$K$1)+INDIRECT("'数据-取费表'!s"&amp;$K$1)))</f>
        <v>17457.32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3408</v>
      </c>
      <c r="D1" s="1361" t="s">
        <v>43</v>
      </c>
      <c r="E1" s="1362" t="s">
        <v>678</v>
      </c>
      <c r="F1" s="1062">
        <f ca="1">J53</f>
        <v>24.29</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54401</v>
      </c>
      <c r="C2" s="1386" t="s">
        <v>805</v>
      </c>
      <c r="D2" s="1386"/>
      <c r="E2" s="1387"/>
      <c r="F2" s="1388"/>
      <c r="G2" s="2705"/>
      <c r="H2" s="2694"/>
      <c r="I2" s="2694"/>
      <c r="J2" s="2694"/>
      <c r="K2" s="2695"/>
      <c r="L2" s="2694"/>
      <c r="M2" s="2694"/>
    </row>
    <row r="3" spans="1:37" ht="18" customHeight="1" thickBot="1">
      <c r="A3" s="1389" t="s">
        <v>806</v>
      </c>
      <c r="B3" s="1390">
        <f ca="1">IF(ISERROR(B2*10000/F43),0,ROUND(B2*10000/F43,0))</f>
        <v>31162</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4153</v>
      </c>
      <c r="D5" s="1363" t="s">
        <v>693</v>
      </c>
      <c r="E5" s="1071"/>
      <c r="F5" s="1072"/>
      <c r="G5" s="1383"/>
      <c r="H5" s="299">
        <v>1</v>
      </c>
      <c r="I5" s="300" t="s">
        <v>692</v>
      </c>
      <c r="J5" s="1070">
        <f ca="1">J6+J10+J12</f>
        <v>0</v>
      </c>
      <c r="K5" s="1363" t="s">
        <v>693</v>
      </c>
      <c r="L5" s="1071"/>
      <c r="M5" s="1072"/>
    </row>
    <row r="6" spans="1:37" ht="18" customHeight="1">
      <c r="A6" s="1069" t="s">
        <v>398</v>
      </c>
      <c r="B6" s="3718" t="s">
        <v>694</v>
      </c>
      <c r="C6" s="1074">
        <f ca="1">ROUND(F6*F8*F7*(1-F9)/10000,0)</f>
        <v>4148</v>
      </c>
      <c r="D6" s="155" t="s">
        <v>2109</v>
      </c>
      <c r="E6" s="302" t="s">
        <v>696</v>
      </c>
      <c r="F6" s="303">
        <f ca="1">INDIRECT("'数据-取费表'!u"&amp;$G$1)</f>
        <v>7</v>
      </c>
      <c r="G6" s="1383"/>
      <c r="H6" s="1069" t="s">
        <v>398</v>
      </c>
      <c r="I6" s="3718" t="s">
        <v>694</v>
      </c>
      <c r="J6" s="301">
        <f ca="1">ROUND(M6*M8*M7*(1-M9)/10000,0)</f>
        <v>0</v>
      </c>
      <c r="K6" s="155" t="s">
        <v>2108</v>
      </c>
      <c r="L6" s="302" t="s">
        <v>696</v>
      </c>
      <c r="M6" s="303">
        <f ca="1">INDIRECT("'数据-取费表'!z"&amp;$G$1)</f>
        <v>0</v>
      </c>
    </row>
    <row r="7" spans="1:37" ht="18" customHeight="1">
      <c r="A7" s="1073"/>
      <c r="B7" s="3719"/>
      <c r="C7" s="1075"/>
      <c r="D7" s="307"/>
      <c r="E7" s="1076" t="s">
        <v>697</v>
      </c>
      <c r="F7" s="303">
        <f ca="1">IF(INDIRECT("'数据-取费表'!ah"&amp;$G$1)="",INDIRECT("'数据-取费表'!k"&amp;$G$1),INDIRECT("'数据-取费表'!ah"&amp;$G$1))</f>
        <v>17457.32</v>
      </c>
      <c r="G7" s="1383"/>
      <c r="H7" s="304"/>
      <c r="I7" s="3719"/>
      <c r="J7" s="306"/>
      <c r="K7" s="307"/>
      <c r="L7" s="302" t="s">
        <v>697</v>
      </c>
      <c r="M7" s="303">
        <f ca="1">F7</f>
        <v>17457.32</v>
      </c>
    </row>
    <row r="8" spans="1:37" ht="18" customHeight="1">
      <c r="A8" s="304"/>
      <c r="B8" s="3719"/>
      <c r="C8" s="306"/>
      <c r="D8" s="307"/>
      <c r="E8" s="302" t="s">
        <v>698</v>
      </c>
      <c r="F8" s="303">
        <f ca="1">INDIRECT("'数据-取费表'!ai"&amp;$G$1)</f>
        <v>365</v>
      </c>
      <c r="G8" s="1383"/>
      <c r="H8" s="304"/>
      <c r="I8" s="3719"/>
      <c r="J8" s="306"/>
      <c r="K8" s="307"/>
      <c r="L8" s="302" t="s">
        <v>698</v>
      </c>
      <c r="M8" s="303">
        <f ca="1">INDIRECT("'数据-取费表'!ai"&amp;$G$1)</f>
        <v>365</v>
      </c>
    </row>
    <row r="9" spans="1:37" ht="18" customHeight="1">
      <c r="A9" s="304"/>
      <c r="B9" s="3720"/>
      <c r="C9" s="306"/>
      <c r="D9" s="307"/>
      <c r="E9" s="302" t="s">
        <v>699</v>
      </c>
      <c r="F9" s="312">
        <f ca="1">INDIRECT("'数据-取费表'!w"&amp;$G$1)</f>
        <v>7.0000000000000007E-2</v>
      </c>
      <c r="G9" s="1383"/>
      <c r="H9" s="304"/>
      <c r="I9" s="3720"/>
      <c r="J9" s="306"/>
      <c r="K9" s="307"/>
      <c r="L9" s="313" t="s">
        <v>699</v>
      </c>
      <c r="M9" s="314">
        <f ca="1">INDIRECT("'数据-取费表'!ab"&amp;$G$1)</f>
        <v>0</v>
      </c>
    </row>
    <row r="10" spans="1:37" ht="18" customHeight="1">
      <c r="A10" s="1069" t="s">
        <v>402</v>
      </c>
      <c r="B10" s="1364" t="s">
        <v>700</v>
      </c>
      <c r="C10" s="316">
        <f ca="1">ROUND(IF(F10="押一",C6/12*F11,IF(F10="押二",C6/12*2*F11,IF(F10="押三",C6/12*3*F11,C11*F11))),0)</f>
        <v>5</v>
      </c>
      <c r="D10" s="1365" t="s">
        <v>2117</v>
      </c>
      <c r="E10" s="313" t="s">
        <v>701</v>
      </c>
      <c r="F10" s="1116" t="s">
        <v>3426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13893</v>
      </c>
      <c r="D13" s="1081" t="s">
        <v>705</v>
      </c>
      <c r="E13" s="1081" t="s">
        <v>706</v>
      </c>
      <c r="F13" s="1082">
        <f ca="1">INDIRECT("'数据-取费表'!y"&amp;$G$1)</f>
        <v>0.8</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11347</v>
      </c>
      <c r="D14" s="1344" t="s">
        <v>708</v>
      </c>
      <c r="E14" s="1341"/>
      <c r="F14" s="319"/>
      <c r="G14" s="1383"/>
      <c r="H14" s="982" t="s">
        <v>398</v>
      </c>
      <c r="I14" s="302" t="s">
        <v>709</v>
      </c>
      <c r="J14" s="21">
        <f ca="1">C29</f>
        <v>17366</v>
      </c>
      <c r="K14" s="12"/>
      <c r="L14" s="807"/>
      <c r="M14" s="808"/>
    </row>
    <row r="15" spans="1:37" s="1396" customFormat="1" ht="18" customHeight="1" thickBot="1">
      <c r="A15" s="982" t="s">
        <v>399</v>
      </c>
      <c r="B15" s="302" t="s">
        <v>710</v>
      </c>
      <c r="C15" s="21">
        <f ca="1">ROUND(C14*F15,0)</f>
        <v>567</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94</v>
      </c>
      <c r="K16" s="1087" t="s">
        <v>715</v>
      </c>
      <c r="L16" s="1088"/>
      <c r="M16" s="1072"/>
    </row>
    <row r="17" spans="1:37" s="1396" customFormat="1" ht="18" customHeight="1">
      <c r="A17" s="982" t="s">
        <v>681</v>
      </c>
      <c r="B17" s="302" t="s">
        <v>716</v>
      </c>
      <c r="C17" s="21">
        <f ca="1">ROUND(F17*(F43+INDIRECT("'数据-取费表'!S"&amp;$G$1))/10000,0)</f>
        <v>349</v>
      </c>
      <c r="D17" s="302" t="s">
        <v>717</v>
      </c>
      <c r="E17" s="302" t="s">
        <v>718</v>
      </c>
      <c r="F17" s="23">
        <f>'数据-取费表'!B35</f>
        <v>200</v>
      </c>
      <c r="G17" s="1395"/>
      <c r="H17" s="982" t="s">
        <v>398</v>
      </c>
      <c r="I17" s="302" t="s">
        <v>719</v>
      </c>
      <c r="J17" s="2315">
        <f ca="1">ROUND(IF(AND(项目基本情况!B11="自然人",项目基本情况!B10="北京市"),J6*M17/(1+'数据-取费表'!C42),J18+J19+J20),2)</f>
        <v>6.95</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227</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12490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312</v>
      </c>
      <c r="D20" s="323" t="s">
        <v>729</v>
      </c>
      <c r="E20" s="302" t="s">
        <v>712</v>
      </c>
      <c r="F20" s="322">
        <f>'数据-取费表'!B37</f>
        <v>2.5000000000000001E-2</v>
      </c>
      <c r="G20" s="1395"/>
      <c r="H20" s="982" t="s">
        <v>680</v>
      </c>
      <c r="I20" s="155" t="s">
        <v>730</v>
      </c>
      <c r="J20" s="22">
        <f ca="1">ROUND(M20*M21/10000,2)</f>
        <v>6.95</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2.5000000000000001E-2</v>
      </c>
      <c r="G21" s="1395"/>
      <c r="H21" s="326"/>
      <c r="I21" s="311"/>
      <c r="J21" s="26"/>
      <c r="K21" s="327"/>
      <c r="L21" s="302" t="s">
        <v>736</v>
      </c>
      <c r="M21" s="303">
        <f ca="1">INDIRECT("'数据-取费表'!r"&amp;$G$1)</f>
        <v>3862.4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86.83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538</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-94</v>
      </c>
      <c r="K25" s="1095" t="s">
        <v>753</v>
      </c>
      <c r="L25" s="1096"/>
      <c r="M25" s="1097"/>
    </row>
    <row r="26" spans="1:37">
      <c r="A26" s="982" t="s">
        <v>397</v>
      </c>
      <c r="B26" s="302" t="s">
        <v>754</v>
      </c>
      <c r="C26" s="21">
        <f ca="1">ROUND((C19+C20)*F26,0)</f>
        <v>2560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17366</v>
      </c>
      <c r="D29" s="1092"/>
      <c r="E29" s="1090"/>
      <c r="F29" s="1093"/>
      <c r="G29" s="1395"/>
      <c r="H29" s="334" t="s">
        <v>396</v>
      </c>
      <c r="I29" s="335" t="s">
        <v>768</v>
      </c>
      <c r="J29" s="336">
        <f ca="1">ROUND(J26/(1+F40)^F41,0)</f>
        <v>0</v>
      </c>
      <c r="K29" s="337" t="s">
        <v>769</v>
      </c>
      <c r="L29" s="338"/>
      <c r="M29" s="339">
        <f ca="1">INDIRECT("'数据-取费表'!k"&amp;$G$1)</f>
        <v>17457.32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824</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702.24</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221.23</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474.06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6.95</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3862.4</v>
      </c>
      <c r="G35" s="1383"/>
      <c r="H35" s="2696"/>
      <c r="I35" s="1397"/>
      <c r="J35" s="1398"/>
      <c r="K35" s="2700"/>
      <c r="L35" s="2699"/>
      <c r="M35" s="2699"/>
    </row>
    <row r="36" spans="1:18" ht="18" customHeight="1">
      <c r="A36" s="1102" t="s">
        <v>402</v>
      </c>
      <c r="B36" s="302" t="s">
        <v>738</v>
      </c>
      <c r="C36" s="21">
        <f ca="1">ROUND(C29*F36,2)</f>
        <v>86.83</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ROUND(C13*F37,2)</f>
        <v>13.89</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20.77</v>
      </c>
      <c r="D38" s="1092" t="s">
        <v>748</v>
      </c>
      <c r="E38" s="1090" t="s">
        <v>744</v>
      </c>
      <c r="F38" s="1086">
        <f ca="1">INDIRECT("'数据-取费表'!Am"&amp;$G$1)</f>
        <v>5.0000000000000001E-3</v>
      </c>
      <c r="G38" s="1383"/>
      <c r="H38" s="2699"/>
      <c r="I38" s="1397"/>
      <c r="J38" s="1398"/>
      <c r="K38" s="2703"/>
      <c r="L38" s="2699"/>
      <c r="M38" s="2699"/>
    </row>
    <row r="39" spans="1:18" ht="24.6" customHeight="1" thickTop="1">
      <c r="A39" s="1079" t="s">
        <v>394</v>
      </c>
      <c r="B39" s="1094" t="s">
        <v>772</v>
      </c>
      <c r="C39" s="310">
        <f ca="1">C5-C30</f>
        <v>3329</v>
      </c>
      <c r="D39" s="1095" t="s">
        <v>773</v>
      </c>
      <c r="E39" s="1096"/>
      <c r="F39" s="1097"/>
      <c r="G39" s="1383"/>
      <c r="H39" s="2699"/>
      <c r="I39" s="1397">
        <f ca="1">C39/C5</f>
        <v>0.80158921261738503</v>
      </c>
      <c r="J39" s="1398"/>
      <c r="K39" s="2703"/>
      <c r="L39" s="2699"/>
      <c r="M39" s="2699"/>
    </row>
    <row r="40" spans="1:18" ht="18" customHeight="1">
      <c r="A40" s="299" t="s">
        <v>395</v>
      </c>
      <c r="B40" s="300" t="s">
        <v>774</v>
      </c>
      <c r="C40" s="301">
        <f ca="1">ROUND(C39*(1-((1+F42)/(1+F40))^F41)/(F40-F42),0)</f>
        <v>53202</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24.29</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30475</v>
      </c>
      <c r="D43" s="337" t="s">
        <v>777</v>
      </c>
      <c r="E43" s="338" t="s">
        <v>778</v>
      </c>
      <c r="F43" s="339">
        <f ca="1">INDIRECT("'数据-取费表'!k"&amp;$G$1)</f>
        <v>17457.32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-54631</v>
      </c>
      <c r="D46" s="1405" t="str">
        <f>C2</f>
        <v>万元</v>
      </c>
      <c r="E46" s="1399"/>
      <c r="F46" s="1399"/>
      <c r="I46" s="1406" t="s">
        <v>810</v>
      </c>
      <c r="J46" s="1407"/>
      <c r="K46" s="1408"/>
      <c r="L46" s="1409">
        <f ca="1">IF(M47="住宅",0,IF(L48&gt;J51,L60,J60))</f>
        <v>1199</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3427</v>
      </c>
      <c r="K47" s="1415" t="s">
        <v>816</v>
      </c>
      <c r="L47" s="1416">
        <f ca="1">INDIRECT("'数据-取费表'!d"&amp;$G$1)</f>
        <v>50</v>
      </c>
      <c r="M47" s="1379" t="str">
        <f>IF(ISNUMBER(FIND("住宅",C1)),"住宅","非住宅")</f>
        <v>非住宅</v>
      </c>
      <c r="O47" s="1417" t="s">
        <v>403</v>
      </c>
      <c r="P47" s="1418" t="s">
        <v>817</v>
      </c>
      <c r="Q47" s="1419">
        <f ca="1">C40+J29</f>
        <v>53202</v>
      </c>
      <c r="R47" s="1419" t="s">
        <v>818</v>
      </c>
    </row>
    <row r="48" spans="1:18" s="1383" customFormat="1" ht="28.5" thickBot="1">
      <c r="A48" s="1110" t="s">
        <v>438</v>
      </c>
      <c r="B48" s="300" t="s">
        <v>692</v>
      </c>
      <c r="C48" s="1358">
        <f ca="1">C49+C53+C55</f>
        <v>0</v>
      </c>
      <c r="D48" s="1112"/>
      <c r="E48" s="1113"/>
      <c r="F48" s="962"/>
      <c r="G48" s="722"/>
      <c r="H48" s="723"/>
      <c r="I48" s="1420" t="s">
        <v>819</v>
      </c>
      <c r="J48" s="1421" t="s">
        <v>3428</v>
      </c>
      <c r="K48" s="1422" t="s">
        <v>820</v>
      </c>
      <c r="L48" s="1423">
        <f ca="1">INDIRECT("'数据-取费表'!f"&amp;$G$1)</f>
        <v>24.29</v>
      </c>
      <c r="O48" s="1417" t="s">
        <v>404</v>
      </c>
      <c r="P48" s="1418" t="s">
        <v>821</v>
      </c>
      <c r="Q48" s="1419">
        <f ca="1">J60</f>
        <v>1199</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1998</v>
      </c>
      <c r="K49" s="1422" t="s">
        <v>824</v>
      </c>
      <c r="L49" s="1426"/>
      <c r="O49" s="1427" t="s">
        <v>405</v>
      </c>
      <c r="P49" s="1418" t="s">
        <v>825</v>
      </c>
      <c r="Q49" s="1419">
        <f ca="1">C29</f>
        <v>17366</v>
      </c>
      <c r="R49" s="1419" t="s">
        <v>818</v>
      </c>
    </row>
    <row r="50" spans="1:18" s="1383" customFormat="1" ht="13.5" thickBot="1">
      <c r="A50" s="976"/>
      <c r="B50" s="979"/>
      <c r="C50" s="1118"/>
      <c r="D50" s="953"/>
      <c r="E50" s="1056" t="s">
        <v>697</v>
      </c>
      <c r="F50" s="1057">
        <f ca="1">F7</f>
        <v>17457.32</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34</v>
      </c>
      <c r="K51" s="1433" t="s">
        <v>830</v>
      </c>
      <c r="L51" s="1434">
        <f ca="1">ROUND(-PV(INDIRECT("'数据-取费表'!h"&amp;$G$1),J51,(C39-C13*C76),0),0)</f>
        <v>38158</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24.29</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24.29</v>
      </c>
      <c r="K53" s="3716" t="s">
        <v>837</v>
      </c>
      <c r="L53" s="3717"/>
      <c r="O53" s="1417" t="s">
        <v>409</v>
      </c>
      <c r="P53" s="1418" t="s">
        <v>838</v>
      </c>
      <c r="Q53" s="1419">
        <f ca="1">Q47+Q48</f>
        <v>54401</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0.16200000000000001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13893</v>
      </c>
      <c r="D56" s="1446"/>
      <c r="E56" s="1447"/>
      <c r="F56" s="1439"/>
      <c r="I56" s="1448" t="s">
        <v>842</v>
      </c>
      <c r="J56" s="1449" t="s">
        <v>3429</v>
      </c>
      <c r="K56" s="1420" t="s">
        <v>843</v>
      </c>
      <c r="L56" s="1423" t="str">
        <f ca="1">IF(L48&lt;J51,"——",L48-J53)</f>
        <v>——</v>
      </c>
      <c r="O56" s="1417" t="s">
        <v>403</v>
      </c>
      <c r="P56" s="1418" t="s">
        <v>817</v>
      </c>
      <c r="Q56" s="1419">
        <f ca="1">C40+J29</f>
        <v>53202</v>
      </c>
      <c r="R56" s="1419" t="s">
        <v>818</v>
      </c>
    </row>
    <row r="57" spans="1:18" s="1383" customFormat="1" ht="24.75" thickBot="1">
      <c r="A57" s="1450"/>
      <c r="B57" s="950" t="s">
        <v>767</v>
      </c>
      <c r="C57" s="238">
        <f ca="1">C29</f>
        <v>17366</v>
      </c>
      <c r="D57" s="1451"/>
      <c r="E57" s="1452"/>
      <c r="F57" s="1453"/>
      <c r="I57" s="1454" t="s">
        <v>844</v>
      </c>
      <c r="J57" s="1455">
        <f ca="1">IF(OR(M47="住宅",J51&lt;L48,J56="是"),"——",J51-L48)</f>
        <v>9.7100000000000009</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108</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7</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6946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f ca="1">IF(OR(M47="住宅",J51&lt;L48,J56="是"),"0",ROUND(J59/(1+J52)^J53,0))</f>
        <v>1199</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6.95</v>
      </c>
      <c r="D62" s="965" t="s">
        <v>786</v>
      </c>
      <c r="E62" s="950" t="s">
        <v>787</v>
      </c>
      <c r="F62" s="325">
        <f t="shared" si="0"/>
        <v>18</v>
      </c>
      <c r="I62" s="1461" t="s">
        <v>858</v>
      </c>
      <c r="J62" s="1462" t="s">
        <v>859</v>
      </c>
      <c r="K62" s="1462" t="s">
        <v>860</v>
      </c>
      <c r="L62" s="1462" t="s">
        <v>861</v>
      </c>
      <c r="M62" s="1463" t="s">
        <v>862</v>
      </c>
      <c r="O62" s="1417" t="s">
        <v>409</v>
      </c>
      <c r="P62" s="1418" t="s">
        <v>863</v>
      </c>
      <c r="Q62" s="1419">
        <f ca="1">Q56+Q57</f>
        <v>53202</v>
      </c>
      <c r="R62" s="1419" t="s">
        <v>410</v>
      </c>
    </row>
    <row r="63" spans="1:18" s="1383" customFormat="1" ht="13.5" thickBot="1">
      <c r="A63" s="326"/>
      <c r="B63" s="956"/>
      <c r="C63" s="26"/>
      <c r="D63" s="966"/>
      <c r="E63" s="950" t="s">
        <v>788</v>
      </c>
      <c r="F63" s="303">
        <f t="shared" ca="1" si="0"/>
        <v>3862.4</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86.83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13.89</v>
      </c>
      <c r="D65" s="964" t="s">
        <v>743</v>
      </c>
      <c r="E65" s="950" t="s">
        <v>744</v>
      </c>
      <c r="F65" s="330">
        <f t="shared" ca="1" si="0"/>
        <v>1E-3</v>
      </c>
      <c r="I65" s="1461" t="s">
        <v>867</v>
      </c>
      <c r="J65" s="1462">
        <v>40</v>
      </c>
      <c r="K65" s="1462">
        <v>30</v>
      </c>
      <c r="L65" s="1462">
        <v>50</v>
      </c>
      <c r="M65" s="1464">
        <v>0.02</v>
      </c>
      <c r="O65" s="1417" t="s">
        <v>403</v>
      </c>
      <c r="P65" s="1418" t="s">
        <v>868</v>
      </c>
      <c r="Q65" s="1419">
        <f ca="1">C40+J29</f>
        <v>53202</v>
      </c>
      <c r="R65" s="1419" t="s">
        <v>818</v>
      </c>
    </row>
    <row r="66" spans="1:18" s="1383" customFormat="1" ht="16.5"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-108</v>
      </c>
      <c r="D67" s="963" t="s">
        <v>753</v>
      </c>
      <c r="E67" s="968"/>
      <c r="F67" s="969"/>
      <c r="O67" s="1427" t="s">
        <v>405</v>
      </c>
      <c r="P67" s="1418" t="s">
        <v>850</v>
      </c>
      <c r="Q67" s="1465">
        <f ca="1">L51</f>
        <v>38158</v>
      </c>
      <c r="R67" s="1419" t="s">
        <v>870</v>
      </c>
    </row>
    <row r="68" spans="1:18" s="1383" customFormat="1" ht="16.5" thickBot="1">
      <c r="A68" s="947" t="s">
        <v>395</v>
      </c>
      <c r="B68" s="948" t="s">
        <v>774</v>
      </c>
      <c r="C68" s="301">
        <f ca="1">ROUND(C67*(1-((1+F70)/(1+F68))^F69)/(F68-F70),0)</f>
        <v>-1429</v>
      </c>
      <c r="D68" s="965" t="s">
        <v>758</v>
      </c>
      <c r="E68" s="950" t="s">
        <v>759</v>
      </c>
      <c r="F68" s="312">
        <f ca="1">F40</f>
        <v>5.5E-2</v>
      </c>
      <c r="O68" s="1427" t="s">
        <v>406</v>
      </c>
      <c r="P68" s="1466" t="s">
        <v>871</v>
      </c>
      <c r="Q68" s="1419">
        <f ca="1">ROUND(Q69-Q70*Q71,0)</f>
        <v>2356</v>
      </c>
      <c r="R68" s="1419" t="s">
        <v>414</v>
      </c>
    </row>
    <row r="69" spans="1:18" s="1383" customFormat="1" ht="13.5" thickBot="1">
      <c r="A69" s="951"/>
      <c r="B69" s="952"/>
      <c r="C69" s="306"/>
      <c r="D69" s="970" t="s">
        <v>762</v>
      </c>
      <c r="E69" s="950" t="s">
        <v>763</v>
      </c>
      <c r="F69" s="333">
        <f ca="1">F41</f>
        <v>24.29</v>
      </c>
      <c r="O69" s="1427" t="s">
        <v>411</v>
      </c>
      <c r="P69" s="1466" t="s">
        <v>872</v>
      </c>
      <c r="Q69" s="1419">
        <f ca="1">C39</f>
        <v>3329</v>
      </c>
      <c r="R69" s="1419" t="s">
        <v>818</v>
      </c>
    </row>
    <row r="70" spans="1:18" s="1383" customFormat="1" ht="13.5" thickBot="1">
      <c r="A70" s="954"/>
      <c r="B70" s="955"/>
      <c r="C70" s="310"/>
      <c r="D70" s="966"/>
      <c r="E70" s="950" t="s">
        <v>766</v>
      </c>
      <c r="F70" s="1054"/>
      <c r="O70" s="1427" t="s">
        <v>412</v>
      </c>
      <c r="P70" s="1466" t="s">
        <v>873</v>
      </c>
      <c r="Q70" s="1419">
        <f ca="1">C13</f>
        <v>13893</v>
      </c>
      <c r="R70" s="1419" t="s">
        <v>818</v>
      </c>
    </row>
    <row r="71" spans="1:18" s="1383" customFormat="1" ht="13.5" thickBot="1">
      <c r="A71" s="971" t="s">
        <v>396</v>
      </c>
      <c r="B71" s="972" t="s">
        <v>776</v>
      </c>
      <c r="C71" s="336">
        <f ca="1">ROUND(C68*10000/F71,0)</f>
        <v>-819</v>
      </c>
      <c r="D71" s="973" t="s">
        <v>777</v>
      </c>
      <c r="E71" s="974" t="s">
        <v>778</v>
      </c>
      <c r="F71" s="339">
        <f ca="1">F43</f>
        <v>17457.32</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973</v>
      </c>
      <c r="D75" s="1383"/>
      <c r="E75" s="1383"/>
      <c r="F75" s="1383"/>
      <c r="K75" s="1401"/>
      <c r="L75" s="1383"/>
      <c r="O75" s="1417" t="s">
        <v>409</v>
      </c>
      <c r="P75" s="1418" t="s">
        <v>838</v>
      </c>
      <c r="Q75" s="1419">
        <f ca="1">Q65+Q66</f>
        <v>53202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0.70799999999999996</v>
      </c>
    </row>
    <row r="80" spans="1:18">
      <c r="B80" s="340" t="s">
        <v>800</v>
      </c>
      <c r="C80" s="274">
        <f ca="1">ROUND(C75/C39,3)</f>
        <v>0.29199999999999998</v>
      </c>
    </row>
    <row r="81" spans="2:3">
      <c r="B81" s="270" t="s">
        <v>801</v>
      </c>
      <c r="C81" s="238"/>
    </row>
    <row r="82" spans="2:3">
      <c r="B82" s="273" t="s">
        <v>802</v>
      </c>
      <c r="C82" s="275">
        <f ca="1">1-C83</f>
        <v>0.73899999999999999</v>
      </c>
    </row>
    <row r="83" spans="2:3">
      <c r="B83" s="273" t="s">
        <v>803</v>
      </c>
      <c r="C83" s="274">
        <f ca="1">ROUND(C13/C40,3)</f>
        <v>0.26100000000000001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18" t="s">
        <v>694</v>
      </c>
      <c r="C6" s="1074">
        <f ca="1">ROUND(F6*F8*F7*(1-F9),0)</f>
        <v>0</v>
      </c>
      <c r="D6" s="155" t="s">
        <v>2106</v>
      </c>
      <c r="E6" s="302" t="s">
        <v>696</v>
      </c>
      <c r="F6" s="303">
        <f ca="1">INDIRECT("'数据-取费表'!u"&amp;$G$1)</f>
        <v>0</v>
      </c>
      <c r="G6" s="1383"/>
      <c r="H6" s="1069" t="s">
        <v>398</v>
      </c>
      <c r="I6" s="3718" t="s">
        <v>694</v>
      </c>
      <c r="J6" s="301">
        <f ca="1">ROUND(M6*M8*M7*(1-M9),0)</f>
        <v>0</v>
      </c>
      <c r="K6" s="1375" t="s">
        <v>2107</v>
      </c>
      <c r="L6" s="302" t="s">
        <v>696</v>
      </c>
      <c r="M6" s="303">
        <f ca="1">INDIRECT("'数据-取费表'!z"&amp;$G$1)</f>
        <v>0</v>
      </c>
    </row>
    <row r="7" spans="1:37" ht="18" customHeight="1">
      <c r="A7" s="1073"/>
      <c r="B7" s="3719"/>
      <c r="C7" s="1075"/>
      <c r="D7" s="307"/>
      <c r="E7" s="1076" t="s">
        <v>697</v>
      </c>
      <c r="F7" s="303">
        <f ca="1">IF(INDIRECT("'数据-取费表'!ah"&amp;$G$1)="",INDIRECT("'数据-取费表'!k"&amp;$G$1),INDIRECT("'数据-取费表'!ah"&amp;$G$1))</f>
        <v>0</v>
      </c>
      <c r="G7" s="1383"/>
      <c r="H7" s="304"/>
      <c r="I7" s="3719"/>
      <c r="J7" s="306"/>
      <c r="K7" s="307"/>
      <c r="L7" s="302" t="s">
        <v>697</v>
      </c>
      <c r="M7" s="303">
        <f ca="1">F7</f>
        <v>0</v>
      </c>
    </row>
    <row r="8" spans="1:37" ht="18" customHeight="1">
      <c r="A8" s="304"/>
      <c r="B8" s="3719"/>
      <c r="C8" s="306"/>
      <c r="D8" s="307"/>
      <c r="E8" s="302" t="s">
        <v>698</v>
      </c>
      <c r="F8" s="303">
        <f ca="1">INDIRECT("'数据-取费表'!ai"&amp;$G$1)</f>
        <v>0</v>
      </c>
      <c r="G8" s="1383"/>
      <c r="H8" s="304"/>
      <c r="I8" s="3719"/>
      <c r="J8" s="306"/>
      <c r="K8" s="307"/>
      <c r="L8" s="302" t="s">
        <v>698</v>
      </c>
      <c r="M8" s="303">
        <f ca="1">INDIRECT("'数据-取费表'!ai"&amp;$G$1)</f>
        <v>0</v>
      </c>
    </row>
    <row r="9" spans="1:37" ht="18" customHeight="1">
      <c r="A9" s="304"/>
      <c r="B9" s="3720"/>
      <c r="C9" s="306"/>
      <c r="D9" s="307"/>
      <c r="E9" s="302" t="s">
        <v>699</v>
      </c>
      <c r="F9" s="312">
        <f ca="1">INDIRECT("'数据-取费表'!w"&amp;$G$1)</f>
        <v>0</v>
      </c>
      <c r="G9" s="1383"/>
      <c r="H9" s="304"/>
      <c r="I9" s="3720"/>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2.5000000000000001E-2</v>
      </c>
      <c r="G20" s="1395"/>
      <c r="H20" s="982" t="s">
        <v>680</v>
      </c>
      <c r="I20" s="155" t="s">
        <v>730</v>
      </c>
      <c r="J20" s="22">
        <f ca="1">ROUND(M20*M21,0)</f>
        <v>0</v>
      </c>
      <c r="K20" s="324" t="s">
        <v>731</v>
      </c>
      <c r="L20" s="302" t="s">
        <v>732</v>
      </c>
      <c r="M20" s="325">
        <f>'数据-取费表'!B52</f>
        <v>18</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2.5000000000000001E-2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3.3500000000000002E-2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18</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16" t="s">
        <v>837</v>
      </c>
      <c r="L53" s="3717"/>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18</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27" t="s">
        <v>2317</v>
      </c>
      <c r="K2" s="3728"/>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29" t="s">
        <v>2327</v>
      </c>
      <c r="K3" s="3730"/>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29" t="s">
        <v>2329</v>
      </c>
      <c r="K4" s="3730"/>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35" t="s">
        <v>2333</v>
      </c>
      <c r="B6" s="3736"/>
      <c r="C6" s="3737"/>
      <c r="D6" s="2869"/>
      <c r="E6" s="2870"/>
      <c r="F6" s="2871"/>
      <c r="G6" s="2872"/>
      <c r="H6" s="2847"/>
      <c r="I6" s="2848"/>
      <c r="J6" s="3721">
        <v>1</v>
      </c>
      <c r="K6" s="3722"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21"/>
      <c r="K7" s="3723"/>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38" t="s">
        <v>2347</v>
      </c>
      <c r="C8" s="3739"/>
      <c r="D8" s="2888" t="s">
        <v>2348</v>
      </c>
      <c r="E8" s="2889" t="s">
        <v>2349</v>
      </c>
      <c r="F8" s="2890" t="s">
        <v>2350</v>
      </c>
      <c r="G8" s="2891"/>
      <c r="H8" s="2847"/>
      <c r="I8" s="2848"/>
      <c r="J8" s="3721"/>
      <c r="K8" s="3723"/>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38" t="s">
        <v>2353</v>
      </c>
      <c r="C9" s="3739"/>
      <c r="D9" s="2888">
        <f>ROUND(D6*E9,0)</f>
        <v>0</v>
      </c>
      <c r="E9" s="2892"/>
      <c r="F9" s="2893" t="s">
        <v>2354</v>
      </c>
      <c r="G9" s="2872"/>
      <c r="H9" s="2847"/>
      <c r="I9" s="2848"/>
      <c r="J9" s="3721"/>
      <c r="K9" s="3723"/>
      <c r="L9" s="2882" t="s">
        <v>2355</v>
      </c>
      <c r="M9" s="2883"/>
      <c r="N9" s="2859"/>
      <c r="O9" s="2884"/>
      <c r="P9" s="2884"/>
      <c r="Q9" s="2885">
        <v>365</v>
      </c>
      <c r="R9" s="2886">
        <f t="shared" si="0"/>
        <v>0</v>
      </c>
      <c r="S9" s="2840"/>
      <c r="T9" s="2840"/>
      <c r="U9" s="2840"/>
      <c r="V9" s="2848"/>
    </row>
    <row r="10" spans="1:22" s="2852" customFormat="1" ht="13.15" customHeight="1">
      <c r="A10" s="2887">
        <v>2</v>
      </c>
      <c r="B10" s="3738" t="s">
        <v>2356</v>
      </c>
      <c r="C10" s="3739"/>
      <c r="D10" s="2888">
        <f>ROUND(D6*E10,0)</f>
        <v>0</v>
      </c>
      <c r="E10" s="2892"/>
      <c r="F10" s="2893" t="s">
        <v>2357</v>
      </c>
      <c r="G10" s="2872"/>
      <c r="H10" s="2847"/>
      <c r="I10" s="2848"/>
      <c r="J10" s="3721"/>
      <c r="K10" s="3723"/>
      <c r="L10" s="2882" t="s">
        <v>2358</v>
      </c>
      <c r="M10" s="2883"/>
      <c r="N10" s="2859"/>
      <c r="O10" s="2884"/>
      <c r="P10" s="2884"/>
      <c r="Q10" s="2885">
        <v>365</v>
      </c>
      <c r="R10" s="2886">
        <f t="shared" si="0"/>
        <v>0</v>
      </c>
      <c r="S10" s="2840"/>
      <c r="T10" s="2840"/>
      <c r="U10" s="2840"/>
      <c r="V10" s="2848"/>
    </row>
    <row r="11" spans="1:22" s="2852" customFormat="1" ht="13.15" customHeight="1">
      <c r="A11" s="2887">
        <v>3</v>
      </c>
      <c r="B11" s="3738" t="s">
        <v>2359</v>
      </c>
      <c r="C11" s="3739"/>
      <c r="D11" s="2888">
        <f>D12+D14+D15+D16</f>
        <v>0</v>
      </c>
      <c r="E11" s="2894" t="e">
        <f>D11/D6</f>
        <v>#DIV/0!</v>
      </c>
      <c r="F11" s="2890"/>
      <c r="G11" s="2891"/>
      <c r="H11" s="2847"/>
      <c r="I11" s="2848"/>
      <c r="J11" s="3721"/>
      <c r="K11" s="3723"/>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31" t="s">
        <v>2362</v>
      </c>
      <c r="C12" s="3732"/>
      <c r="D12" s="2896">
        <f>ROUND(D13*1.2%*(1-30%),0)</f>
        <v>0</v>
      </c>
      <c r="E12" s="2897">
        <v>1.2E-2</v>
      </c>
      <c r="F12" s="2890" t="s">
        <v>2363</v>
      </c>
      <c r="G12" s="2891"/>
      <c r="H12" s="2847"/>
      <c r="I12" s="2848"/>
      <c r="J12" s="3721"/>
      <c r="K12" s="3723"/>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21"/>
      <c r="K13" s="3723"/>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31" t="s">
        <v>2368</v>
      </c>
      <c r="C14" s="3732"/>
      <c r="D14" s="2896">
        <f>ROUND(E14*B5/10000,0)</f>
        <v>0</v>
      </c>
      <c r="E14" s="2885"/>
      <c r="F14" s="2890" t="s">
        <v>2369</v>
      </c>
      <c r="G14" s="2891"/>
      <c r="H14" s="2847"/>
      <c r="I14" s="2848"/>
      <c r="J14" s="3721"/>
      <c r="K14" s="3724"/>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31" t="s">
        <v>2372</v>
      </c>
      <c r="C15" s="3732"/>
      <c r="D15" s="2896">
        <f>ROUND(D6*E15,0)</f>
        <v>0</v>
      </c>
      <c r="E15" s="2897">
        <v>5.5E-2</v>
      </c>
      <c r="F15" s="2890" t="s">
        <v>2373</v>
      </c>
      <c r="G15" s="2872"/>
      <c r="H15" s="2847"/>
      <c r="I15" s="2848"/>
      <c r="J15" s="3721">
        <v>2</v>
      </c>
      <c r="K15" s="3722"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31" t="s">
        <v>2381</v>
      </c>
      <c r="C16" s="3732"/>
      <c r="D16" s="2907">
        <f>D6*E16</f>
        <v>0</v>
      </c>
      <c r="E16" s="2908"/>
      <c r="F16" s="2893" t="s">
        <v>2382</v>
      </c>
      <c r="G16" s="2872"/>
      <c r="H16" s="2847"/>
      <c r="I16" s="2848"/>
      <c r="J16" s="3721"/>
      <c r="K16" s="3723"/>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33" t="s">
        <v>2384</v>
      </c>
      <c r="C17" s="3734"/>
      <c r="D17" s="2910">
        <f>ROUND(D6*E17,0)</f>
        <v>0</v>
      </c>
      <c r="E17" s="2911"/>
      <c r="F17" s="2912" t="s">
        <v>2385</v>
      </c>
      <c r="G17" s="2872"/>
      <c r="H17" s="2847"/>
      <c r="I17" s="2848"/>
      <c r="J17" s="3721"/>
      <c r="K17" s="3723"/>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21"/>
      <c r="K18" s="3723"/>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21"/>
      <c r="K19" s="3724"/>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1">
        <v>3</v>
      </c>
      <c r="K20" s="3722"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21"/>
      <c r="K21" s="3723"/>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21"/>
      <c r="K22" s="3723"/>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21"/>
      <c r="K23" s="3723"/>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21"/>
      <c r="K24" s="3724"/>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25">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2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27" t="s">
        <v>2317</v>
      </c>
      <c r="K32" s="3728"/>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29" t="s">
        <v>2327</v>
      </c>
      <c r="K33" s="3730"/>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29" t="s">
        <v>2329</v>
      </c>
      <c r="K34" s="373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21">
        <v>1</v>
      </c>
      <c r="K36" s="3722"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21"/>
      <c r="K37" s="3723"/>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1"/>
      <c r="K38" s="3723"/>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21"/>
      <c r="K39" s="3723"/>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21"/>
      <c r="K40" s="3724"/>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5">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2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54401</v>
      </c>
      <c r="C2" s="1871" t="s">
        <v>1651</v>
      </c>
      <c r="D2" s="1872" t="s">
        <v>1652</v>
      </c>
      <c r="E2" s="2606">
        <f>SUM(E6:E13)</f>
        <v>17457.32</v>
      </c>
      <c r="F2" s="2706"/>
      <c r="G2" s="1488"/>
      <c r="H2" s="1488"/>
      <c r="I2" s="1488"/>
      <c r="J2" s="1488"/>
      <c r="K2" s="1488"/>
      <c r="L2" s="1488"/>
      <c r="M2" s="1488"/>
      <c r="N2" s="1488"/>
      <c r="O2" s="1488"/>
      <c r="P2" s="1488"/>
      <c r="Q2" s="1488"/>
      <c r="R2" s="1488"/>
      <c r="S2" s="1488"/>
    </row>
    <row r="3" spans="1:22" ht="15.75">
      <c r="A3" s="1869" t="s">
        <v>686</v>
      </c>
      <c r="B3" s="2600">
        <f ca="1">ROUND(B2*10000/E2,0)</f>
        <v>31162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0" t="s">
        <v>1654</v>
      </c>
      <c r="C5" s="3741"/>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54401</v>
      </c>
      <c r="C6" s="1871" t="s">
        <v>1651</v>
      </c>
      <c r="D6" s="2708"/>
      <c r="E6" s="2605">
        <f>IF(OR(A6=0,F6="否"),0,'数据-取费表'!K6+'数据-取费表'!S6)</f>
        <v>17457.32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17457.32</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75" t="s">
        <v>1667</v>
      </c>
      <c r="D4" s="3687"/>
      <c r="E4" s="3688" t="s">
        <v>1668</v>
      </c>
      <c r="F4" s="3689"/>
      <c r="G4" s="3675" t="s">
        <v>1669</v>
      </c>
      <c r="H4" s="3687"/>
      <c r="I4" s="3675" t="s">
        <v>1670</v>
      </c>
      <c r="J4" s="3687"/>
      <c r="K4" s="1888" t="s">
        <v>1671</v>
      </c>
      <c r="L4" s="2714"/>
      <c r="M4" s="2715"/>
      <c r="N4" s="2715"/>
      <c r="O4" s="2715"/>
      <c r="P4" s="3690" t="s">
        <v>1672</v>
      </c>
      <c r="Q4" s="3691"/>
      <c r="R4" s="3696" t="s">
        <v>1668</v>
      </c>
      <c r="S4" s="3697"/>
      <c r="T4" s="3696" t="s">
        <v>1669</v>
      </c>
      <c r="U4" s="3697"/>
      <c r="V4" s="3683" t="s">
        <v>1670</v>
      </c>
      <c r="W4" s="3683"/>
      <c r="X4" s="1354"/>
      <c r="Y4" s="3696" t="s">
        <v>1672</v>
      </c>
      <c r="Z4" s="3697"/>
      <c r="AA4" s="3684" t="s">
        <v>1668</v>
      </c>
      <c r="AB4" s="3684" t="s">
        <v>1669</v>
      </c>
      <c r="AC4" s="3684" t="s">
        <v>1670</v>
      </c>
    </row>
    <row r="5" spans="1:29" ht="15">
      <c r="A5" s="358"/>
      <c r="B5" s="359"/>
      <c r="C5" s="3704" t="s">
        <v>1673</v>
      </c>
      <c r="D5" s="3705"/>
      <c r="E5" s="3711" t="s">
        <v>1674</v>
      </c>
      <c r="F5" s="3712"/>
      <c r="G5" s="3704" t="s">
        <v>1675</v>
      </c>
      <c r="H5" s="3705"/>
      <c r="I5" s="3704" t="s">
        <v>1676</v>
      </c>
      <c r="J5" s="3705"/>
      <c r="K5" s="1889"/>
      <c r="L5" s="2714"/>
      <c r="M5" s="2715"/>
      <c r="N5" s="2715"/>
      <c r="O5" s="2715"/>
      <c r="P5" s="3692"/>
      <c r="Q5" s="3693"/>
      <c r="R5" s="3698"/>
      <c r="S5" s="3699"/>
      <c r="T5" s="3698"/>
      <c r="U5" s="3699"/>
      <c r="V5" s="3683"/>
      <c r="W5" s="3683"/>
      <c r="X5" s="1354"/>
      <c r="Y5" s="3698"/>
      <c r="Z5" s="3699"/>
      <c r="AA5" s="3685"/>
      <c r="AB5" s="3685"/>
      <c r="AC5" s="3685"/>
    </row>
    <row r="6" spans="1:29" ht="15.75" thickBot="1">
      <c r="A6" s="360"/>
      <c r="B6" s="361"/>
      <c r="C6" s="3702" t="s">
        <v>1677</v>
      </c>
      <c r="D6" s="3703"/>
      <c r="E6" s="3709" t="s">
        <v>1677</v>
      </c>
      <c r="F6" s="3710"/>
      <c r="G6" s="3702" t="s">
        <v>1677</v>
      </c>
      <c r="H6" s="3703"/>
      <c r="I6" s="3702" t="s">
        <v>1677</v>
      </c>
      <c r="J6" s="3703"/>
      <c r="K6" s="1889" t="s">
        <v>1678</v>
      </c>
      <c r="L6" s="2714"/>
      <c r="M6" s="2715"/>
      <c r="N6" s="2715"/>
      <c r="O6" s="2715"/>
      <c r="P6" s="3694"/>
      <c r="Q6" s="3695"/>
      <c r="R6" s="3698"/>
      <c r="S6" s="3699"/>
      <c r="T6" s="3700"/>
      <c r="U6" s="3701"/>
      <c r="V6" s="3683"/>
      <c r="W6" s="3683"/>
      <c r="X6" s="1354"/>
      <c r="Y6" s="3700"/>
      <c r="Z6" s="3701"/>
      <c r="AA6" s="3686"/>
      <c r="AB6" s="3686"/>
      <c r="AC6" s="3686"/>
    </row>
    <row r="7" spans="1:29" s="108" customFormat="1" ht="15.75" thickBot="1">
      <c r="A7" s="362" t="s">
        <v>1679</v>
      </c>
      <c r="B7" s="363"/>
      <c r="C7" s="364">
        <f>'数据-取费表'!B2</f>
        <v>45526</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6" t="s">
        <v>1680</v>
      </c>
      <c r="Q7" s="3708"/>
      <c r="R7" s="701" t="s">
        <v>20</v>
      </c>
      <c r="S7" s="702">
        <f t="shared" ref="S7:S15" si="0">F7</f>
        <v>0</v>
      </c>
      <c r="T7" s="701" t="s">
        <v>20</v>
      </c>
      <c r="U7" s="702">
        <f t="shared" ref="U7:U15" si="1">H7</f>
        <v>0</v>
      </c>
      <c r="V7" s="701" t="s">
        <v>20</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6" t="s">
        <v>1683</v>
      </c>
      <c r="Q8" s="3707"/>
      <c r="R8" s="701" t="s">
        <v>20</v>
      </c>
      <c r="S8" s="702">
        <f t="shared" si="0"/>
        <v>100</v>
      </c>
      <c r="T8" s="701" t="s">
        <v>20</v>
      </c>
      <c r="U8" s="702">
        <f t="shared" si="1"/>
        <v>100</v>
      </c>
      <c r="V8" s="701" t="s">
        <v>20</v>
      </c>
      <c r="W8" s="702">
        <f t="shared" si="2"/>
        <v>100</v>
      </c>
      <c r="X8" s="703"/>
      <c r="Y8" s="3706" t="s">
        <v>1683</v>
      </c>
      <c r="Z8" s="370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7"/>
      <c r="Q11" s="1342" t="str">
        <f t="shared" si="6"/>
        <v>容积率</v>
      </c>
      <c r="R11" s="701" t="s">
        <v>18</v>
      </c>
      <c r="S11" s="702" t="e">
        <f t="shared" si="0"/>
        <v>#N/A</v>
      </c>
      <c r="T11" s="701" t="s">
        <v>18</v>
      </c>
      <c r="U11" s="702" t="e">
        <f t="shared" si="1"/>
        <v>#N/A</v>
      </c>
      <c r="V11" s="701" t="s">
        <v>18</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7"/>
      <c r="Q12" s="1342">
        <f t="shared" si="6"/>
        <v>111</v>
      </c>
      <c r="R12" s="701" t="s">
        <v>18</v>
      </c>
      <c r="S12" s="702">
        <f t="shared" si="0"/>
        <v>100</v>
      </c>
      <c r="T12" s="701" t="s">
        <v>18</v>
      </c>
      <c r="U12" s="702">
        <f t="shared" si="1"/>
        <v>100</v>
      </c>
      <c r="V12" s="701" t="s">
        <v>18</v>
      </c>
      <c r="W12" s="702">
        <f t="shared" si="2"/>
        <v>100</v>
      </c>
      <c r="X12" s="703"/>
      <c r="Y12" s="357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7"/>
      <c r="Q13" s="1342">
        <f t="shared" si="6"/>
        <v>111</v>
      </c>
      <c r="R13" s="701" t="s">
        <v>18</v>
      </c>
      <c r="S13" s="702">
        <f t="shared" si="0"/>
        <v>100</v>
      </c>
      <c r="T13" s="701" t="s">
        <v>18</v>
      </c>
      <c r="U13" s="702">
        <f t="shared" si="1"/>
        <v>100</v>
      </c>
      <c r="V13" s="701" t="s">
        <v>18</v>
      </c>
      <c r="W13" s="702">
        <f t="shared" si="2"/>
        <v>100</v>
      </c>
      <c r="X13" s="703"/>
      <c r="Y13" s="357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7"/>
      <c r="Q14" s="1342">
        <f t="shared" si="6"/>
        <v>111</v>
      </c>
      <c r="R14" s="701" t="s">
        <v>18</v>
      </c>
      <c r="S14" s="702">
        <f t="shared" si="0"/>
        <v>100</v>
      </c>
      <c r="T14" s="701" t="s">
        <v>18</v>
      </c>
      <c r="U14" s="702">
        <f t="shared" si="1"/>
        <v>100</v>
      </c>
      <c r="V14" s="701" t="s">
        <v>18</v>
      </c>
      <c r="W14" s="702">
        <f t="shared" si="2"/>
        <v>100</v>
      </c>
      <c r="X14" s="703"/>
      <c r="Y14" s="3578"/>
      <c r="Z14" s="52">
        <f t="shared" si="7"/>
        <v>111</v>
      </c>
      <c r="AA14" s="704">
        <f t="shared" si="3"/>
        <v>1</v>
      </c>
      <c r="AB14" s="704">
        <f t="shared" si="4"/>
        <v>1</v>
      </c>
      <c r="AC14" s="704">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48" t="s">
        <v>1691</v>
      </c>
      <c r="Q15" s="1351" t="str">
        <f t="shared" si="6"/>
        <v>居住社区成熟度</v>
      </c>
      <c r="R15" s="705" t="s">
        <v>18</v>
      </c>
      <c r="S15" s="706">
        <f t="shared" si="0"/>
        <v>100</v>
      </c>
      <c r="T15" s="705" t="s">
        <v>18</v>
      </c>
      <c r="U15" s="706">
        <f t="shared" si="1"/>
        <v>100</v>
      </c>
      <c r="V15" s="705" t="s">
        <v>18</v>
      </c>
      <c r="W15" s="706">
        <f t="shared" si="2"/>
        <v>100</v>
      </c>
      <c r="X15" s="1354"/>
      <c r="Y15" s="367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49"/>
      <c r="Q16" s="1351"/>
      <c r="R16" s="705"/>
      <c r="S16" s="706"/>
      <c r="T16" s="705"/>
      <c r="U16" s="706"/>
      <c r="V16" s="705"/>
      <c r="W16" s="706"/>
      <c r="X16" s="1354"/>
      <c r="Y16" s="368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49"/>
      <c r="Q17" s="1351" t="str">
        <f>B17</f>
        <v>交通便捷度</v>
      </c>
      <c r="R17" s="705" t="s">
        <v>18</v>
      </c>
      <c r="S17" s="706">
        <f>F17</f>
        <v>100</v>
      </c>
      <c r="T17" s="705" t="s">
        <v>18</v>
      </c>
      <c r="U17" s="706">
        <f>H17</f>
        <v>100</v>
      </c>
      <c r="V17" s="705" t="s">
        <v>18</v>
      </c>
      <c r="W17" s="706">
        <f>J17</f>
        <v>100</v>
      </c>
      <c r="X17" s="1354"/>
      <c r="Y17" s="368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49"/>
      <c r="Q18" s="1351"/>
      <c r="R18" s="705"/>
      <c r="S18" s="706"/>
      <c r="T18" s="705"/>
      <c r="U18" s="706"/>
      <c r="V18" s="705"/>
      <c r="W18" s="706"/>
      <c r="X18" s="1354"/>
      <c r="Y18" s="368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49"/>
      <c r="Q19" s="1351" t="str">
        <f>B19</f>
        <v>公共配套设施</v>
      </c>
      <c r="R19" s="705" t="s">
        <v>18</v>
      </c>
      <c r="S19" s="706">
        <f>F19</f>
        <v>100</v>
      </c>
      <c r="T19" s="705" t="s">
        <v>18</v>
      </c>
      <c r="U19" s="706">
        <f>H19</f>
        <v>100</v>
      </c>
      <c r="V19" s="705" t="s">
        <v>18</v>
      </c>
      <c r="W19" s="706">
        <f>J19</f>
        <v>100</v>
      </c>
      <c r="X19" s="1354"/>
      <c r="Y19" s="368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49"/>
      <c r="Q20" s="1351"/>
      <c r="R20" s="705"/>
      <c r="S20" s="706"/>
      <c r="T20" s="705"/>
      <c r="U20" s="706"/>
      <c r="V20" s="705"/>
      <c r="W20" s="706"/>
      <c r="X20" s="1354"/>
      <c r="Y20" s="3680"/>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49"/>
      <c r="Q21" s="1351" t="str">
        <f>B21</f>
        <v>基础设施水平</v>
      </c>
      <c r="R21" s="705" t="s">
        <v>14</v>
      </c>
      <c r="S21" s="706">
        <f>F21</f>
        <v>100</v>
      </c>
      <c r="T21" s="705" t="s">
        <v>14</v>
      </c>
      <c r="U21" s="706">
        <f>H21</f>
        <v>100</v>
      </c>
      <c r="V21" s="705" t="s">
        <v>14</v>
      </c>
      <c r="W21" s="706">
        <f>J21</f>
        <v>100</v>
      </c>
      <c r="X21" s="1354"/>
      <c r="Y21" s="368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49"/>
      <c r="Q22" s="1351"/>
      <c r="R22" s="705"/>
      <c r="S22" s="706"/>
      <c r="T22" s="705"/>
      <c r="U22" s="706"/>
      <c r="V22" s="705"/>
      <c r="W22" s="706"/>
      <c r="X22" s="1354"/>
      <c r="Y22" s="368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49"/>
      <c r="Q23" s="1351" t="str">
        <f>B23</f>
        <v>自然及人文环境</v>
      </c>
      <c r="R23" s="705" t="s">
        <v>18</v>
      </c>
      <c r="S23" s="706">
        <f>F23</f>
        <v>100</v>
      </c>
      <c r="T23" s="705" t="s">
        <v>18</v>
      </c>
      <c r="U23" s="706">
        <f>H23</f>
        <v>100</v>
      </c>
      <c r="V23" s="705" t="s">
        <v>18</v>
      </c>
      <c r="W23" s="706">
        <f>J23</f>
        <v>100</v>
      </c>
      <c r="X23" s="1354"/>
      <c r="Y23" s="368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49"/>
      <c r="Q24" s="1351"/>
      <c r="R24" s="705"/>
      <c r="S24" s="706"/>
      <c r="T24" s="705"/>
      <c r="U24" s="706"/>
      <c r="V24" s="705"/>
      <c r="W24" s="706"/>
      <c r="X24" s="1354"/>
      <c r="Y24" s="368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4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49"/>
      <c r="Q26" s="1351" t="str">
        <f t="shared" si="11"/>
        <v>朝向</v>
      </c>
      <c r="R26" s="705" t="s">
        <v>18</v>
      </c>
      <c r="S26" s="706">
        <f t="shared" si="12"/>
        <v>100</v>
      </c>
      <c r="T26" s="705" t="s">
        <v>18</v>
      </c>
      <c r="U26" s="706">
        <f t="shared" si="13"/>
        <v>100</v>
      </c>
      <c r="V26" s="705" t="s">
        <v>18</v>
      </c>
      <c r="W26" s="706">
        <f t="shared" si="14"/>
        <v>100</v>
      </c>
      <c r="X26" s="1354"/>
      <c r="Y26" s="3680"/>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49"/>
      <c r="Q27" s="1342">
        <f t="shared" si="11"/>
        <v>111</v>
      </c>
      <c r="R27" s="701" t="s">
        <v>18</v>
      </c>
      <c r="S27" s="702">
        <f t="shared" si="12"/>
        <v>100</v>
      </c>
      <c r="T27" s="701" t="s">
        <v>18</v>
      </c>
      <c r="U27" s="702">
        <f t="shared" si="13"/>
        <v>100</v>
      </c>
      <c r="V27" s="701" t="s">
        <v>18</v>
      </c>
      <c r="W27" s="702">
        <f t="shared" si="14"/>
        <v>100</v>
      </c>
      <c r="X27" s="703"/>
      <c r="Y27" s="3680"/>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49"/>
      <c r="Q28" s="1351">
        <f t="shared" si="11"/>
        <v>111</v>
      </c>
      <c r="R28" s="705" t="s">
        <v>18</v>
      </c>
      <c r="S28" s="706">
        <f t="shared" si="12"/>
        <v>100</v>
      </c>
      <c r="T28" s="705" t="s">
        <v>18</v>
      </c>
      <c r="U28" s="706">
        <f t="shared" si="13"/>
        <v>100</v>
      </c>
      <c r="V28" s="705" t="s">
        <v>18</v>
      </c>
      <c r="W28" s="706">
        <f t="shared" si="14"/>
        <v>100</v>
      </c>
      <c r="X28" s="1354"/>
      <c r="Y28" s="3680"/>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49"/>
      <c r="Q29" s="1351">
        <f t="shared" si="11"/>
        <v>111</v>
      </c>
      <c r="R29" s="705" t="s">
        <v>18</v>
      </c>
      <c r="S29" s="706">
        <f t="shared" si="12"/>
        <v>100</v>
      </c>
      <c r="T29" s="705" t="s">
        <v>18</v>
      </c>
      <c r="U29" s="706">
        <f t="shared" si="13"/>
        <v>100</v>
      </c>
      <c r="V29" s="705" t="s">
        <v>18</v>
      </c>
      <c r="W29" s="706">
        <f t="shared" si="14"/>
        <v>100</v>
      </c>
      <c r="X29" s="1354"/>
      <c r="Y29" s="3680"/>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49"/>
      <c r="Q30" s="1351">
        <f t="shared" si="11"/>
        <v>111</v>
      </c>
      <c r="R30" s="705" t="s">
        <v>18</v>
      </c>
      <c r="S30" s="706">
        <f t="shared" si="12"/>
        <v>100</v>
      </c>
      <c r="T30" s="705" t="s">
        <v>18</v>
      </c>
      <c r="U30" s="706">
        <f t="shared" si="13"/>
        <v>100</v>
      </c>
      <c r="V30" s="705" t="s">
        <v>18</v>
      </c>
      <c r="W30" s="706">
        <f t="shared" si="14"/>
        <v>100</v>
      </c>
      <c r="X30" s="1354"/>
      <c r="Y30" s="3680"/>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49"/>
      <c r="Q31" s="1351">
        <f t="shared" si="11"/>
        <v>111</v>
      </c>
      <c r="R31" s="705" t="s">
        <v>18</v>
      </c>
      <c r="S31" s="706">
        <f t="shared" si="12"/>
        <v>100</v>
      </c>
      <c r="T31" s="705" t="s">
        <v>18</v>
      </c>
      <c r="U31" s="706">
        <f t="shared" si="13"/>
        <v>100</v>
      </c>
      <c r="V31" s="705" t="s">
        <v>18</v>
      </c>
      <c r="W31" s="706">
        <f t="shared" si="14"/>
        <v>100</v>
      </c>
      <c r="X31" s="1354"/>
      <c r="Y31" s="368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44" t="s">
        <v>1696</v>
      </c>
      <c r="Q32" s="1351" t="str">
        <f t="shared" si="11"/>
        <v>建筑类型</v>
      </c>
      <c r="R32" s="705" t="s">
        <v>18</v>
      </c>
      <c r="S32" s="706">
        <f t="shared" si="12"/>
        <v>100</v>
      </c>
      <c r="T32" s="705" t="s">
        <v>18</v>
      </c>
      <c r="U32" s="706">
        <f t="shared" si="13"/>
        <v>100</v>
      </c>
      <c r="V32" s="705" t="s">
        <v>18</v>
      </c>
      <c r="W32" s="706">
        <f t="shared" si="14"/>
        <v>100</v>
      </c>
      <c r="X32" s="1354"/>
      <c r="Y32" s="368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45"/>
      <c r="Q33" s="707" t="str">
        <f t="shared" si="11"/>
        <v>项目建筑规模</v>
      </c>
      <c r="R33" s="708" t="s">
        <v>18</v>
      </c>
      <c r="S33" s="709" t="e">
        <f t="shared" si="12"/>
        <v>#N/A</v>
      </c>
      <c r="T33" s="708" t="s">
        <v>18</v>
      </c>
      <c r="U33" s="709" t="e">
        <f t="shared" si="13"/>
        <v>#N/A</v>
      </c>
      <c r="V33" s="708" t="s">
        <v>18</v>
      </c>
      <c r="W33" s="709" t="e">
        <f t="shared" si="14"/>
        <v>#N/A</v>
      </c>
      <c r="X33" s="710"/>
      <c r="Y33" s="3682"/>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45"/>
      <c r="Q34" s="1351" t="str">
        <f t="shared" si="11"/>
        <v>建筑结构</v>
      </c>
      <c r="R34" s="705" t="s">
        <v>18</v>
      </c>
      <c r="S34" s="706">
        <f t="shared" si="12"/>
        <v>100</v>
      </c>
      <c r="T34" s="705" t="s">
        <v>18</v>
      </c>
      <c r="U34" s="706">
        <f t="shared" si="13"/>
        <v>100</v>
      </c>
      <c r="V34" s="705" t="s">
        <v>18</v>
      </c>
      <c r="W34" s="706">
        <f t="shared" si="14"/>
        <v>100</v>
      </c>
      <c r="X34" s="1354"/>
      <c r="Y34" s="368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45"/>
      <c r="Q35" s="1351" t="str">
        <f t="shared" si="11"/>
        <v>建筑品质</v>
      </c>
      <c r="R35" s="705" t="s">
        <v>18</v>
      </c>
      <c r="S35" s="706">
        <f t="shared" si="12"/>
        <v>100</v>
      </c>
      <c r="T35" s="705" t="s">
        <v>18</v>
      </c>
      <c r="U35" s="706">
        <f t="shared" si="13"/>
        <v>100</v>
      </c>
      <c r="V35" s="705" t="s">
        <v>18</v>
      </c>
      <c r="W35" s="706">
        <f t="shared" si="14"/>
        <v>100</v>
      </c>
      <c r="X35" s="1354"/>
      <c r="Y35" s="368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45"/>
      <c r="Q36" s="1351" t="str">
        <f t="shared" si="11"/>
        <v>公共部分装修</v>
      </c>
      <c r="R36" s="705" t="s">
        <v>18</v>
      </c>
      <c r="S36" s="706">
        <f t="shared" si="12"/>
        <v>100</v>
      </c>
      <c r="T36" s="705" t="s">
        <v>18</v>
      </c>
      <c r="U36" s="706">
        <f t="shared" si="13"/>
        <v>100</v>
      </c>
      <c r="V36" s="705" t="s">
        <v>18</v>
      </c>
      <c r="W36" s="706">
        <f t="shared" si="14"/>
        <v>100</v>
      </c>
      <c r="X36" s="1354"/>
      <c r="Y36" s="368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45"/>
      <c r="Q37" s="1342" t="str">
        <f t="shared" si="11"/>
        <v>成新度</v>
      </c>
      <c r="R37" s="701" t="s">
        <v>18</v>
      </c>
      <c r="S37" s="702" t="e">
        <f t="shared" si="12"/>
        <v>#N/A</v>
      </c>
      <c r="T37" s="701" t="s">
        <v>18</v>
      </c>
      <c r="U37" s="702" t="e">
        <f t="shared" si="13"/>
        <v>#N/A</v>
      </c>
      <c r="V37" s="701" t="s">
        <v>18</v>
      </c>
      <c r="W37" s="702" t="e">
        <f t="shared" si="14"/>
        <v>#N/A</v>
      </c>
      <c r="X37" s="703"/>
      <c r="Y37" s="3682"/>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45" t="s">
        <v>1696</v>
      </c>
      <c r="Q38" s="1351" t="str">
        <f t="shared" si="11"/>
        <v>物业管理</v>
      </c>
      <c r="R38" s="705" t="s">
        <v>18</v>
      </c>
      <c r="S38" s="706">
        <f t="shared" si="12"/>
        <v>100</v>
      </c>
      <c r="T38" s="705" t="s">
        <v>18</v>
      </c>
      <c r="U38" s="706">
        <f t="shared" si="13"/>
        <v>100</v>
      </c>
      <c r="V38" s="705" t="s">
        <v>18</v>
      </c>
      <c r="W38" s="706">
        <f t="shared" si="14"/>
        <v>100</v>
      </c>
      <c r="X38" s="1354"/>
      <c r="Y38" s="368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45"/>
      <c r="Q39" s="1351" t="str">
        <f t="shared" si="11"/>
        <v>市政基础设施</v>
      </c>
      <c r="R39" s="705" t="s">
        <v>18</v>
      </c>
      <c r="S39" s="706">
        <f t="shared" si="12"/>
        <v>100</v>
      </c>
      <c r="T39" s="705" t="s">
        <v>18</v>
      </c>
      <c r="U39" s="706">
        <f t="shared" si="13"/>
        <v>100</v>
      </c>
      <c r="V39" s="705" t="s">
        <v>18</v>
      </c>
      <c r="W39" s="706">
        <f t="shared" si="14"/>
        <v>100</v>
      </c>
      <c r="X39" s="1354"/>
      <c r="Y39" s="368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45"/>
      <c r="Q40" s="1351" t="str">
        <f t="shared" si="11"/>
        <v>房型</v>
      </c>
      <c r="R40" s="705" t="s">
        <v>18</v>
      </c>
      <c r="S40" s="706">
        <f t="shared" si="12"/>
        <v>100</v>
      </c>
      <c r="T40" s="705" t="s">
        <v>18</v>
      </c>
      <c r="U40" s="706">
        <f t="shared" si="13"/>
        <v>100</v>
      </c>
      <c r="V40" s="705" t="s">
        <v>18</v>
      </c>
      <c r="W40" s="706">
        <f t="shared" si="14"/>
        <v>100</v>
      </c>
      <c r="X40" s="1354"/>
      <c r="Y40" s="368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45"/>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45"/>
      <c r="Q42" s="1351" t="str">
        <f t="shared" si="11"/>
        <v>内部装修</v>
      </c>
      <c r="R42" s="705" t="s">
        <v>18</v>
      </c>
      <c r="S42" s="706">
        <f t="shared" si="12"/>
        <v>100</v>
      </c>
      <c r="T42" s="705" t="s">
        <v>18</v>
      </c>
      <c r="U42" s="706">
        <f t="shared" si="13"/>
        <v>100</v>
      </c>
      <c r="V42" s="705" t="s">
        <v>18</v>
      </c>
      <c r="W42" s="706">
        <f t="shared" si="14"/>
        <v>100</v>
      </c>
      <c r="X42" s="1354"/>
      <c r="Y42" s="368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45"/>
      <c r="Q43" s="1351" t="str">
        <f t="shared" si="11"/>
        <v>内部装修维护情况</v>
      </c>
      <c r="R43" s="705" t="s">
        <v>18</v>
      </c>
      <c r="S43" s="706">
        <f t="shared" si="12"/>
        <v>100</v>
      </c>
      <c r="T43" s="705" t="s">
        <v>18</v>
      </c>
      <c r="U43" s="706">
        <f t="shared" si="13"/>
        <v>100</v>
      </c>
      <c r="V43" s="705" t="s">
        <v>18</v>
      </c>
      <c r="W43" s="706">
        <f t="shared" si="14"/>
        <v>100</v>
      </c>
      <c r="X43" s="1354"/>
      <c r="Y43" s="368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45"/>
      <c r="Q44" s="1342">
        <f t="shared" si="11"/>
        <v>111</v>
      </c>
      <c r="R44" s="701" t="s">
        <v>18</v>
      </c>
      <c r="S44" s="702">
        <f t="shared" si="12"/>
        <v>100</v>
      </c>
      <c r="T44" s="701" t="s">
        <v>18</v>
      </c>
      <c r="U44" s="702">
        <f t="shared" si="13"/>
        <v>100</v>
      </c>
      <c r="V44" s="701" t="s">
        <v>18</v>
      </c>
      <c r="W44" s="702">
        <f t="shared" si="14"/>
        <v>100</v>
      </c>
      <c r="X44" s="703"/>
      <c r="Y44" s="368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45"/>
      <c r="Q45" s="1351">
        <f t="shared" si="11"/>
        <v>111</v>
      </c>
      <c r="R45" s="705" t="s">
        <v>18</v>
      </c>
      <c r="S45" s="706">
        <f t="shared" si="12"/>
        <v>100</v>
      </c>
      <c r="T45" s="705" t="s">
        <v>18</v>
      </c>
      <c r="U45" s="706">
        <f t="shared" si="13"/>
        <v>100</v>
      </c>
      <c r="V45" s="705" t="s">
        <v>18</v>
      </c>
      <c r="W45" s="706">
        <f t="shared" si="14"/>
        <v>100</v>
      </c>
      <c r="X45" s="1354"/>
      <c r="Y45" s="368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46"/>
      <c r="Q46" s="1351">
        <f t="shared" si="11"/>
        <v>111</v>
      </c>
      <c r="R46" s="705" t="s">
        <v>17</v>
      </c>
      <c r="S46" s="706">
        <f t="shared" si="12"/>
        <v>100</v>
      </c>
      <c r="T46" s="705" t="s">
        <v>17</v>
      </c>
      <c r="U46" s="706">
        <f t="shared" si="13"/>
        <v>100</v>
      </c>
      <c r="V46" s="705" t="s">
        <v>17</v>
      </c>
      <c r="W46" s="706">
        <f t="shared" si="14"/>
        <v>100</v>
      </c>
      <c r="X46" s="1354"/>
      <c r="Y46" s="3747"/>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678" t="str">
        <f>A47</f>
        <v>成交单价（元/平方米）</v>
      </c>
      <c r="Q47" s="3678"/>
      <c r="R47" s="3743">
        <f>E47</f>
        <v>0</v>
      </c>
      <c r="S47" s="3743"/>
      <c r="T47" s="3743">
        <f>G47</f>
        <v>0</v>
      </c>
      <c r="U47" s="3743"/>
      <c r="V47" s="3743">
        <f>I47</f>
        <v>0</v>
      </c>
      <c r="W47" s="3743"/>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78" t="str">
        <f>A48</f>
        <v>比较价值（元/平方米）</v>
      </c>
      <c r="Q48" s="3678"/>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672" t="str">
        <f>A49</f>
        <v>估价对象XX用房的比较价值（楼面单价，元/平方米）</v>
      </c>
      <c r="Q49" s="3673"/>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2024-8</v>
      </c>
      <c r="D58" s="1184">
        <f>EDATE(C58,-1)</f>
        <v>45474</v>
      </c>
      <c r="E58" s="1184">
        <f>EDATE(D58,-1)</f>
        <v>45444</v>
      </c>
      <c r="F58" s="1184">
        <f t="shared" ref="F58:O58" si="19">EDATE(E58,-1)</f>
        <v>45413</v>
      </c>
      <c r="G58" s="1184">
        <f t="shared" si="19"/>
        <v>45383</v>
      </c>
      <c r="H58" s="1184">
        <f t="shared" si="19"/>
        <v>45352</v>
      </c>
      <c r="I58" s="1184">
        <f t="shared" si="19"/>
        <v>45323</v>
      </c>
      <c r="J58" s="1184">
        <f t="shared" si="19"/>
        <v>45292</v>
      </c>
      <c r="K58" s="1184">
        <f t="shared" si="19"/>
        <v>45261</v>
      </c>
      <c r="L58" s="1184">
        <f t="shared" si="19"/>
        <v>45231</v>
      </c>
      <c r="M58" s="1184">
        <f t="shared" si="19"/>
        <v>45200</v>
      </c>
      <c r="N58" s="1184">
        <f t="shared" si="19"/>
        <v>45170</v>
      </c>
      <c r="O58" s="1184">
        <f t="shared" si="19"/>
        <v>45139</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估价对象为北京市房地产，为所有。根据《国有土地使用证》[]，估价对象（分摊）出让国有建设用地使用权面积为3862.4平方米，建筑面积为17457.32平方米。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估价对象为北京市房地产,属开发建设的，该项目尚在开发建设中。根据《国有土地使用证》[]，估价对象（分摊）出让国有建设用地使用权面积为3862.4平方米，规划建筑面积为17457.32平方米。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17457.32</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5" t="s">
        <v>1770</v>
      </c>
      <c r="D4" s="3687"/>
      <c r="E4" s="3688" t="s">
        <v>1771</v>
      </c>
      <c r="F4" s="3689"/>
      <c r="G4" s="3675" t="s">
        <v>1772</v>
      </c>
      <c r="H4" s="3687"/>
      <c r="I4" s="3675" t="s">
        <v>1773</v>
      </c>
      <c r="J4" s="3687"/>
      <c r="K4" s="559" t="s">
        <v>1774</v>
      </c>
      <c r="L4" s="2714"/>
      <c r="M4" s="2715"/>
      <c r="N4" s="2715"/>
      <c r="O4" s="2715"/>
      <c r="P4" s="3690" t="s">
        <v>1775</v>
      </c>
      <c r="Q4" s="3691"/>
      <c r="R4" s="3696" t="s">
        <v>1771</v>
      </c>
      <c r="S4" s="3697"/>
      <c r="T4" s="3696" t="s">
        <v>1772</v>
      </c>
      <c r="U4" s="3697"/>
      <c r="V4" s="3683" t="s">
        <v>1773</v>
      </c>
      <c r="W4" s="3683"/>
      <c r="X4" s="1354"/>
      <c r="Y4" s="3696" t="s">
        <v>1775</v>
      </c>
      <c r="Z4" s="3697"/>
      <c r="AA4" s="3684" t="s">
        <v>1771</v>
      </c>
      <c r="AB4" s="3683" t="s">
        <v>1772</v>
      </c>
      <c r="AC4" s="3684"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3"/>
      <c r="W5" s="3683"/>
      <c r="X5" s="1354"/>
      <c r="Y5" s="3698"/>
      <c r="Z5" s="3699"/>
      <c r="AA5" s="3685"/>
      <c r="AB5" s="3683"/>
      <c r="AC5" s="3685"/>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3"/>
      <c r="W6" s="3683"/>
      <c r="X6" s="1354"/>
      <c r="Y6" s="3700"/>
      <c r="Z6" s="3701"/>
      <c r="AA6" s="3686"/>
      <c r="AB6" s="3683"/>
      <c r="AC6" s="3686"/>
    </row>
    <row r="7" spans="1:29" s="108" customFormat="1" ht="15.75" thickBot="1">
      <c r="A7" s="362" t="s">
        <v>1679</v>
      </c>
      <c r="B7" s="363"/>
      <c r="C7" s="364">
        <f>'数据-取费表'!B2</f>
        <v>45526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7"/>
      <c r="Q11" s="1342"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48" t="s">
        <v>1691</v>
      </c>
      <c r="Q15" s="1351" t="str">
        <f t="shared" si="6"/>
        <v>商业繁华度</v>
      </c>
      <c r="R15" s="705" t="s">
        <v>14</v>
      </c>
      <c r="S15" s="706">
        <f t="shared" si="0"/>
        <v>100</v>
      </c>
      <c r="T15" s="705" t="s">
        <v>14</v>
      </c>
      <c r="U15" s="706">
        <f t="shared" si="1"/>
        <v>100</v>
      </c>
      <c r="V15" s="705" t="s">
        <v>14</v>
      </c>
      <c r="W15" s="706">
        <f t="shared" si="2"/>
        <v>100</v>
      </c>
      <c r="X15" s="1354"/>
      <c r="Y15" s="367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49"/>
      <c r="Q16" s="1351"/>
      <c r="R16" s="705"/>
      <c r="S16" s="706"/>
      <c r="T16" s="705"/>
      <c r="U16" s="706"/>
      <c r="V16" s="705"/>
      <c r="W16" s="706"/>
      <c r="X16" s="1354"/>
      <c r="Y16" s="368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49"/>
      <c r="Q17" s="1351" t="str">
        <f>B17</f>
        <v>交通便捷度</v>
      </c>
      <c r="R17" s="705" t="s">
        <v>14</v>
      </c>
      <c r="S17" s="706">
        <f>F17</f>
        <v>100</v>
      </c>
      <c r="T17" s="705" t="s">
        <v>14</v>
      </c>
      <c r="U17" s="706">
        <f>H17</f>
        <v>100</v>
      </c>
      <c r="V17" s="705" t="s">
        <v>14</v>
      </c>
      <c r="W17" s="706">
        <f>J17</f>
        <v>100</v>
      </c>
      <c r="X17" s="1354"/>
      <c r="Y17" s="368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49"/>
      <c r="Q18" s="1351"/>
      <c r="R18" s="705"/>
      <c r="S18" s="706"/>
      <c r="T18" s="705"/>
      <c r="U18" s="706"/>
      <c r="V18" s="705"/>
      <c r="W18" s="706"/>
      <c r="X18" s="1354"/>
      <c r="Y18" s="368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49"/>
      <c r="Q19" s="1351" t="str">
        <f>B19</f>
        <v>公共配套设施</v>
      </c>
      <c r="R19" s="705" t="s">
        <v>14</v>
      </c>
      <c r="S19" s="706">
        <f>F19</f>
        <v>100</v>
      </c>
      <c r="T19" s="705" t="s">
        <v>14</v>
      </c>
      <c r="U19" s="706">
        <f>H19</f>
        <v>100</v>
      </c>
      <c r="V19" s="705" t="s">
        <v>14</v>
      </c>
      <c r="W19" s="706">
        <f>J19</f>
        <v>100</v>
      </c>
      <c r="X19" s="1354"/>
      <c r="Y19" s="368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49"/>
      <c r="Q20" s="1351"/>
      <c r="R20" s="705"/>
      <c r="S20" s="706"/>
      <c r="T20" s="705"/>
      <c r="U20" s="706"/>
      <c r="V20" s="705"/>
      <c r="W20" s="706"/>
      <c r="X20" s="1354"/>
      <c r="Y20" s="3680"/>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49"/>
      <c r="Q21" s="1351" t="str">
        <f>B21</f>
        <v>基础设施水平</v>
      </c>
      <c r="R21" s="705" t="s">
        <v>14</v>
      </c>
      <c r="S21" s="706">
        <f>F21</f>
        <v>100</v>
      </c>
      <c r="T21" s="705" t="s">
        <v>14</v>
      </c>
      <c r="U21" s="706">
        <f>H21</f>
        <v>100</v>
      </c>
      <c r="V21" s="705" t="s">
        <v>14</v>
      </c>
      <c r="W21" s="706">
        <f>J21</f>
        <v>100</v>
      </c>
      <c r="X21" s="1354"/>
      <c r="Y21" s="368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49"/>
      <c r="Q22" s="1351"/>
      <c r="R22" s="705"/>
      <c r="S22" s="706"/>
      <c r="T22" s="705"/>
      <c r="U22" s="706"/>
      <c r="V22" s="705"/>
      <c r="W22" s="706"/>
      <c r="X22" s="1354"/>
      <c r="Y22" s="368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49"/>
      <c r="Q23" s="1351" t="str">
        <f>B23</f>
        <v>自然及人文环境</v>
      </c>
      <c r="R23" s="705" t="s">
        <v>14</v>
      </c>
      <c r="S23" s="706">
        <f>F23</f>
        <v>100</v>
      </c>
      <c r="T23" s="705" t="s">
        <v>14</v>
      </c>
      <c r="U23" s="706">
        <f>H23</f>
        <v>100</v>
      </c>
      <c r="V23" s="705" t="s">
        <v>14</v>
      </c>
      <c r="W23" s="706">
        <f>J23</f>
        <v>100</v>
      </c>
      <c r="X23" s="1354"/>
      <c r="Y23" s="368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49"/>
      <c r="Q24" s="1351"/>
      <c r="R24" s="705"/>
      <c r="S24" s="706"/>
      <c r="T24" s="705"/>
      <c r="U24" s="706"/>
      <c r="V24" s="705"/>
      <c r="W24" s="706"/>
      <c r="X24" s="1354"/>
      <c r="Y24" s="368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49"/>
      <c r="Q25" s="1351" t="str">
        <f t="shared" ref="Q25:Q46" si="11">B25</f>
        <v>临街状况</v>
      </c>
      <c r="R25" s="705" t="s">
        <v>14</v>
      </c>
      <c r="S25" s="706">
        <f>F25</f>
        <v>100</v>
      </c>
      <c r="T25" s="705" t="s">
        <v>14</v>
      </c>
      <c r="U25" s="706">
        <f>H25</f>
        <v>100</v>
      </c>
      <c r="V25" s="705" t="s">
        <v>14</v>
      </c>
      <c r="W25" s="706">
        <f>J25</f>
        <v>100</v>
      </c>
      <c r="X25" s="1354"/>
      <c r="Y25" s="368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49"/>
      <c r="Q26" s="1351" t="str">
        <f t="shared" si="11"/>
        <v>平面位置/可视性</v>
      </c>
      <c r="R26" s="705" t="s">
        <v>14</v>
      </c>
      <c r="S26" s="706">
        <f>F26</f>
        <v>100</v>
      </c>
      <c r="T26" s="705" t="s">
        <v>14</v>
      </c>
      <c r="U26" s="706">
        <f>H26</f>
        <v>100</v>
      </c>
      <c r="V26" s="705" t="s">
        <v>14</v>
      </c>
      <c r="W26" s="706">
        <f>J26</f>
        <v>100</v>
      </c>
      <c r="X26" s="1354"/>
      <c r="Y26" s="3680"/>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49"/>
      <c r="Q27" s="1342" t="str">
        <f t="shared" si="11"/>
        <v>人流量</v>
      </c>
      <c r="R27" s="701" t="s">
        <v>14</v>
      </c>
      <c r="S27" s="702">
        <f>F27</f>
        <v>100</v>
      </c>
      <c r="T27" s="701" t="s">
        <v>14</v>
      </c>
      <c r="U27" s="702">
        <f>H27</f>
        <v>100</v>
      </c>
      <c r="V27" s="701" t="s">
        <v>14</v>
      </c>
      <c r="W27" s="702">
        <f>J27</f>
        <v>100</v>
      </c>
      <c r="X27" s="703"/>
      <c r="Y27" s="368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4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49"/>
      <c r="Q29" s="1351">
        <f t="shared" si="11"/>
        <v>111</v>
      </c>
      <c r="R29" s="705" t="s">
        <v>14</v>
      </c>
      <c r="S29" s="706">
        <f t="shared" si="12"/>
        <v>100</v>
      </c>
      <c r="T29" s="705" t="s">
        <v>14</v>
      </c>
      <c r="U29" s="706">
        <f t="shared" si="13"/>
        <v>100</v>
      </c>
      <c r="V29" s="705" t="s">
        <v>14</v>
      </c>
      <c r="W29" s="706">
        <f t="shared" si="14"/>
        <v>100</v>
      </c>
      <c r="X29" s="1354"/>
      <c r="Y29" s="368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49"/>
      <c r="Q30" s="1351">
        <f t="shared" si="11"/>
        <v>111</v>
      </c>
      <c r="R30" s="705" t="s">
        <v>14</v>
      </c>
      <c r="S30" s="706">
        <f t="shared" si="12"/>
        <v>100</v>
      </c>
      <c r="T30" s="705" t="s">
        <v>14</v>
      </c>
      <c r="U30" s="706">
        <f t="shared" si="13"/>
        <v>100</v>
      </c>
      <c r="V30" s="705" t="s">
        <v>14</v>
      </c>
      <c r="W30" s="706">
        <f t="shared" si="14"/>
        <v>100</v>
      </c>
      <c r="X30" s="1354"/>
      <c r="Y30" s="368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49"/>
      <c r="Q31" s="1351">
        <f t="shared" si="11"/>
        <v>111</v>
      </c>
      <c r="R31" s="705" t="s">
        <v>14</v>
      </c>
      <c r="S31" s="706">
        <f t="shared" si="12"/>
        <v>100</v>
      </c>
      <c r="T31" s="705" t="s">
        <v>14</v>
      </c>
      <c r="U31" s="706">
        <f t="shared" si="13"/>
        <v>100</v>
      </c>
      <c r="V31" s="705" t="s">
        <v>14</v>
      </c>
      <c r="W31" s="706">
        <f t="shared" si="14"/>
        <v>100</v>
      </c>
      <c r="X31" s="1354"/>
      <c r="Y31" s="368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44" t="s">
        <v>1696</v>
      </c>
      <c r="Q32" s="1351" t="str">
        <f t="shared" si="11"/>
        <v>商业类型</v>
      </c>
      <c r="R32" s="705" t="s">
        <v>14</v>
      </c>
      <c r="S32" s="706">
        <f t="shared" si="12"/>
        <v>100</v>
      </c>
      <c r="T32" s="705" t="s">
        <v>14</v>
      </c>
      <c r="U32" s="706">
        <f t="shared" si="13"/>
        <v>100</v>
      </c>
      <c r="V32" s="705" t="s">
        <v>14</v>
      </c>
      <c r="W32" s="706">
        <f t="shared" si="14"/>
        <v>100</v>
      </c>
      <c r="X32" s="1354"/>
      <c r="Y32" s="368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45"/>
      <c r="Q33" s="707" t="str">
        <f t="shared" si="11"/>
        <v>项目建筑规模</v>
      </c>
      <c r="R33" s="708" t="s">
        <v>14</v>
      </c>
      <c r="S33" s="709" t="e">
        <f t="shared" si="12"/>
        <v>#N/A</v>
      </c>
      <c r="T33" s="708" t="s">
        <v>14</v>
      </c>
      <c r="U33" s="709" t="e">
        <f t="shared" si="13"/>
        <v>#N/A</v>
      </c>
      <c r="V33" s="708" t="s">
        <v>14</v>
      </c>
      <c r="W33" s="709" t="e">
        <f t="shared" si="14"/>
        <v>#N/A</v>
      </c>
      <c r="X33" s="710"/>
      <c r="Y33" s="3682"/>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45"/>
      <c r="Q34" s="1351" t="str">
        <f t="shared" si="11"/>
        <v>建筑结构</v>
      </c>
      <c r="R34" s="705" t="s">
        <v>14</v>
      </c>
      <c r="S34" s="706">
        <f t="shared" si="12"/>
        <v>100</v>
      </c>
      <c r="T34" s="705" t="s">
        <v>14</v>
      </c>
      <c r="U34" s="706">
        <f t="shared" si="13"/>
        <v>100</v>
      </c>
      <c r="V34" s="705" t="s">
        <v>14</v>
      </c>
      <c r="W34" s="706">
        <f t="shared" si="14"/>
        <v>100</v>
      </c>
      <c r="X34" s="1354"/>
      <c r="Y34" s="368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45"/>
      <c r="Q35" s="1351" t="str">
        <f t="shared" si="11"/>
        <v>公共部分装修</v>
      </c>
      <c r="R35" s="705" t="s">
        <v>14</v>
      </c>
      <c r="S35" s="706">
        <f t="shared" si="12"/>
        <v>100</v>
      </c>
      <c r="T35" s="705" t="s">
        <v>14</v>
      </c>
      <c r="U35" s="706">
        <f t="shared" si="13"/>
        <v>100</v>
      </c>
      <c r="V35" s="705" t="s">
        <v>14</v>
      </c>
      <c r="W35" s="706">
        <f t="shared" si="14"/>
        <v>100</v>
      </c>
      <c r="X35" s="1354"/>
      <c r="Y35" s="368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45"/>
      <c r="Q36" s="1351" t="str">
        <f t="shared" si="11"/>
        <v>成新度</v>
      </c>
      <c r="R36" s="705" t="s">
        <v>14</v>
      </c>
      <c r="S36" s="706" t="e">
        <f t="shared" si="12"/>
        <v>#N/A</v>
      </c>
      <c r="T36" s="705" t="s">
        <v>14</v>
      </c>
      <c r="U36" s="706" t="e">
        <f t="shared" si="13"/>
        <v>#N/A</v>
      </c>
      <c r="V36" s="705" t="s">
        <v>14</v>
      </c>
      <c r="W36" s="706" t="e">
        <f t="shared" si="14"/>
        <v>#N/A</v>
      </c>
      <c r="X36" s="1354"/>
      <c r="Y36" s="368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45"/>
      <c r="Q37" s="1342"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45" t="s">
        <v>1696</v>
      </c>
      <c r="Q38" s="1351" t="str">
        <f t="shared" si="11"/>
        <v>业态</v>
      </c>
      <c r="R38" s="705" t="s">
        <v>14</v>
      </c>
      <c r="S38" s="706">
        <f t="shared" si="12"/>
        <v>100</v>
      </c>
      <c r="T38" s="705" t="s">
        <v>14</v>
      </c>
      <c r="U38" s="706">
        <f t="shared" si="13"/>
        <v>100</v>
      </c>
      <c r="V38" s="705" t="s">
        <v>14</v>
      </c>
      <c r="W38" s="706">
        <f t="shared" si="14"/>
        <v>100</v>
      </c>
      <c r="X38" s="1354"/>
      <c r="Y38" s="368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45"/>
      <c r="Q39" s="1351" t="str">
        <f t="shared" si="11"/>
        <v>层高</v>
      </c>
      <c r="R39" s="705" t="s">
        <v>14</v>
      </c>
      <c r="S39" s="706">
        <f t="shared" si="12"/>
        <v>100</v>
      </c>
      <c r="T39" s="705" t="s">
        <v>14</v>
      </c>
      <c r="U39" s="706">
        <f t="shared" si="13"/>
        <v>100</v>
      </c>
      <c r="V39" s="705" t="s">
        <v>14</v>
      </c>
      <c r="W39" s="706">
        <f t="shared" si="14"/>
        <v>100</v>
      </c>
      <c r="X39" s="1354"/>
      <c r="Y39" s="368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45"/>
      <c r="Q40" s="1351" t="str">
        <f t="shared" si="11"/>
        <v>单套建筑面积</v>
      </c>
      <c r="R40" s="705" t="s">
        <v>14</v>
      </c>
      <c r="S40" s="706">
        <f t="shared" si="12"/>
        <v>100</v>
      </c>
      <c r="T40" s="705" t="s">
        <v>14</v>
      </c>
      <c r="U40" s="706">
        <f t="shared" si="13"/>
        <v>100</v>
      </c>
      <c r="V40" s="705" t="s">
        <v>14</v>
      </c>
      <c r="W40" s="706">
        <f t="shared" si="14"/>
        <v>100</v>
      </c>
      <c r="X40" s="1354"/>
      <c r="Y40" s="368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45"/>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45"/>
      <c r="Q42" s="1351" t="str">
        <f t="shared" si="11"/>
        <v>内部装修</v>
      </c>
      <c r="R42" s="705" t="s">
        <v>14</v>
      </c>
      <c r="S42" s="706">
        <f t="shared" si="12"/>
        <v>100</v>
      </c>
      <c r="T42" s="705" t="s">
        <v>14</v>
      </c>
      <c r="U42" s="706">
        <f t="shared" si="13"/>
        <v>100</v>
      </c>
      <c r="V42" s="705" t="s">
        <v>14</v>
      </c>
      <c r="W42" s="706">
        <f t="shared" si="14"/>
        <v>100</v>
      </c>
      <c r="X42" s="1354"/>
      <c r="Y42" s="368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45"/>
      <c r="Q43" s="1351" t="str">
        <f t="shared" si="11"/>
        <v>内部装修维护情况</v>
      </c>
      <c r="R43" s="705" t="s">
        <v>14</v>
      </c>
      <c r="S43" s="706">
        <f t="shared" si="12"/>
        <v>100</v>
      </c>
      <c r="T43" s="705" t="s">
        <v>14</v>
      </c>
      <c r="U43" s="706">
        <f t="shared" si="13"/>
        <v>100</v>
      </c>
      <c r="V43" s="705" t="s">
        <v>14</v>
      </c>
      <c r="W43" s="706">
        <f t="shared" si="14"/>
        <v>100</v>
      </c>
      <c r="X43" s="1354"/>
      <c r="Y43" s="368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45"/>
      <c r="Q44" s="1342">
        <f t="shared" si="11"/>
        <v>111</v>
      </c>
      <c r="R44" s="701" t="s">
        <v>14</v>
      </c>
      <c r="S44" s="702">
        <f t="shared" si="12"/>
        <v>100</v>
      </c>
      <c r="T44" s="701" t="s">
        <v>14</v>
      </c>
      <c r="U44" s="702">
        <f t="shared" si="13"/>
        <v>100</v>
      </c>
      <c r="V44" s="701" t="s">
        <v>14</v>
      </c>
      <c r="W44" s="702">
        <f t="shared" si="14"/>
        <v>100</v>
      </c>
      <c r="X44" s="703"/>
      <c r="Y44" s="368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45"/>
      <c r="Q45" s="1351">
        <f t="shared" si="11"/>
        <v>111</v>
      </c>
      <c r="R45" s="705" t="s">
        <v>14</v>
      </c>
      <c r="S45" s="706">
        <f t="shared" si="12"/>
        <v>100</v>
      </c>
      <c r="T45" s="705" t="s">
        <v>14</v>
      </c>
      <c r="U45" s="706">
        <f t="shared" si="13"/>
        <v>100</v>
      </c>
      <c r="V45" s="705" t="s">
        <v>14</v>
      </c>
      <c r="W45" s="706">
        <f t="shared" si="14"/>
        <v>100</v>
      </c>
      <c r="X45" s="1354"/>
      <c r="Y45" s="368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46"/>
      <c r="Q46" s="1351">
        <f t="shared" si="11"/>
        <v>111</v>
      </c>
      <c r="R46" s="705" t="s">
        <v>14</v>
      </c>
      <c r="S46" s="706">
        <f t="shared" si="12"/>
        <v>100</v>
      </c>
      <c r="T46" s="705" t="s">
        <v>14</v>
      </c>
      <c r="U46" s="706">
        <f t="shared" si="13"/>
        <v>100</v>
      </c>
      <c r="V46" s="705" t="s">
        <v>14</v>
      </c>
      <c r="W46" s="706">
        <f t="shared" si="14"/>
        <v>100</v>
      </c>
      <c r="X46" s="1354"/>
      <c r="Y46" s="3747"/>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678" t="str">
        <f>A47</f>
        <v>成交单价（元/平方米）</v>
      </c>
      <c r="Q47" s="3678"/>
      <c r="R47" s="3683">
        <f>E47</f>
        <v>0</v>
      </c>
      <c r="S47" s="3683"/>
      <c r="T47" s="3683">
        <f>G47</f>
        <v>0</v>
      </c>
      <c r="U47" s="3683"/>
      <c r="V47" s="3683">
        <f>I47</f>
        <v>0</v>
      </c>
      <c r="W47" s="3683"/>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78" t="str">
        <f>A48</f>
        <v>比较价值（元/平方米）</v>
      </c>
      <c r="Q48" s="3678"/>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2" t="str">
        <f>A49</f>
        <v>估价对象XX用房的比较价值（楼面单价，元/平方米）</v>
      </c>
      <c r="Q49" s="3673"/>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2024-8</v>
      </c>
      <c r="D58" s="1184">
        <f>EDATE(C58,-1)</f>
        <v>45474</v>
      </c>
      <c r="E58" s="1184">
        <f t="shared" ref="E58:N58" si="16">EDATE(D58,-1)</f>
        <v>45444</v>
      </c>
      <c r="F58" s="1184">
        <f t="shared" si="16"/>
        <v>45413</v>
      </c>
      <c r="G58" s="1184">
        <f t="shared" si="16"/>
        <v>45383</v>
      </c>
      <c r="H58" s="1184">
        <f t="shared" si="16"/>
        <v>45352</v>
      </c>
      <c r="I58" s="1184">
        <f t="shared" si="16"/>
        <v>45323</v>
      </c>
      <c r="J58" s="1184">
        <f t="shared" si="16"/>
        <v>45292</v>
      </c>
      <c r="K58" s="1184">
        <f t="shared" si="16"/>
        <v>45261</v>
      </c>
      <c r="L58" s="1184">
        <f t="shared" si="16"/>
        <v>45231</v>
      </c>
      <c r="M58" s="1184">
        <f t="shared" si="16"/>
        <v>45200</v>
      </c>
      <c r="N58" s="1184">
        <f t="shared" si="16"/>
        <v>45170</v>
      </c>
      <c r="O58" s="1184">
        <f>EDATE(N58,-1)</f>
        <v>45139</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17457.32</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5" t="s">
        <v>1770</v>
      </c>
      <c r="D4" s="3687"/>
      <c r="E4" s="3688" t="s">
        <v>1771</v>
      </c>
      <c r="F4" s="3689"/>
      <c r="G4" s="3675" t="s">
        <v>1772</v>
      </c>
      <c r="H4" s="3687"/>
      <c r="I4" s="3675" t="s">
        <v>1773</v>
      </c>
      <c r="J4" s="3687"/>
      <c r="K4" s="559" t="s">
        <v>1774</v>
      </c>
      <c r="L4" s="2714"/>
      <c r="M4" s="2715"/>
      <c r="N4" s="2715"/>
      <c r="O4" s="2715"/>
      <c r="P4" s="3756" t="s">
        <v>1775</v>
      </c>
      <c r="Q4" s="3757"/>
      <c r="R4" s="3760" t="s">
        <v>1771</v>
      </c>
      <c r="S4" s="3761"/>
      <c r="T4" s="3760" t="s">
        <v>1772</v>
      </c>
      <c r="U4" s="3761"/>
      <c r="V4" s="3762" t="s">
        <v>1773</v>
      </c>
      <c r="W4" s="3762"/>
      <c r="X4" s="1957"/>
      <c r="Y4" s="3760" t="s">
        <v>1775</v>
      </c>
      <c r="Z4" s="3761"/>
      <c r="AA4" s="3764" t="s">
        <v>1771</v>
      </c>
      <c r="AB4" s="3764" t="s">
        <v>1772</v>
      </c>
      <c r="AC4" s="3753" t="s">
        <v>1773</v>
      </c>
    </row>
    <row r="5" spans="1:29" ht="15">
      <c r="A5" s="358"/>
      <c r="B5" s="359"/>
      <c r="C5" s="3704" t="s">
        <v>1673</v>
      </c>
      <c r="D5" s="3705"/>
      <c r="E5" s="3711" t="s">
        <v>1674</v>
      </c>
      <c r="F5" s="3712"/>
      <c r="G5" s="3704" t="s">
        <v>1675</v>
      </c>
      <c r="H5" s="3705"/>
      <c r="I5" s="3704" t="s">
        <v>1676</v>
      </c>
      <c r="J5" s="3705"/>
      <c r="K5" s="559"/>
      <c r="L5" s="2714"/>
      <c r="M5" s="2715"/>
      <c r="N5" s="2715"/>
      <c r="O5" s="2715"/>
      <c r="P5" s="3758"/>
      <c r="Q5" s="3693"/>
      <c r="R5" s="3698"/>
      <c r="S5" s="3699"/>
      <c r="T5" s="3698"/>
      <c r="U5" s="3699"/>
      <c r="V5" s="3683"/>
      <c r="W5" s="3683"/>
      <c r="X5" s="1354"/>
      <c r="Y5" s="3698"/>
      <c r="Z5" s="3699"/>
      <c r="AA5" s="3685"/>
      <c r="AB5" s="3685"/>
      <c r="AC5" s="3754"/>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759"/>
      <c r="Q6" s="3695"/>
      <c r="R6" s="3698"/>
      <c r="S6" s="3699"/>
      <c r="T6" s="3700"/>
      <c r="U6" s="3701"/>
      <c r="V6" s="3683"/>
      <c r="W6" s="3683"/>
      <c r="X6" s="1354"/>
      <c r="Y6" s="3700"/>
      <c r="Z6" s="3701"/>
      <c r="AA6" s="3686"/>
      <c r="AB6" s="3686"/>
      <c r="AC6" s="3755"/>
    </row>
    <row r="7" spans="1:29" s="108" customFormat="1" ht="15.75" thickBot="1">
      <c r="A7" s="362" t="s">
        <v>1679</v>
      </c>
      <c r="B7" s="363"/>
      <c r="C7" s="364">
        <f>'数据-取费表'!B2</f>
        <v>45526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3"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3" t="s">
        <v>1683</v>
      </c>
      <c r="Q8" s="3707"/>
      <c r="R8" s="701" t="s">
        <v>14</v>
      </c>
      <c r="S8" s="702">
        <f t="shared" si="0"/>
        <v>100</v>
      </c>
      <c r="T8" s="701" t="s">
        <v>14</v>
      </c>
      <c r="U8" s="702">
        <f t="shared" si="1"/>
        <v>100</v>
      </c>
      <c r="V8" s="701" t="s">
        <v>14</v>
      </c>
      <c r="W8" s="702">
        <f t="shared" si="2"/>
        <v>100</v>
      </c>
      <c r="X8" s="703"/>
      <c r="Y8" s="3706" t="s">
        <v>1683</v>
      </c>
      <c r="Z8" s="3707"/>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7" t="s">
        <v>1686</v>
      </c>
      <c r="Q9" s="1342"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7"/>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7"/>
      <c r="Q11" s="1342"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7"/>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7"/>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7"/>
      <c r="Q14" s="1342">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48" t="s">
        <v>1691</v>
      </c>
      <c r="Q15" s="1351" t="str">
        <f t="shared" si="6"/>
        <v>办公集聚程度</v>
      </c>
      <c r="R15" s="705" t="s">
        <v>14</v>
      </c>
      <c r="S15" s="706">
        <f t="shared" si="0"/>
        <v>100</v>
      </c>
      <c r="T15" s="705" t="s">
        <v>14</v>
      </c>
      <c r="U15" s="706">
        <f t="shared" si="1"/>
        <v>100</v>
      </c>
      <c r="V15" s="705" t="s">
        <v>14</v>
      </c>
      <c r="W15" s="706">
        <f t="shared" si="2"/>
        <v>100</v>
      </c>
      <c r="X15" s="1354"/>
      <c r="Y15" s="3679"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49"/>
      <c r="Q16" s="1351"/>
      <c r="R16" s="705"/>
      <c r="S16" s="706"/>
      <c r="T16" s="705"/>
      <c r="U16" s="706"/>
      <c r="V16" s="705"/>
      <c r="W16" s="706"/>
      <c r="X16" s="1354"/>
      <c r="Y16" s="3680"/>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49"/>
      <c r="Q17" s="1351" t="str">
        <f>B17</f>
        <v>交通便捷度</v>
      </c>
      <c r="R17" s="705" t="s">
        <v>14</v>
      </c>
      <c r="S17" s="706">
        <f>F17</f>
        <v>100</v>
      </c>
      <c r="T17" s="705" t="s">
        <v>14</v>
      </c>
      <c r="U17" s="706">
        <f>H17</f>
        <v>100</v>
      </c>
      <c r="V17" s="705" t="s">
        <v>14</v>
      </c>
      <c r="W17" s="706">
        <f>J17</f>
        <v>100</v>
      </c>
      <c r="X17" s="1354"/>
      <c r="Y17" s="3680"/>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49"/>
      <c r="Q18" s="1351"/>
      <c r="R18" s="705"/>
      <c r="S18" s="706"/>
      <c r="T18" s="705"/>
      <c r="U18" s="706"/>
      <c r="V18" s="705"/>
      <c r="W18" s="706"/>
      <c r="X18" s="1354"/>
      <c r="Y18" s="3680"/>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49"/>
      <c r="Q19" s="1351" t="str">
        <f>B19</f>
        <v>公共配套设施</v>
      </c>
      <c r="R19" s="705" t="s">
        <v>14</v>
      </c>
      <c r="S19" s="706">
        <f>F19</f>
        <v>100</v>
      </c>
      <c r="T19" s="705" t="s">
        <v>14</v>
      </c>
      <c r="U19" s="706">
        <f>H19</f>
        <v>100</v>
      </c>
      <c r="V19" s="705" t="s">
        <v>14</v>
      </c>
      <c r="W19" s="706">
        <f>J19</f>
        <v>100</v>
      </c>
      <c r="X19" s="1354"/>
      <c r="Y19" s="3680"/>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49"/>
      <c r="Q20" s="1351"/>
      <c r="R20" s="705"/>
      <c r="S20" s="706"/>
      <c r="T20" s="705"/>
      <c r="U20" s="706"/>
      <c r="V20" s="705"/>
      <c r="W20" s="706"/>
      <c r="X20" s="1354"/>
      <c r="Y20" s="3680"/>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49"/>
      <c r="Q21" s="1351" t="str">
        <f>B21</f>
        <v>基础设施水平</v>
      </c>
      <c r="R21" s="705" t="s">
        <v>14</v>
      </c>
      <c r="S21" s="706">
        <f>F21</f>
        <v>100</v>
      </c>
      <c r="T21" s="705" t="s">
        <v>14</v>
      </c>
      <c r="U21" s="706">
        <f>H21</f>
        <v>100</v>
      </c>
      <c r="V21" s="705" t="s">
        <v>14</v>
      </c>
      <c r="W21" s="706">
        <f>J21</f>
        <v>100</v>
      </c>
      <c r="X21" s="1354"/>
      <c r="Y21" s="3680"/>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49"/>
      <c r="Q22" s="1351"/>
      <c r="R22" s="705"/>
      <c r="S22" s="706"/>
      <c r="T22" s="705"/>
      <c r="U22" s="706"/>
      <c r="V22" s="705"/>
      <c r="W22" s="706"/>
      <c r="X22" s="1354"/>
      <c r="Y22" s="3680"/>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49"/>
      <c r="Q23" s="1351" t="str">
        <f>B23</f>
        <v>环境质量</v>
      </c>
      <c r="R23" s="705" t="s">
        <v>14</v>
      </c>
      <c r="S23" s="706">
        <f>F23</f>
        <v>100</v>
      </c>
      <c r="T23" s="705" t="s">
        <v>14</v>
      </c>
      <c r="U23" s="706">
        <f>H23</f>
        <v>100</v>
      </c>
      <c r="V23" s="705" t="s">
        <v>14</v>
      </c>
      <c r="W23" s="706">
        <f>J23</f>
        <v>100</v>
      </c>
      <c r="X23" s="1354"/>
      <c r="Y23" s="3680"/>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49"/>
      <c r="Q24" s="1351"/>
      <c r="R24" s="705"/>
      <c r="S24" s="706"/>
      <c r="T24" s="705"/>
      <c r="U24" s="706"/>
      <c r="V24" s="705"/>
      <c r="W24" s="706"/>
      <c r="X24" s="1354"/>
      <c r="Y24" s="3680"/>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49"/>
      <c r="Q25" s="1351" t="str">
        <f>B25</f>
        <v>毗邻道路的类型与等级</v>
      </c>
      <c r="R25" s="705" t="s">
        <v>14</v>
      </c>
      <c r="S25" s="706">
        <f>F25</f>
        <v>100</v>
      </c>
      <c r="T25" s="705" t="s">
        <v>14</v>
      </c>
      <c r="U25" s="706">
        <f>H25</f>
        <v>100</v>
      </c>
      <c r="V25" s="705" t="s">
        <v>14</v>
      </c>
      <c r="W25" s="706">
        <f>J25</f>
        <v>100</v>
      </c>
      <c r="X25" s="1354"/>
      <c r="Y25" s="3680"/>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49"/>
      <c r="Q26" s="1351"/>
      <c r="R26" s="705"/>
      <c r="S26" s="706"/>
      <c r="T26" s="705"/>
      <c r="U26" s="706"/>
      <c r="V26" s="705"/>
      <c r="W26" s="706"/>
      <c r="X26" s="1354"/>
      <c r="Y26" s="3680"/>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49"/>
      <c r="Q27" s="1351" t="str">
        <f t="shared" ref="Q27:Q47" si="11">B27</f>
        <v>楼层</v>
      </c>
      <c r="R27" s="705" t="s">
        <v>14</v>
      </c>
      <c r="S27" s="706">
        <f>F27</f>
        <v>100</v>
      </c>
      <c r="T27" s="705" t="s">
        <v>14</v>
      </c>
      <c r="U27" s="706">
        <f>H27</f>
        <v>100</v>
      </c>
      <c r="V27" s="705" t="s">
        <v>14</v>
      </c>
      <c r="W27" s="706">
        <f>J27</f>
        <v>100</v>
      </c>
      <c r="X27" s="1354"/>
      <c r="Y27" s="3680"/>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49"/>
      <c r="Q28" s="1342" t="str">
        <f t="shared" si="11"/>
        <v>朝向</v>
      </c>
      <c r="R28" s="701" t="s">
        <v>14</v>
      </c>
      <c r="S28" s="702">
        <f>F28</f>
        <v>100</v>
      </c>
      <c r="T28" s="701" t="s">
        <v>14</v>
      </c>
      <c r="U28" s="702">
        <f>H28</f>
        <v>100</v>
      </c>
      <c r="V28" s="701" t="s">
        <v>14</v>
      </c>
      <c r="W28" s="702">
        <f>J28</f>
        <v>100</v>
      </c>
      <c r="X28" s="703"/>
      <c r="Y28" s="368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49"/>
      <c r="Q29" s="1351">
        <f t="shared" si="11"/>
        <v>111</v>
      </c>
      <c r="R29" s="705" t="s">
        <v>14</v>
      </c>
      <c r="S29" s="706">
        <f t="shared" ref="S29:S47" si="12">F29</f>
        <v>100</v>
      </c>
      <c r="T29" s="705" t="s">
        <v>14</v>
      </c>
      <c r="U29" s="706">
        <f t="shared" ref="U29:U47" si="13">H29</f>
        <v>100</v>
      </c>
      <c r="V29" s="705" t="s">
        <v>14</v>
      </c>
      <c r="W29" s="706">
        <f t="shared" ref="W29:W47" si="14">J29</f>
        <v>100</v>
      </c>
      <c r="X29" s="1354"/>
      <c r="Y29" s="368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49"/>
      <c r="Q30" s="1351">
        <f t="shared" si="11"/>
        <v>111</v>
      </c>
      <c r="R30" s="705" t="s">
        <v>14</v>
      </c>
      <c r="S30" s="706">
        <f t="shared" si="12"/>
        <v>100</v>
      </c>
      <c r="T30" s="705" t="s">
        <v>14</v>
      </c>
      <c r="U30" s="706">
        <f t="shared" si="13"/>
        <v>100</v>
      </c>
      <c r="V30" s="705" t="s">
        <v>14</v>
      </c>
      <c r="W30" s="706">
        <f t="shared" si="14"/>
        <v>100</v>
      </c>
      <c r="X30" s="1354"/>
      <c r="Y30" s="368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49"/>
      <c r="Q31" s="1351">
        <f t="shared" si="11"/>
        <v>111</v>
      </c>
      <c r="R31" s="705" t="s">
        <v>14</v>
      </c>
      <c r="S31" s="706">
        <f t="shared" si="12"/>
        <v>100</v>
      </c>
      <c r="T31" s="705" t="s">
        <v>14</v>
      </c>
      <c r="U31" s="706">
        <f t="shared" si="13"/>
        <v>100</v>
      </c>
      <c r="V31" s="705" t="s">
        <v>14</v>
      </c>
      <c r="W31" s="706">
        <f t="shared" si="14"/>
        <v>100</v>
      </c>
      <c r="X31" s="1354"/>
      <c r="Y31" s="3680"/>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49"/>
      <c r="Q32" s="1351">
        <f t="shared" si="11"/>
        <v>111</v>
      </c>
      <c r="R32" s="705" t="s">
        <v>14</v>
      </c>
      <c r="S32" s="706">
        <f t="shared" si="12"/>
        <v>100</v>
      </c>
      <c r="T32" s="705" t="s">
        <v>14</v>
      </c>
      <c r="U32" s="706">
        <f t="shared" si="13"/>
        <v>100</v>
      </c>
      <c r="V32" s="705" t="s">
        <v>14</v>
      </c>
      <c r="W32" s="706">
        <f t="shared" si="14"/>
        <v>100</v>
      </c>
      <c r="X32" s="1354"/>
      <c r="Y32" s="368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44" t="s">
        <v>1696</v>
      </c>
      <c r="Q33" s="1351" t="str">
        <f t="shared" si="11"/>
        <v>建筑类型</v>
      </c>
      <c r="R33" s="705" t="s">
        <v>14</v>
      </c>
      <c r="S33" s="706">
        <f t="shared" si="12"/>
        <v>100</v>
      </c>
      <c r="T33" s="705" t="s">
        <v>14</v>
      </c>
      <c r="U33" s="706">
        <f t="shared" si="13"/>
        <v>100</v>
      </c>
      <c r="V33" s="705" t="s">
        <v>14</v>
      </c>
      <c r="W33" s="706">
        <f t="shared" si="14"/>
        <v>100</v>
      </c>
      <c r="X33" s="1354"/>
      <c r="Y33" s="368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45"/>
      <c r="Q34" s="707" t="str">
        <f t="shared" si="11"/>
        <v>项目建筑规模</v>
      </c>
      <c r="R34" s="708" t="s">
        <v>14</v>
      </c>
      <c r="S34" s="709" t="e">
        <f t="shared" si="12"/>
        <v>#N/A</v>
      </c>
      <c r="T34" s="708" t="s">
        <v>14</v>
      </c>
      <c r="U34" s="709" t="e">
        <f t="shared" si="13"/>
        <v>#N/A</v>
      </c>
      <c r="V34" s="708" t="s">
        <v>14</v>
      </c>
      <c r="W34" s="709" t="e">
        <f t="shared" si="14"/>
        <v>#N/A</v>
      </c>
      <c r="X34" s="710"/>
      <c r="Y34" s="3682"/>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45"/>
      <c r="Q35" s="1351" t="str">
        <f t="shared" si="11"/>
        <v>建筑结构</v>
      </c>
      <c r="R35" s="705" t="s">
        <v>14</v>
      </c>
      <c r="S35" s="706">
        <f t="shared" si="12"/>
        <v>100</v>
      </c>
      <c r="T35" s="705" t="s">
        <v>14</v>
      </c>
      <c r="U35" s="706">
        <f t="shared" si="13"/>
        <v>100</v>
      </c>
      <c r="V35" s="705" t="s">
        <v>14</v>
      </c>
      <c r="W35" s="706">
        <f t="shared" si="14"/>
        <v>100</v>
      </c>
      <c r="X35" s="1354"/>
      <c r="Y35" s="368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45"/>
      <c r="Q36" s="1351" t="str">
        <f t="shared" si="11"/>
        <v>公共部分装修</v>
      </c>
      <c r="R36" s="705" t="s">
        <v>14</v>
      </c>
      <c r="S36" s="706">
        <f t="shared" si="12"/>
        <v>100</v>
      </c>
      <c r="T36" s="705" t="s">
        <v>14</v>
      </c>
      <c r="U36" s="706">
        <f t="shared" si="13"/>
        <v>100</v>
      </c>
      <c r="V36" s="705" t="s">
        <v>14</v>
      </c>
      <c r="W36" s="706">
        <f t="shared" si="14"/>
        <v>100</v>
      </c>
      <c r="X36" s="1354"/>
      <c r="Y36" s="368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45"/>
      <c r="Q37" s="1351" t="str">
        <f t="shared" si="11"/>
        <v>成新度</v>
      </c>
      <c r="R37" s="705" t="s">
        <v>14</v>
      </c>
      <c r="S37" s="706" t="e">
        <f t="shared" si="12"/>
        <v>#N/A</v>
      </c>
      <c r="T37" s="705" t="s">
        <v>14</v>
      </c>
      <c r="U37" s="706" t="e">
        <f t="shared" si="13"/>
        <v>#N/A</v>
      </c>
      <c r="V37" s="705" t="s">
        <v>14</v>
      </c>
      <c r="W37" s="706" t="e">
        <f t="shared" si="14"/>
        <v>#N/A</v>
      </c>
      <c r="X37" s="1354"/>
      <c r="Y37" s="368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45"/>
      <c r="Q38" s="1342"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45" t="s">
        <v>1696</v>
      </c>
      <c r="Q39" s="1351" t="str">
        <f t="shared" si="11"/>
        <v>物业管理</v>
      </c>
      <c r="R39" s="705" t="s">
        <v>14</v>
      </c>
      <c r="S39" s="706">
        <f t="shared" si="12"/>
        <v>100</v>
      </c>
      <c r="T39" s="705" t="s">
        <v>14</v>
      </c>
      <c r="U39" s="706">
        <f t="shared" si="13"/>
        <v>100</v>
      </c>
      <c r="V39" s="705" t="s">
        <v>14</v>
      </c>
      <c r="W39" s="706">
        <f t="shared" si="14"/>
        <v>100</v>
      </c>
      <c r="X39" s="1354"/>
      <c r="Y39" s="368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45"/>
      <c r="Q40" s="1351" t="str">
        <f t="shared" si="11"/>
        <v>市政基础设施</v>
      </c>
      <c r="R40" s="705" t="s">
        <v>14</v>
      </c>
      <c r="S40" s="706">
        <f t="shared" si="12"/>
        <v>100</v>
      </c>
      <c r="T40" s="705" t="s">
        <v>14</v>
      </c>
      <c r="U40" s="706">
        <f t="shared" si="13"/>
        <v>100</v>
      </c>
      <c r="V40" s="705" t="s">
        <v>14</v>
      </c>
      <c r="W40" s="706">
        <f t="shared" si="14"/>
        <v>100</v>
      </c>
      <c r="X40" s="1354"/>
      <c r="Y40" s="368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45"/>
      <c r="Q41" s="1351" t="str">
        <f t="shared" si="11"/>
        <v>层高</v>
      </c>
      <c r="R41" s="705" t="s">
        <v>14</v>
      </c>
      <c r="S41" s="706">
        <f t="shared" si="12"/>
        <v>100</v>
      </c>
      <c r="T41" s="705" t="s">
        <v>14</v>
      </c>
      <c r="U41" s="706">
        <f t="shared" si="13"/>
        <v>100</v>
      </c>
      <c r="V41" s="705" t="s">
        <v>14</v>
      </c>
      <c r="W41" s="706">
        <f t="shared" si="14"/>
        <v>100</v>
      </c>
      <c r="X41" s="1354"/>
      <c r="Y41" s="368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45"/>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45"/>
      <c r="Q43" s="1351" t="str">
        <f t="shared" si="11"/>
        <v>内部装修</v>
      </c>
      <c r="R43" s="705" t="s">
        <v>14</v>
      </c>
      <c r="S43" s="706">
        <f t="shared" si="12"/>
        <v>100</v>
      </c>
      <c r="T43" s="705" t="s">
        <v>14</v>
      </c>
      <c r="U43" s="706">
        <f t="shared" si="13"/>
        <v>100</v>
      </c>
      <c r="V43" s="705" t="s">
        <v>14</v>
      </c>
      <c r="W43" s="706">
        <f t="shared" si="14"/>
        <v>100</v>
      </c>
      <c r="X43" s="1354"/>
      <c r="Y43" s="368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45"/>
      <c r="Q44" s="1351" t="str">
        <f t="shared" si="11"/>
        <v>内部装修维护情况</v>
      </c>
      <c r="R44" s="705" t="s">
        <v>14</v>
      </c>
      <c r="S44" s="706">
        <f t="shared" si="12"/>
        <v>100</v>
      </c>
      <c r="T44" s="705" t="s">
        <v>14</v>
      </c>
      <c r="U44" s="706">
        <f t="shared" si="13"/>
        <v>100</v>
      </c>
      <c r="V44" s="705" t="s">
        <v>14</v>
      </c>
      <c r="W44" s="706">
        <f t="shared" si="14"/>
        <v>100</v>
      </c>
      <c r="X44" s="1354"/>
      <c r="Y44" s="3682"/>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45"/>
      <c r="Q45" s="1342">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45"/>
      <c r="Q46" s="1351">
        <f t="shared" si="11"/>
        <v>111</v>
      </c>
      <c r="R46" s="705" t="s">
        <v>14</v>
      </c>
      <c r="S46" s="706">
        <f t="shared" si="12"/>
        <v>100</v>
      </c>
      <c r="T46" s="705" t="s">
        <v>14</v>
      </c>
      <c r="U46" s="706">
        <f t="shared" si="13"/>
        <v>100</v>
      </c>
      <c r="V46" s="705" t="s">
        <v>14</v>
      </c>
      <c r="W46" s="706">
        <f t="shared" si="14"/>
        <v>100</v>
      </c>
      <c r="X46" s="1354"/>
      <c r="Y46" s="368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46"/>
      <c r="Q47" s="1351">
        <f t="shared" si="11"/>
        <v>111</v>
      </c>
      <c r="R47" s="705" t="s">
        <v>14</v>
      </c>
      <c r="S47" s="706">
        <f t="shared" si="12"/>
        <v>100</v>
      </c>
      <c r="T47" s="705" t="s">
        <v>14</v>
      </c>
      <c r="U47" s="706">
        <f t="shared" si="13"/>
        <v>100</v>
      </c>
      <c r="V47" s="705" t="s">
        <v>14</v>
      </c>
      <c r="W47" s="706">
        <f t="shared" si="14"/>
        <v>100</v>
      </c>
      <c r="X47" s="1354"/>
      <c r="Y47" s="3747"/>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77" t="str">
        <f>A48</f>
        <v>成交单价（元/平方米）</v>
      </c>
      <c r="Q48" s="3678"/>
      <c r="R48" s="3743">
        <f>E48</f>
        <v>0</v>
      </c>
      <c r="S48" s="3743"/>
      <c r="T48" s="3743">
        <f>G48</f>
        <v>0</v>
      </c>
      <c r="U48" s="3743"/>
      <c r="V48" s="3743">
        <f>I48</f>
        <v>0</v>
      </c>
      <c r="W48" s="3743"/>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77" t="str">
        <f>A49</f>
        <v>比较价值（元/平方米）</v>
      </c>
      <c r="Q49" s="3678"/>
      <c r="R49" s="3743" t="e">
        <f>IF(F1="售价",ROUND(PRODUCT(R48,AA7:AA47),0),ROUND(PRODUCT(R48,AA7:AA47),1))</f>
        <v>#DIV/0!</v>
      </c>
      <c r="S49" s="3743"/>
      <c r="T49" s="3743" t="e">
        <f>IF(F1="售价",ROUND(PRODUCT(T48,AB7:AB47),0),ROUND(PRODUCT(T48,AB7:AB47),1))</f>
        <v>#DIV/0!</v>
      </c>
      <c r="U49" s="3743"/>
      <c r="V49" s="3743" t="e">
        <f>IF(F1="售价",ROUND(PRODUCT(V48,AC7:AC47),0),ROUND(PRODUCT(V48,AC7:AC47),1))</f>
        <v>#DIV/0!</v>
      </c>
      <c r="W49" s="374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2024-8</v>
      </c>
      <c r="D59" s="1184">
        <f>EDATE(C59,-1)</f>
        <v>45474</v>
      </c>
      <c r="E59" s="1184">
        <f>EDATE(D59,-1)</f>
        <v>45444</v>
      </c>
      <c r="F59" s="1184">
        <f t="shared" ref="F59:O59" si="16">EDATE(E59,-1)</f>
        <v>45413</v>
      </c>
      <c r="G59" s="1184">
        <f t="shared" si="16"/>
        <v>45383</v>
      </c>
      <c r="H59" s="1184">
        <f t="shared" si="16"/>
        <v>45352</v>
      </c>
      <c r="I59" s="1184">
        <f t="shared" si="16"/>
        <v>45323</v>
      </c>
      <c r="J59" s="1184">
        <f t="shared" si="16"/>
        <v>45292</v>
      </c>
      <c r="K59" s="1184">
        <f t="shared" si="16"/>
        <v>45261</v>
      </c>
      <c r="L59" s="1184">
        <f t="shared" si="16"/>
        <v>45231</v>
      </c>
      <c r="M59" s="1184">
        <f t="shared" si="16"/>
        <v>45200</v>
      </c>
      <c r="N59" s="1184">
        <f t="shared" si="16"/>
        <v>45170</v>
      </c>
      <c r="O59" s="1184">
        <f t="shared" si="16"/>
        <v>45139</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17457.32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5" t="s">
        <v>1770</v>
      </c>
      <c r="D4" s="3687"/>
      <c r="E4" s="3688" t="s">
        <v>1771</v>
      </c>
      <c r="F4" s="3689"/>
      <c r="G4" s="3675" t="s">
        <v>1772</v>
      </c>
      <c r="H4" s="3687"/>
      <c r="I4" s="3675" t="s">
        <v>1773</v>
      </c>
      <c r="J4" s="3687"/>
      <c r="K4" s="559" t="s">
        <v>1774</v>
      </c>
      <c r="L4" s="913"/>
      <c r="M4" s="914"/>
      <c r="N4" s="914"/>
      <c r="O4" s="914"/>
      <c r="P4" s="3690" t="s">
        <v>1775</v>
      </c>
      <c r="Q4" s="3691"/>
      <c r="R4" s="3696" t="s">
        <v>1771</v>
      </c>
      <c r="S4" s="3697"/>
      <c r="T4" s="3696" t="s">
        <v>1772</v>
      </c>
      <c r="U4" s="3697"/>
      <c r="V4" s="3683" t="s">
        <v>1773</v>
      </c>
      <c r="W4" s="3683"/>
      <c r="X4" s="1354"/>
      <c r="Y4" s="3696" t="s">
        <v>1775</v>
      </c>
      <c r="Z4" s="3697"/>
      <c r="AA4" s="3684" t="s">
        <v>1771</v>
      </c>
      <c r="AB4" s="3685" t="s">
        <v>1772</v>
      </c>
      <c r="AC4" s="3684" t="s">
        <v>1773</v>
      </c>
    </row>
    <row r="5" spans="1:29" ht="15">
      <c r="A5" s="358"/>
      <c r="B5" s="359"/>
      <c r="C5" s="3704" t="s">
        <v>1673</v>
      </c>
      <c r="D5" s="3705"/>
      <c r="E5" s="3711" t="s">
        <v>1674</v>
      </c>
      <c r="F5" s="3712"/>
      <c r="G5" s="3704" t="s">
        <v>1675</v>
      </c>
      <c r="H5" s="3705"/>
      <c r="I5" s="3704" t="s">
        <v>1676</v>
      </c>
      <c r="J5" s="3705"/>
      <c r="K5" s="559"/>
      <c r="L5" s="913"/>
      <c r="M5" s="914"/>
      <c r="N5" s="914"/>
      <c r="O5" s="914"/>
      <c r="P5" s="3692"/>
      <c r="Q5" s="3693"/>
      <c r="R5" s="3698"/>
      <c r="S5" s="3699"/>
      <c r="T5" s="3698"/>
      <c r="U5" s="3699"/>
      <c r="V5" s="3683"/>
      <c r="W5" s="3683"/>
      <c r="X5" s="1354"/>
      <c r="Y5" s="3698"/>
      <c r="Z5" s="3699"/>
      <c r="AA5" s="3685"/>
      <c r="AB5" s="3685"/>
      <c r="AC5" s="3685"/>
    </row>
    <row r="6" spans="1:29" ht="15.75" thickBot="1">
      <c r="A6" s="360"/>
      <c r="B6" s="361"/>
      <c r="C6" s="3702" t="s">
        <v>1677</v>
      </c>
      <c r="D6" s="3703"/>
      <c r="E6" s="3709" t="s">
        <v>1677</v>
      </c>
      <c r="F6" s="3710"/>
      <c r="G6" s="3702" t="s">
        <v>1677</v>
      </c>
      <c r="H6" s="3703"/>
      <c r="I6" s="3702" t="s">
        <v>1677</v>
      </c>
      <c r="J6" s="3703"/>
      <c r="K6" s="559" t="s">
        <v>1678</v>
      </c>
      <c r="L6" s="913"/>
      <c r="M6" s="914"/>
      <c r="N6" s="914"/>
      <c r="O6" s="914"/>
      <c r="P6" s="3694"/>
      <c r="Q6" s="3695"/>
      <c r="R6" s="3698"/>
      <c r="S6" s="3699"/>
      <c r="T6" s="3700"/>
      <c r="U6" s="3701"/>
      <c r="V6" s="3683"/>
      <c r="W6" s="3683"/>
      <c r="X6" s="1354"/>
      <c r="Y6" s="3700"/>
      <c r="Z6" s="3701"/>
      <c r="AA6" s="3686"/>
      <c r="AB6" s="3686"/>
      <c r="AC6" s="3686"/>
    </row>
    <row r="7" spans="1:29" s="108" customFormat="1" ht="15.75" thickBot="1">
      <c r="A7" s="362" t="s">
        <v>1679</v>
      </c>
      <c r="B7" s="363"/>
      <c r="C7" s="364">
        <f>'数据-取费表'!B2</f>
        <v>45526</v>
      </c>
      <c r="D7" s="365">
        <v>100</v>
      </c>
      <c r="E7" s="366"/>
      <c r="F7" s="367">
        <f>SUMIF(52:52,YEAR(E7)&amp;"-"&amp;MONTH(E7),53:53)</f>
        <v>0</v>
      </c>
      <c r="G7" s="366"/>
      <c r="H7" s="365">
        <f>SUMIF(52:52,YEAR(G7)&amp;"-"&amp;MONTH(G7),53:53)</f>
        <v>0</v>
      </c>
      <c r="I7" s="366"/>
      <c r="J7" s="365">
        <f>SUMIF(52:52,YEAR(I7)&amp;"-"&amp;MONTH(I7),53:53)</f>
        <v>0</v>
      </c>
      <c r="K7" s="560"/>
      <c r="L7" s="915"/>
      <c r="M7" s="916"/>
      <c r="N7" s="916"/>
      <c r="O7" s="916"/>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6" t="s">
        <v>1683</v>
      </c>
      <c r="Q8" s="3707"/>
      <c r="R8" s="701" t="s">
        <v>14</v>
      </c>
      <c r="S8" s="702">
        <f t="shared" si="0"/>
        <v>100</v>
      </c>
      <c r="T8" s="701" t="s">
        <v>14</v>
      </c>
      <c r="U8" s="702">
        <f t="shared" si="1"/>
        <v>100</v>
      </c>
      <c r="V8" s="701" t="s">
        <v>14</v>
      </c>
      <c r="W8" s="702">
        <f t="shared" si="2"/>
        <v>100</v>
      </c>
      <c r="X8" s="703"/>
      <c r="Y8" s="3706" t="s">
        <v>1683</v>
      </c>
      <c r="Z8" s="370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8" t="s">
        <v>1686</v>
      </c>
      <c r="Q9" s="1342"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8"/>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8"/>
      <c r="Q11" s="1342"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8"/>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8"/>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8"/>
      <c r="Q14" s="1342">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1" t="str">
        <f t="shared" si="6"/>
        <v>产业集聚程度</v>
      </c>
      <c r="R15" s="705" t="s">
        <v>14</v>
      </c>
      <c r="S15" s="706">
        <f t="shared" si="0"/>
        <v>100</v>
      </c>
      <c r="T15" s="705" t="s">
        <v>14</v>
      </c>
      <c r="U15" s="706">
        <f t="shared" si="1"/>
        <v>100</v>
      </c>
      <c r="V15" s="705" t="s">
        <v>14</v>
      </c>
      <c r="W15" s="706">
        <f t="shared" si="2"/>
        <v>100</v>
      </c>
      <c r="X15" s="1354"/>
      <c r="Y15" s="367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0"/>
      <c r="Q16" s="1351"/>
      <c r="R16" s="705"/>
      <c r="S16" s="706"/>
      <c r="T16" s="705"/>
      <c r="U16" s="706"/>
      <c r="V16" s="705"/>
      <c r="W16" s="706"/>
      <c r="X16" s="1354"/>
      <c r="Y16" s="368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1" t="str">
        <f>B17</f>
        <v>交通便捷度</v>
      </c>
      <c r="R17" s="705" t="s">
        <v>14</v>
      </c>
      <c r="S17" s="706">
        <f>F17</f>
        <v>100</v>
      </c>
      <c r="T17" s="705" t="s">
        <v>14</v>
      </c>
      <c r="U17" s="706">
        <f>H17</f>
        <v>100</v>
      </c>
      <c r="V17" s="705" t="s">
        <v>14</v>
      </c>
      <c r="W17" s="706">
        <f>J17</f>
        <v>100</v>
      </c>
      <c r="X17" s="1354"/>
      <c r="Y17" s="368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0"/>
      <c r="Q18" s="1351"/>
      <c r="R18" s="705"/>
      <c r="S18" s="706"/>
      <c r="T18" s="705"/>
      <c r="U18" s="706"/>
      <c r="V18" s="705"/>
      <c r="W18" s="706"/>
      <c r="X18" s="1354"/>
      <c r="Y18" s="368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1" t="str">
        <f>B19</f>
        <v>公共配套设施</v>
      </c>
      <c r="R19" s="705" t="s">
        <v>14</v>
      </c>
      <c r="S19" s="706">
        <f>F19</f>
        <v>100</v>
      </c>
      <c r="T19" s="705" t="s">
        <v>14</v>
      </c>
      <c r="U19" s="706">
        <f>H19</f>
        <v>100</v>
      </c>
      <c r="V19" s="705" t="s">
        <v>14</v>
      </c>
      <c r="W19" s="706">
        <f>J19</f>
        <v>100</v>
      </c>
      <c r="X19" s="1354"/>
      <c r="Y19" s="368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0"/>
      <c r="Q20" s="1351"/>
      <c r="R20" s="705"/>
      <c r="S20" s="706"/>
      <c r="T20" s="705"/>
      <c r="U20" s="706"/>
      <c r="V20" s="705"/>
      <c r="W20" s="706"/>
      <c r="X20" s="1354"/>
      <c r="Y20" s="3680"/>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1" t="str">
        <f>B21</f>
        <v>基础设施水平</v>
      </c>
      <c r="R21" s="705" t="s">
        <v>14</v>
      </c>
      <c r="S21" s="706">
        <f>F21</f>
        <v>100</v>
      </c>
      <c r="T21" s="705" t="s">
        <v>14</v>
      </c>
      <c r="U21" s="706">
        <f>H21</f>
        <v>100</v>
      </c>
      <c r="V21" s="705" t="s">
        <v>14</v>
      </c>
      <c r="W21" s="706">
        <f>J21</f>
        <v>100</v>
      </c>
      <c r="X21" s="1354"/>
      <c r="Y21" s="368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80"/>
      <c r="Q22" s="1351"/>
      <c r="R22" s="705"/>
      <c r="S22" s="706"/>
      <c r="T22" s="705"/>
      <c r="U22" s="706"/>
      <c r="V22" s="705"/>
      <c r="W22" s="706"/>
      <c r="X22" s="1354"/>
      <c r="Y22" s="368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1" t="str">
        <f>B23</f>
        <v>环境质量</v>
      </c>
      <c r="R23" s="705" t="s">
        <v>14</v>
      </c>
      <c r="S23" s="706">
        <f>F23</f>
        <v>100</v>
      </c>
      <c r="T23" s="705" t="s">
        <v>14</v>
      </c>
      <c r="U23" s="706">
        <f>H23</f>
        <v>100</v>
      </c>
      <c r="V23" s="705" t="s">
        <v>14</v>
      </c>
      <c r="W23" s="706">
        <f>J23</f>
        <v>100</v>
      </c>
      <c r="X23" s="1354"/>
      <c r="Y23" s="3680"/>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80"/>
      <c r="Q24" s="1351"/>
      <c r="R24" s="705"/>
      <c r="S24" s="706"/>
      <c r="T24" s="705"/>
      <c r="U24" s="706"/>
      <c r="V24" s="705"/>
      <c r="W24" s="706"/>
      <c r="X24" s="1354"/>
      <c r="Y24" s="368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1">
        <f>B25</f>
        <v>111</v>
      </c>
      <c r="R25" s="705" t="s">
        <v>14</v>
      </c>
      <c r="S25" s="706">
        <f>F25</f>
        <v>100</v>
      </c>
      <c r="T25" s="705" t="s">
        <v>14</v>
      </c>
      <c r="U25" s="706">
        <f>H25</f>
        <v>100</v>
      </c>
      <c r="V25" s="705" t="s">
        <v>14</v>
      </c>
      <c r="W25" s="706">
        <f>J25</f>
        <v>100</v>
      </c>
      <c r="X25" s="1354"/>
      <c r="Y25" s="368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1">
        <f t="shared" ref="Q26:Q40" si="11">B26</f>
        <v>111</v>
      </c>
      <c r="R26" s="705" t="s">
        <v>14</v>
      </c>
      <c r="S26" s="706">
        <f>F26</f>
        <v>100</v>
      </c>
      <c r="T26" s="705" t="s">
        <v>14</v>
      </c>
      <c r="U26" s="706">
        <f>H26</f>
        <v>100</v>
      </c>
      <c r="V26" s="705" t="s">
        <v>14</v>
      </c>
      <c r="W26" s="706">
        <f>J26</f>
        <v>100</v>
      </c>
      <c r="X26" s="1354"/>
      <c r="Y26" s="368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2">
        <f t="shared" si="11"/>
        <v>111</v>
      </c>
      <c r="R27" s="701" t="s">
        <v>14</v>
      </c>
      <c r="S27" s="702">
        <f>F27</f>
        <v>100</v>
      </c>
      <c r="T27" s="701" t="s">
        <v>14</v>
      </c>
      <c r="U27" s="702">
        <f>H27</f>
        <v>100</v>
      </c>
      <c r="V27" s="701" t="s">
        <v>14</v>
      </c>
      <c r="W27" s="702">
        <f>J27</f>
        <v>100</v>
      </c>
      <c r="X27" s="703"/>
      <c r="Y27" s="368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1">
        <f t="shared" si="11"/>
        <v>111</v>
      </c>
      <c r="R28" s="705" t="s">
        <v>14</v>
      </c>
      <c r="S28" s="706">
        <f t="shared" ref="S28:S40" si="12">F28</f>
        <v>100</v>
      </c>
      <c r="T28" s="705" t="s">
        <v>14</v>
      </c>
      <c r="U28" s="706">
        <f t="shared" ref="U28:U40" si="13">H28</f>
        <v>100</v>
      </c>
      <c r="V28" s="705" t="s">
        <v>14</v>
      </c>
      <c r="W28" s="706">
        <f t="shared" ref="W28:W40" si="14">J28</f>
        <v>100</v>
      </c>
      <c r="X28" s="1354"/>
      <c r="Y28" s="368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681" t="s">
        <v>1696</v>
      </c>
      <c r="Q29" s="1351" t="str">
        <f t="shared" si="11"/>
        <v>建筑类型</v>
      </c>
      <c r="R29" s="705" t="s">
        <v>14</v>
      </c>
      <c r="S29" s="706">
        <f t="shared" si="12"/>
        <v>100</v>
      </c>
      <c r="T29" s="705" t="s">
        <v>14</v>
      </c>
      <c r="U29" s="706">
        <f t="shared" si="13"/>
        <v>100</v>
      </c>
      <c r="V29" s="705" t="s">
        <v>14</v>
      </c>
      <c r="W29" s="706">
        <f t="shared" si="14"/>
        <v>100</v>
      </c>
      <c r="X29" s="1354"/>
      <c r="Y29" s="368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2"/>
      <c r="Q31" s="1351" t="str">
        <f t="shared" si="11"/>
        <v>建筑结构</v>
      </c>
      <c r="R31" s="705" t="s">
        <v>14</v>
      </c>
      <c r="S31" s="706">
        <f t="shared" si="12"/>
        <v>100</v>
      </c>
      <c r="T31" s="705" t="s">
        <v>14</v>
      </c>
      <c r="U31" s="706">
        <f t="shared" si="13"/>
        <v>100</v>
      </c>
      <c r="V31" s="705" t="s">
        <v>14</v>
      </c>
      <c r="W31" s="706">
        <f t="shared" si="14"/>
        <v>100</v>
      </c>
      <c r="X31" s="1354"/>
      <c r="Y31" s="368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2"/>
      <c r="Q32" s="1351" t="str">
        <f t="shared" si="11"/>
        <v>公共部分装修</v>
      </c>
      <c r="R32" s="705" t="s">
        <v>14</v>
      </c>
      <c r="S32" s="706">
        <f t="shared" si="12"/>
        <v>100</v>
      </c>
      <c r="T32" s="705" t="s">
        <v>14</v>
      </c>
      <c r="U32" s="706">
        <f t="shared" si="13"/>
        <v>100</v>
      </c>
      <c r="V32" s="705" t="s">
        <v>14</v>
      </c>
      <c r="W32" s="706">
        <f t="shared" si="14"/>
        <v>100</v>
      </c>
      <c r="X32" s="1354"/>
      <c r="Y32" s="368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2"/>
      <c r="Q33" s="1351" t="str">
        <f t="shared" si="11"/>
        <v>成新度</v>
      </c>
      <c r="R33" s="705" t="s">
        <v>14</v>
      </c>
      <c r="S33" s="706" t="e">
        <f t="shared" si="12"/>
        <v>#N/A</v>
      </c>
      <c r="T33" s="705" t="s">
        <v>14</v>
      </c>
      <c r="U33" s="706" t="e">
        <f t="shared" si="13"/>
        <v>#N/A</v>
      </c>
      <c r="V33" s="705" t="s">
        <v>14</v>
      </c>
      <c r="W33" s="706" t="e">
        <f t="shared" si="14"/>
        <v>#N/A</v>
      </c>
      <c r="X33" s="1354"/>
      <c r="Y33" s="368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2"/>
      <c r="Q34" s="1342"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2" t="s">
        <v>1696</v>
      </c>
      <c r="Q35" s="1351" t="str">
        <f t="shared" si="11"/>
        <v>市政基础设施</v>
      </c>
      <c r="R35" s="705" t="s">
        <v>14</v>
      </c>
      <c r="S35" s="706">
        <f t="shared" si="12"/>
        <v>100</v>
      </c>
      <c r="T35" s="705" t="s">
        <v>14</v>
      </c>
      <c r="U35" s="706">
        <f t="shared" si="13"/>
        <v>100</v>
      </c>
      <c r="V35" s="705" t="s">
        <v>14</v>
      </c>
      <c r="W35" s="706">
        <f t="shared" si="14"/>
        <v>100</v>
      </c>
      <c r="X35" s="1354"/>
      <c r="Y35" s="368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2"/>
      <c r="Q36" s="1351" t="str">
        <f t="shared" si="11"/>
        <v>内部装修</v>
      </c>
      <c r="R36" s="705" t="s">
        <v>14</v>
      </c>
      <c r="S36" s="706">
        <f t="shared" si="12"/>
        <v>100</v>
      </c>
      <c r="T36" s="705" t="s">
        <v>14</v>
      </c>
      <c r="U36" s="706">
        <f t="shared" si="13"/>
        <v>100</v>
      </c>
      <c r="V36" s="705" t="s">
        <v>14</v>
      </c>
      <c r="W36" s="706">
        <f t="shared" si="14"/>
        <v>100</v>
      </c>
      <c r="X36" s="1354"/>
      <c r="Y36" s="368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2"/>
      <c r="Q37" s="1351" t="str">
        <f t="shared" si="11"/>
        <v>内部装修状况</v>
      </c>
      <c r="R37" s="705" t="s">
        <v>14</v>
      </c>
      <c r="S37" s="706">
        <f t="shared" si="12"/>
        <v>100</v>
      </c>
      <c r="T37" s="705" t="s">
        <v>14</v>
      </c>
      <c r="U37" s="706">
        <f t="shared" si="13"/>
        <v>100</v>
      </c>
      <c r="V37" s="705" t="s">
        <v>14</v>
      </c>
      <c r="W37" s="706">
        <f t="shared" si="14"/>
        <v>100</v>
      </c>
      <c r="X37" s="1354"/>
      <c r="Y37" s="368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2"/>
      <c r="Q39" s="1351">
        <f t="shared" si="11"/>
        <v>111</v>
      </c>
      <c r="R39" s="705" t="s">
        <v>14</v>
      </c>
      <c r="S39" s="706">
        <f t="shared" si="12"/>
        <v>100</v>
      </c>
      <c r="T39" s="705" t="s">
        <v>14</v>
      </c>
      <c r="U39" s="706">
        <f t="shared" si="13"/>
        <v>100</v>
      </c>
      <c r="V39" s="705" t="s">
        <v>14</v>
      </c>
      <c r="W39" s="706">
        <f t="shared" si="14"/>
        <v>100</v>
      </c>
      <c r="X39" s="1354"/>
      <c r="Y39" s="368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7"/>
      <c r="Q40" s="1351">
        <f t="shared" si="11"/>
        <v>111</v>
      </c>
      <c r="R40" s="705" t="s">
        <v>14</v>
      </c>
      <c r="S40" s="706">
        <f t="shared" si="12"/>
        <v>100</v>
      </c>
      <c r="T40" s="705" t="s">
        <v>14</v>
      </c>
      <c r="U40" s="706">
        <f t="shared" si="13"/>
        <v>100</v>
      </c>
      <c r="V40" s="705" t="s">
        <v>14</v>
      </c>
      <c r="W40" s="706">
        <f t="shared" si="14"/>
        <v>100</v>
      </c>
      <c r="X40" s="1354"/>
      <c r="Y40" s="3747"/>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78" t="str">
        <f>A41</f>
        <v>成交单价（元/平方米）</v>
      </c>
      <c r="Q41" s="3678"/>
      <c r="R41" s="3743">
        <f>E41</f>
        <v>0</v>
      </c>
      <c r="S41" s="3743"/>
      <c r="T41" s="3743">
        <f>G41</f>
        <v>0</v>
      </c>
      <c r="U41" s="3743"/>
      <c r="V41" s="3743">
        <f>I41</f>
        <v>0</v>
      </c>
      <c r="W41" s="3743"/>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78" t="str">
        <f>A42</f>
        <v>比较价值（元/平方米）</v>
      </c>
      <c r="Q42" s="3678"/>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2" t="str">
        <f>A43</f>
        <v>估价对象XX用房的比较价值（楼面单价，元/平方米）</v>
      </c>
      <c r="Q43" s="3673"/>
      <c r="R43" s="3742" t="e">
        <f>IF(F1="售价",ROUND(IF(D42="简单平均",AVERAGE(R42:V42),R42*F42+T42*H42+V42*J42),0),ROUND(IF(D42="简单平均",AVERAGE(R42:V42),R42*F42+T42*H42+V42*J42),1))</f>
        <v>#DIV/0!</v>
      </c>
      <c r="S43" s="3742"/>
      <c r="T43" s="3742"/>
      <c r="U43" s="3742"/>
      <c r="V43" s="3742"/>
      <c r="W43" s="374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2024-8</v>
      </c>
      <c r="D52" s="1184">
        <f>EDATE(C52,-1)</f>
        <v>45474</v>
      </c>
      <c r="E52" s="1184">
        <f t="shared" ref="E52:O52" si="16">EDATE(D52,-1)</f>
        <v>45444</v>
      </c>
      <c r="F52" s="1184">
        <f t="shared" si="16"/>
        <v>45413</v>
      </c>
      <c r="G52" s="1184">
        <f t="shared" si="16"/>
        <v>45383</v>
      </c>
      <c r="H52" s="1184">
        <f t="shared" si="16"/>
        <v>45352</v>
      </c>
      <c r="I52" s="1184">
        <f t="shared" si="16"/>
        <v>45323</v>
      </c>
      <c r="J52" s="1184">
        <f t="shared" si="16"/>
        <v>45292</v>
      </c>
      <c r="K52" s="1184">
        <f t="shared" si="16"/>
        <v>45261</v>
      </c>
      <c r="L52" s="1184">
        <f t="shared" si="16"/>
        <v>45231</v>
      </c>
      <c r="M52" s="1184">
        <f t="shared" si="16"/>
        <v>45200</v>
      </c>
      <c r="N52" s="1184">
        <f t="shared" si="16"/>
        <v>45170</v>
      </c>
      <c r="O52" s="1184">
        <f t="shared" si="16"/>
        <v>45139</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5" t="s">
        <v>1770</v>
      </c>
      <c r="D4" s="3687"/>
      <c r="E4" s="3688" t="s">
        <v>1771</v>
      </c>
      <c r="F4" s="3689"/>
      <c r="G4" s="3675" t="s">
        <v>1772</v>
      </c>
      <c r="H4" s="3687"/>
      <c r="I4" s="3675" t="s">
        <v>1773</v>
      </c>
      <c r="J4" s="3687"/>
      <c r="K4" s="559" t="s">
        <v>1774</v>
      </c>
      <c r="L4" s="2714"/>
      <c r="M4" s="2715"/>
      <c r="N4" s="2715"/>
      <c r="O4" s="2715"/>
      <c r="P4" s="3690" t="s">
        <v>1775</v>
      </c>
      <c r="Q4" s="3691"/>
      <c r="R4" s="3696" t="s">
        <v>1771</v>
      </c>
      <c r="S4" s="3697"/>
      <c r="T4" s="3696" t="s">
        <v>1772</v>
      </c>
      <c r="U4" s="3697"/>
      <c r="V4" s="3683" t="s">
        <v>1773</v>
      </c>
      <c r="W4" s="3683"/>
      <c r="X4" s="1354"/>
      <c r="Y4" s="3696" t="s">
        <v>1775</v>
      </c>
      <c r="Z4" s="3697"/>
      <c r="AA4" s="3684" t="s">
        <v>1771</v>
      </c>
      <c r="AB4" s="3685" t="s">
        <v>1772</v>
      </c>
      <c r="AC4" s="3684"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3"/>
      <c r="W5" s="3683"/>
      <c r="X5" s="1354"/>
      <c r="Y5" s="3698"/>
      <c r="Z5" s="3699"/>
      <c r="AA5" s="3685"/>
      <c r="AB5" s="3685"/>
      <c r="AC5" s="3685"/>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3"/>
      <c r="W6" s="3683"/>
      <c r="X6" s="1354"/>
      <c r="Y6" s="3700"/>
      <c r="Z6" s="3701"/>
      <c r="AA6" s="3686"/>
      <c r="AB6" s="3686"/>
      <c r="AC6" s="3686"/>
    </row>
    <row r="7" spans="1:29" s="108" customFormat="1" ht="15.75" thickBot="1">
      <c r="A7" s="362" t="s">
        <v>1679</v>
      </c>
      <c r="B7" s="363"/>
      <c r="C7" s="364">
        <f>'数据-取费表'!B2</f>
        <v>45526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8" t="s">
        <v>1686</v>
      </c>
      <c r="Q9" s="1342"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8"/>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8"/>
      <c r="Q11" s="1342">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8"/>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8"/>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9" t="s">
        <v>1691</v>
      </c>
      <c r="Q14" s="1351" t="str">
        <f t="shared" si="6"/>
        <v>交通便捷度</v>
      </c>
      <c r="R14" s="705" t="s">
        <v>14</v>
      </c>
      <c r="S14" s="706">
        <f t="shared" si="0"/>
        <v>100</v>
      </c>
      <c r="T14" s="705" t="s">
        <v>14</v>
      </c>
      <c r="U14" s="706">
        <f t="shared" si="1"/>
        <v>100</v>
      </c>
      <c r="V14" s="705" t="s">
        <v>14</v>
      </c>
      <c r="W14" s="706">
        <f t="shared" si="2"/>
        <v>100</v>
      </c>
      <c r="X14" s="1354"/>
      <c r="Y14" s="367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80"/>
      <c r="Q15" s="1351"/>
      <c r="R15" s="705"/>
      <c r="S15" s="706"/>
      <c r="T15" s="705"/>
      <c r="U15" s="706"/>
      <c r="V15" s="705"/>
      <c r="W15" s="706"/>
      <c r="X15" s="1354"/>
      <c r="Y15" s="3680"/>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0"/>
      <c r="Q16" s="1351" t="str">
        <f>B16</f>
        <v>公共配套设施</v>
      </c>
      <c r="R16" s="705" t="s">
        <v>14</v>
      </c>
      <c r="S16" s="706">
        <f>F16</f>
        <v>100</v>
      </c>
      <c r="T16" s="705" t="s">
        <v>14</v>
      </c>
      <c r="U16" s="706">
        <f>H16</f>
        <v>100</v>
      </c>
      <c r="V16" s="705" t="s">
        <v>14</v>
      </c>
      <c r="W16" s="706">
        <f>J16</f>
        <v>100</v>
      </c>
      <c r="X16" s="1354"/>
      <c r="Y16" s="368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80"/>
      <c r="Q17" s="1351"/>
      <c r="R17" s="705"/>
      <c r="S17" s="706"/>
      <c r="T17" s="705"/>
      <c r="U17" s="706"/>
      <c r="V17" s="705"/>
      <c r="W17" s="706"/>
      <c r="X17" s="1354"/>
      <c r="Y17" s="3680"/>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0"/>
      <c r="Q18" s="1351" t="str">
        <f>B18</f>
        <v>基础设施水平</v>
      </c>
      <c r="R18" s="705" t="s">
        <v>14</v>
      </c>
      <c r="S18" s="706">
        <f>F18</f>
        <v>100</v>
      </c>
      <c r="T18" s="705" t="s">
        <v>14</v>
      </c>
      <c r="U18" s="706">
        <f>H18</f>
        <v>100</v>
      </c>
      <c r="V18" s="705" t="s">
        <v>14</v>
      </c>
      <c r="W18" s="706">
        <f>J18</f>
        <v>100</v>
      </c>
      <c r="X18" s="1354"/>
      <c r="Y18" s="368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680"/>
      <c r="Q19" s="1351"/>
      <c r="R19" s="705"/>
      <c r="S19" s="706"/>
      <c r="T19" s="705"/>
      <c r="U19" s="706"/>
      <c r="V19" s="705"/>
      <c r="W19" s="706"/>
      <c r="X19" s="1354"/>
      <c r="Y19" s="3680"/>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0"/>
      <c r="Q20" s="1351" t="str">
        <f>B20</f>
        <v>自然及人文环境</v>
      </c>
      <c r="R20" s="705" t="s">
        <v>14</v>
      </c>
      <c r="S20" s="706">
        <f>F20</f>
        <v>100</v>
      </c>
      <c r="T20" s="705" t="s">
        <v>14</v>
      </c>
      <c r="U20" s="706">
        <f>H20</f>
        <v>100</v>
      </c>
      <c r="V20" s="705" t="s">
        <v>14</v>
      </c>
      <c r="W20" s="706">
        <f>J20</f>
        <v>100</v>
      </c>
      <c r="X20" s="1354"/>
      <c r="Y20" s="368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80"/>
      <c r="Q21" s="1351"/>
      <c r="R21" s="705"/>
      <c r="S21" s="706"/>
      <c r="T21" s="705"/>
      <c r="U21" s="706"/>
      <c r="V21" s="705"/>
      <c r="W21" s="706"/>
      <c r="X21" s="1354"/>
      <c r="Y21" s="368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0"/>
      <c r="Q22" s="1351" t="str">
        <f>B22</f>
        <v>楼层</v>
      </c>
      <c r="R22" s="705" t="s">
        <v>14</v>
      </c>
      <c r="S22" s="706">
        <f>F22</f>
        <v>100</v>
      </c>
      <c r="T22" s="705" t="s">
        <v>14</v>
      </c>
      <c r="U22" s="706">
        <f>H22</f>
        <v>100</v>
      </c>
      <c r="V22" s="705" t="s">
        <v>14</v>
      </c>
      <c r="W22" s="706">
        <f>J22</f>
        <v>100</v>
      </c>
      <c r="X22" s="1354"/>
      <c r="Y22" s="368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0"/>
      <c r="Q23" s="1351">
        <f>B23</f>
        <v>111</v>
      </c>
      <c r="R23" s="705" t="s">
        <v>14</v>
      </c>
      <c r="S23" s="706">
        <f>F23</f>
        <v>100</v>
      </c>
      <c r="T23" s="705" t="s">
        <v>14</v>
      </c>
      <c r="U23" s="706">
        <f>H23</f>
        <v>100</v>
      </c>
      <c r="V23" s="705" t="s">
        <v>14</v>
      </c>
      <c r="W23" s="706">
        <f>J23</f>
        <v>100</v>
      </c>
      <c r="X23" s="1354"/>
      <c r="Y23" s="368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0"/>
      <c r="Q24" s="1351">
        <f t="shared" ref="Q24:Q36" si="11">B24</f>
        <v>111</v>
      </c>
      <c r="R24" s="705" t="s">
        <v>14</v>
      </c>
      <c r="S24" s="706">
        <f>F24</f>
        <v>100</v>
      </c>
      <c r="T24" s="705" t="s">
        <v>14</v>
      </c>
      <c r="U24" s="706">
        <f>H24</f>
        <v>100</v>
      </c>
      <c r="V24" s="705" t="s">
        <v>14</v>
      </c>
      <c r="W24" s="706">
        <f>J24</f>
        <v>100</v>
      </c>
      <c r="X24" s="1354"/>
      <c r="Y24" s="368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0"/>
      <c r="Q25" s="1342">
        <f t="shared" si="11"/>
        <v>111</v>
      </c>
      <c r="R25" s="701" t="s">
        <v>14</v>
      </c>
      <c r="S25" s="702">
        <f>F25</f>
        <v>100</v>
      </c>
      <c r="T25" s="701" t="s">
        <v>14</v>
      </c>
      <c r="U25" s="702">
        <f>H25</f>
        <v>100</v>
      </c>
      <c r="V25" s="701" t="s">
        <v>14</v>
      </c>
      <c r="W25" s="702">
        <f>J25</f>
        <v>100</v>
      </c>
      <c r="X25" s="703"/>
      <c r="Y25" s="3680"/>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8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2"/>
      <c r="Q27" s="707" t="str">
        <f t="shared" si="11"/>
        <v>项目停车位配比</v>
      </c>
      <c r="R27" s="708" t="s">
        <v>14</v>
      </c>
      <c r="S27" s="709">
        <f t="shared" si="12"/>
        <v>100</v>
      </c>
      <c r="T27" s="708" t="s">
        <v>14</v>
      </c>
      <c r="U27" s="709">
        <f t="shared" si="13"/>
        <v>100</v>
      </c>
      <c r="V27" s="708" t="s">
        <v>14</v>
      </c>
      <c r="W27" s="709">
        <f t="shared" si="14"/>
        <v>100</v>
      </c>
      <c r="X27" s="710"/>
      <c r="Y27" s="368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2"/>
      <c r="Q28" s="1351" t="str">
        <f t="shared" si="11"/>
        <v>公共部分装修</v>
      </c>
      <c r="R28" s="705" t="s">
        <v>14</v>
      </c>
      <c r="S28" s="706">
        <f t="shared" si="12"/>
        <v>100</v>
      </c>
      <c r="T28" s="705" t="s">
        <v>14</v>
      </c>
      <c r="U28" s="706">
        <f t="shared" si="13"/>
        <v>100</v>
      </c>
      <c r="V28" s="705" t="s">
        <v>14</v>
      </c>
      <c r="W28" s="706">
        <f t="shared" si="14"/>
        <v>100</v>
      </c>
      <c r="X28" s="1354"/>
      <c r="Y28" s="368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2"/>
      <c r="Q29" s="1351" t="str">
        <f t="shared" si="11"/>
        <v>成新率</v>
      </c>
      <c r="R29" s="705" t="s">
        <v>14</v>
      </c>
      <c r="S29" s="706" t="e">
        <f t="shared" si="12"/>
        <v>#N/A</v>
      </c>
      <c r="T29" s="705" t="s">
        <v>14</v>
      </c>
      <c r="U29" s="706" t="e">
        <f t="shared" si="13"/>
        <v>#N/A</v>
      </c>
      <c r="V29" s="705" t="s">
        <v>14</v>
      </c>
      <c r="W29" s="706" t="e">
        <f t="shared" si="14"/>
        <v>#N/A</v>
      </c>
      <c r="X29" s="1354"/>
      <c r="Y29" s="368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2"/>
      <c r="Q30" s="1351" t="str">
        <f t="shared" si="11"/>
        <v>物业等级</v>
      </c>
      <c r="R30" s="705" t="s">
        <v>14</v>
      </c>
      <c r="S30" s="706">
        <f t="shared" si="12"/>
        <v>100</v>
      </c>
      <c r="T30" s="705" t="s">
        <v>14</v>
      </c>
      <c r="U30" s="706">
        <f t="shared" si="13"/>
        <v>100</v>
      </c>
      <c r="V30" s="705" t="s">
        <v>14</v>
      </c>
      <c r="W30" s="706">
        <f t="shared" si="14"/>
        <v>100</v>
      </c>
      <c r="X30" s="1354"/>
      <c r="Y30" s="368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2"/>
      <c r="Q31" s="1342" t="str">
        <f t="shared" si="11"/>
        <v>停车位面积</v>
      </c>
      <c r="R31" s="701" t="s">
        <v>14</v>
      </c>
      <c r="S31" s="702" t="e">
        <f t="shared" si="12"/>
        <v>#N/A</v>
      </c>
      <c r="T31" s="701" t="s">
        <v>14</v>
      </c>
      <c r="U31" s="702" t="e">
        <f t="shared" si="13"/>
        <v>#N/A</v>
      </c>
      <c r="V31" s="701" t="s">
        <v>14</v>
      </c>
      <c r="W31" s="702" t="e">
        <f t="shared" si="14"/>
        <v>#N/A</v>
      </c>
      <c r="X31" s="703"/>
      <c r="Y31" s="368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2" t="s">
        <v>1696</v>
      </c>
      <c r="Q32" s="1351" t="str">
        <f t="shared" si="11"/>
        <v>车位类型</v>
      </c>
      <c r="R32" s="705" t="s">
        <v>14</v>
      </c>
      <c r="S32" s="706">
        <f t="shared" si="12"/>
        <v>100</v>
      </c>
      <c r="T32" s="705" t="s">
        <v>14</v>
      </c>
      <c r="U32" s="706">
        <f t="shared" si="13"/>
        <v>100</v>
      </c>
      <c r="V32" s="705" t="s">
        <v>14</v>
      </c>
      <c r="W32" s="706">
        <f t="shared" si="14"/>
        <v>100</v>
      </c>
      <c r="X32" s="1354"/>
      <c r="Y32" s="368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2"/>
      <c r="Q33" s="1351" t="str">
        <f t="shared" si="11"/>
        <v>是否直接入户</v>
      </c>
      <c r="R33" s="705" t="s">
        <v>14</v>
      </c>
      <c r="S33" s="706">
        <f t="shared" si="12"/>
        <v>100</v>
      </c>
      <c r="T33" s="705" t="s">
        <v>14</v>
      </c>
      <c r="U33" s="706">
        <f t="shared" si="13"/>
        <v>100</v>
      </c>
      <c r="V33" s="705" t="s">
        <v>14</v>
      </c>
      <c r="W33" s="706">
        <f t="shared" si="14"/>
        <v>100</v>
      </c>
      <c r="X33" s="1354"/>
      <c r="Y33" s="368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2"/>
      <c r="Q34" s="1351">
        <f t="shared" si="11"/>
        <v>111</v>
      </c>
      <c r="R34" s="705" t="s">
        <v>14</v>
      </c>
      <c r="S34" s="706">
        <f t="shared" si="12"/>
        <v>100</v>
      </c>
      <c r="T34" s="705" t="s">
        <v>14</v>
      </c>
      <c r="U34" s="706">
        <f t="shared" si="13"/>
        <v>100</v>
      </c>
      <c r="V34" s="705" t="s">
        <v>14</v>
      </c>
      <c r="W34" s="706">
        <f t="shared" si="14"/>
        <v>100</v>
      </c>
      <c r="X34" s="1354"/>
      <c r="Y34" s="368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2"/>
      <c r="Q36" s="1351">
        <f t="shared" si="11"/>
        <v>111</v>
      </c>
      <c r="R36" s="705" t="s">
        <v>14</v>
      </c>
      <c r="S36" s="706">
        <f t="shared" si="12"/>
        <v>100</v>
      </c>
      <c r="T36" s="705" t="s">
        <v>14</v>
      </c>
      <c r="U36" s="706">
        <f t="shared" si="13"/>
        <v>100</v>
      </c>
      <c r="V36" s="705" t="s">
        <v>14</v>
      </c>
      <c r="W36" s="706">
        <f t="shared" si="14"/>
        <v>100</v>
      </c>
      <c r="X36" s="1354"/>
      <c r="Y36" s="3682"/>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678" t="str">
        <f>A37</f>
        <v>成交单价</v>
      </c>
      <c r="Q37" s="3678"/>
      <c r="R37" s="3743">
        <f>E37</f>
        <v>0</v>
      </c>
      <c r="S37" s="3743"/>
      <c r="T37" s="3743">
        <f>G37</f>
        <v>0</v>
      </c>
      <c r="U37" s="3743"/>
      <c r="V37" s="3743">
        <f>I37</f>
        <v>0</v>
      </c>
      <c r="W37" s="3743"/>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78" t="str">
        <f>A38</f>
        <v>比较价值（元/平方米）</v>
      </c>
      <c r="Q38" s="3678"/>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2" t="str">
        <f>A39</f>
        <v>估价对象XX用房的比较价值（楼面单价，元/平方米）</v>
      </c>
      <c r="Q39" s="3673"/>
      <c r="R39" s="3765" t="e">
        <f>IF(F1="售价",ROUND(IF(D38="简单平均",AVERAGE(R38:W38),R38*F38+T38*H38+V38*J38),0),ROUND(IF(D38="简单平均",AVERAGE(R38:V38),R38*F38+T38*H38+V38*J38),1))</f>
        <v>#DIV/0!</v>
      </c>
      <c r="S39" s="3765"/>
      <c r="T39" s="3765"/>
      <c r="U39" s="3765"/>
      <c r="V39" s="3765"/>
      <c r="W39" s="376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2024-8</v>
      </c>
      <c r="D48" s="1184">
        <f>EDATE(C48,-1)</f>
        <v>45474</v>
      </c>
      <c r="E48" s="1184">
        <f t="shared" ref="E48:O48" si="16">EDATE(D48,-1)</f>
        <v>45444</v>
      </c>
      <c r="F48" s="1184">
        <f t="shared" si="16"/>
        <v>45413</v>
      </c>
      <c r="G48" s="1184">
        <f t="shared" si="16"/>
        <v>45383</v>
      </c>
      <c r="H48" s="1184">
        <f t="shared" si="16"/>
        <v>45352</v>
      </c>
      <c r="I48" s="1184">
        <f t="shared" si="16"/>
        <v>45323</v>
      </c>
      <c r="J48" s="1184">
        <f t="shared" si="16"/>
        <v>45292</v>
      </c>
      <c r="K48" s="1184">
        <f t="shared" si="16"/>
        <v>45261</v>
      </c>
      <c r="L48" s="1184">
        <f t="shared" si="16"/>
        <v>45231</v>
      </c>
      <c r="M48" s="1184">
        <f t="shared" si="16"/>
        <v>45200</v>
      </c>
      <c r="N48" s="1184">
        <f t="shared" si="16"/>
        <v>45170</v>
      </c>
      <c r="O48" s="1184">
        <f t="shared" si="16"/>
        <v>45139</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5" t="s">
        <v>1770</v>
      </c>
      <c r="D4" s="3687"/>
      <c r="E4" s="3688" t="s">
        <v>1771</v>
      </c>
      <c r="F4" s="3689"/>
      <c r="G4" s="3675" t="s">
        <v>1772</v>
      </c>
      <c r="H4" s="3687"/>
      <c r="I4" s="3675" t="s">
        <v>1773</v>
      </c>
      <c r="J4" s="3687"/>
      <c r="K4" s="559" t="s">
        <v>1774</v>
      </c>
      <c r="L4" s="2714"/>
      <c r="M4" s="2715"/>
      <c r="N4" s="2715"/>
      <c r="O4" s="2715"/>
      <c r="P4" s="3690" t="s">
        <v>1775</v>
      </c>
      <c r="Q4" s="3691"/>
      <c r="R4" s="3696" t="s">
        <v>1771</v>
      </c>
      <c r="S4" s="3697"/>
      <c r="T4" s="3696" t="s">
        <v>1772</v>
      </c>
      <c r="U4" s="3697"/>
      <c r="V4" s="3683" t="s">
        <v>1773</v>
      </c>
      <c r="W4" s="3683"/>
      <c r="X4" s="1354"/>
      <c r="Y4" s="3696" t="s">
        <v>1775</v>
      </c>
      <c r="Z4" s="3697"/>
      <c r="AA4" s="3684" t="s">
        <v>1771</v>
      </c>
      <c r="AB4" s="3685" t="s">
        <v>1772</v>
      </c>
      <c r="AC4" s="3684"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3"/>
      <c r="W5" s="3683"/>
      <c r="X5" s="1354"/>
      <c r="Y5" s="3698"/>
      <c r="Z5" s="3699"/>
      <c r="AA5" s="3685"/>
      <c r="AB5" s="3685"/>
      <c r="AC5" s="3685"/>
    </row>
    <row r="6" spans="1:29" ht="15.75" thickBot="1">
      <c r="A6" s="360"/>
      <c r="B6" s="361"/>
      <c r="C6" s="3702" t="s">
        <v>1677</v>
      </c>
      <c r="D6" s="3703"/>
      <c r="E6" s="3709" t="s">
        <v>1677</v>
      </c>
      <c r="F6" s="3710"/>
      <c r="G6" s="3702" t="s">
        <v>1677</v>
      </c>
      <c r="H6" s="3703"/>
      <c r="I6" s="3702" t="s">
        <v>1677</v>
      </c>
      <c r="J6" s="3703"/>
      <c r="K6" s="559" t="s">
        <v>1678</v>
      </c>
      <c r="L6" s="2714"/>
      <c r="M6" s="2715"/>
      <c r="N6" s="2715"/>
      <c r="O6" s="2715"/>
      <c r="P6" s="3694"/>
      <c r="Q6" s="3695"/>
      <c r="R6" s="3698"/>
      <c r="S6" s="3699"/>
      <c r="T6" s="3700"/>
      <c r="U6" s="3701"/>
      <c r="V6" s="3683"/>
      <c r="W6" s="3683"/>
      <c r="X6" s="1354"/>
      <c r="Y6" s="3700"/>
      <c r="Z6" s="3701"/>
      <c r="AA6" s="3686"/>
      <c r="AB6" s="3686"/>
      <c r="AC6" s="3686"/>
    </row>
    <row r="7" spans="1:29" s="108" customFormat="1" ht="15.75" thickBot="1">
      <c r="A7" s="362" t="s">
        <v>1679</v>
      </c>
      <c r="B7" s="363"/>
      <c r="C7" s="364">
        <f>'数据-取费表'!B2</f>
        <v>45526</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6" t="s">
        <v>1680</v>
      </c>
      <c r="Q7" s="3708"/>
      <c r="R7" s="701" t="s">
        <v>14</v>
      </c>
      <c r="S7" s="702">
        <f t="shared" ref="S7:S14" si="0">F7</f>
        <v>0</v>
      </c>
      <c r="T7" s="701" t="s">
        <v>14</v>
      </c>
      <c r="U7" s="702">
        <f t="shared" ref="U7:U14" si="1">H7</f>
        <v>0</v>
      </c>
      <c r="V7" s="701" t="s">
        <v>14</v>
      </c>
      <c r="W7" s="702">
        <f t="shared" ref="W7:W14" si="2">J7</f>
        <v>0</v>
      </c>
      <c r="X7" s="703"/>
      <c r="Y7" s="3706" t="s">
        <v>1680</v>
      </c>
      <c r="Z7" s="370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6" t="s">
        <v>1683</v>
      </c>
      <c r="Q8" s="3707"/>
      <c r="R8" s="701" t="s">
        <v>14</v>
      </c>
      <c r="S8" s="702">
        <f t="shared" si="0"/>
        <v>100</v>
      </c>
      <c r="T8" s="701" t="s">
        <v>14</v>
      </c>
      <c r="U8" s="702">
        <f t="shared" si="1"/>
        <v>100</v>
      </c>
      <c r="V8" s="701" t="s">
        <v>14</v>
      </c>
      <c r="W8" s="702">
        <f t="shared" si="2"/>
        <v>100</v>
      </c>
      <c r="X8" s="703"/>
      <c r="Y8" s="3706" t="s">
        <v>1683</v>
      </c>
      <c r="Z8" s="370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8" t="s">
        <v>1686</v>
      </c>
      <c r="Q9" s="1342"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8"/>
      <c r="Q10" s="1342"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8"/>
      <c r="Q11" s="1342">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8"/>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8"/>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9" t="s">
        <v>1691</v>
      </c>
      <c r="Q14" s="1351" t="str">
        <f t="shared" si="6"/>
        <v>交通便捷度</v>
      </c>
      <c r="R14" s="705" t="s">
        <v>14</v>
      </c>
      <c r="S14" s="706">
        <f t="shared" si="0"/>
        <v>100</v>
      </c>
      <c r="T14" s="705" t="s">
        <v>14</v>
      </c>
      <c r="U14" s="706">
        <f t="shared" si="1"/>
        <v>100</v>
      </c>
      <c r="V14" s="705" t="s">
        <v>14</v>
      </c>
      <c r="W14" s="706">
        <f t="shared" si="2"/>
        <v>100</v>
      </c>
      <c r="X14" s="1354"/>
      <c r="Y14" s="367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0"/>
      <c r="Q15" s="1351"/>
      <c r="R15" s="705"/>
      <c r="S15" s="706"/>
      <c r="T15" s="705"/>
      <c r="U15" s="706"/>
      <c r="V15" s="705"/>
      <c r="W15" s="706"/>
      <c r="X15" s="1354"/>
      <c r="Y15" s="368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0"/>
      <c r="Q16" s="1351" t="str">
        <f>B16</f>
        <v>公共配套设施</v>
      </c>
      <c r="R16" s="705" t="s">
        <v>14</v>
      </c>
      <c r="S16" s="706">
        <f>F16</f>
        <v>100</v>
      </c>
      <c r="T16" s="705" t="s">
        <v>14</v>
      </c>
      <c r="U16" s="706">
        <f>H16</f>
        <v>100</v>
      </c>
      <c r="V16" s="705" t="s">
        <v>14</v>
      </c>
      <c r="W16" s="706">
        <f>J16</f>
        <v>100</v>
      </c>
      <c r="X16" s="1354"/>
      <c r="Y16" s="368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0"/>
      <c r="Q17" s="1351"/>
      <c r="R17" s="705"/>
      <c r="S17" s="706"/>
      <c r="T17" s="705"/>
      <c r="U17" s="706"/>
      <c r="V17" s="705"/>
      <c r="W17" s="706"/>
      <c r="X17" s="1354"/>
      <c r="Y17" s="3680"/>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0"/>
      <c r="Q18" s="1351" t="str">
        <f>B18</f>
        <v>基础设施水平</v>
      </c>
      <c r="R18" s="705" t="s">
        <v>14</v>
      </c>
      <c r="S18" s="706">
        <f>F18</f>
        <v>100</v>
      </c>
      <c r="T18" s="705" t="s">
        <v>14</v>
      </c>
      <c r="U18" s="706">
        <f>H18</f>
        <v>100</v>
      </c>
      <c r="V18" s="705" t="s">
        <v>14</v>
      </c>
      <c r="W18" s="706">
        <f>J18</f>
        <v>100</v>
      </c>
      <c r="X18" s="1354"/>
      <c r="Y18" s="3680"/>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680"/>
      <c r="Q19" s="1351"/>
      <c r="R19" s="705"/>
      <c r="S19" s="706"/>
      <c r="T19" s="705"/>
      <c r="U19" s="706"/>
      <c r="V19" s="705"/>
      <c r="W19" s="706"/>
      <c r="X19" s="1354"/>
      <c r="Y19" s="368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0"/>
      <c r="Q20" s="1351" t="str">
        <f>B20</f>
        <v>自然及人文环境</v>
      </c>
      <c r="R20" s="705" t="s">
        <v>14</v>
      </c>
      <c r="S20" s="706">
        <f>F20</f>
        <v>100</v>
      </c>
      <c r="T20" s="705" t="s">
        <v>14</v>
      </c>
      <c r="U20" s="706">
        <f>H20</f>
        <v>100</v>
      </c>
      <c r="V20" s="705" t="s">
        <v>14</v>
      </c>
      <c r="W20" s="706">
        <f>J20</f>
        <v>100</v>
      </c>
      <c r="X20" s="1354"/>
      <c r="Y20" s="368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0"/>
      <c r="Q21" s="1351"/>
      <c r="R21" s="705"/>
      <c r="S21" s="706"/>
      <c r="T21" s="705"/>
      <c r="U21" s="706"/>
      <c r="V21" s="705"/>
      <c r="W21" s="706"/>
      <c r="X21" s="1354"/>
      <c r="Y21" s="368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0"/>
      <c r="Q22" s="1351" t="str">
        <f>B22</f>
        <v>楼层</v>
      </c>
      <c r="R22" s="705" t="s">
        <v>14</v>
      </c>
      <c r="S22" s="706">
        <f>F22</f>
        <v>100</v>
      </c>
      <c r="T22" s="705" t="s">
        <v>14</v>
      </c>
      <c r="U22" s="706">
        <f>H22</f>
        <v>100</v>
      </c>
      <c r="V22" s="705" t="s">
        <v>14</v>
      </c>
      <c r="W22" s="706">
        <f>J22</f>
        <v>100</v>
      </c>
      <c r="X22" s="1354"/>
      <c r="Y22" s="368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0"/>
      <c r="Q23" s="1351">
        <f>B23</f>
        <v>111</v>
      </c>
      <c r="R23" s="705" t="s">
        <v>14</v>
      </c>
      <c r="S23" s="706">
        <f>F23</f>
        <v>100</v>
      </c>
      <c r="T23" s="705" t="s">
        <v>14</v>
      </c>
      <c r="U23" s="706">
        <f>H23</f>
        <v>100</v>
      </c>
      <c r="V23" s="705" t="s">
        <v>14</v>
      </c>
      <c r="W23" s="706">
        <f>J23</f>
        <v>100</v>
      </c>
      <c r="X23" s="1354"/>
      <c r="Y23" s="368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0"/>
      <c r="Q24" s="1351">
        <f t="shared" ref="Q24:Q34" si="11">B24</f>
        <v>111</v>
      </c>
      <c r="R24" s="705" t="s">
        <v>14</v>
      </c>
      <c r="S24" s="706">
        <f>F24</f>
        <v>100</v>
      </c>
      <c r="T24" s="705" t="s">
        <v>14</v>
      </c>
      <c r="U24" s="706">
        <f>H24</f>
        <v>100</v>
      </c>
      <c r="V24" s="705" t="s">
        <v>14</v>
      </c>
      <c r="W24" s="706">
        <f>J24</f>
        <v>100</v>
      </c>
      <c r="X24" s="1354"/>
      <c r="Y24" s="3680"/>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0"/>
      <c r="Q25" s="1342">
        <f t="shared" si="11"/>
        <v>111</v>
      </c>
      <c r="R25" s="701" t="s">
        <v>14</v>
      </c>
      <c r="S25" s="702">
        <f>F25</f>
        <v>100</v>
      </c>
      <c r="T25" s="701" t="s">
        <v>14</v>
      </c>
      <c r="U25" s="702">
        <f>H25</f>
        <v>100</v>
      </c>
      <c r="V25" s="701" t="s">
        <v>14</v>
      </c>
      <c r="W25" s="702">
        <f>J25</f>
        <v>100</v>
      </c>
      <c r="X25" s="703"/>
      <c r="Y25" s="3680"/>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68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2"/>
      <c r="Q28" s="1351" t="str">
        <f t="shared" si="11"/>
        <v>物业等级</v>
      </c>
      <c r="R28" s="705" t="s">
        <v>14</v>
      </c>
      <c r="S28" s="706">
        <f t="shared" si="12"/>
        <v>100</v>
      </c>
      <c r="T28" s="705" t="s">
        <v>14</v>
      </c>
      <c r="U28" s="706">
        <f t="shared" si="13"/>
        <v>100</v>
      </c>
      <c r="V28" s="705" t="s">
        <v>14</v>
      </c>
      <c r="W28" s="706">
        <f t="shared" si="14"/>
        <v>100</v>
      </c>
      <c r="X28" s="1354"/>
      <c r="Y28" s="368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2"/>
      <c r="Q29" s="1351" t="str">
        <f t="shared" si="11"/>
        <v>有无电梯</v>
      </c>
      <c r="R29" s="705" t="s">
        <v>14</v>
      </c>
      <c r="S29" s="706">
        <f t="shared" si="12"/>
        <v>100</v>
      </c>
      <c r="T29" s="705" t="s">
        <v>14</v>
      </c>
      <c r="U29" s="706">
        <f t="shared" si="13"/>
        <v>100</v>
      </c>
      <c r="V29" s="705" t="s">
        <v>14</v>
      </c>
      <c r="W29" s="706">
        <f t="shared" si="14"/>
        <v>100</v>
      </c>
      <c r="X29" s="1354"/>
      <c r="Y29" s="368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2"/>
      <c r="Q30" s="1351" t="str">
        <f t="shared" si="11"/>
        <v>建筑面积</v>
      </c>
      <c r="R30" s="705" t="s">
        <v>14</v>
      </c>
      <c r="S30" s="706" t="e">
        <f t="shared" si="12"/>
        <v>#N/A</v>
      </c>
      <c r="T30" s="705" t="s">
        <v>14</v>
      </c>
      <c r="U30" s="706" t="e">
        <f t="shared" si="13"/>
        <v>#N/A</v>
      </c>
      <c r="V30" s="705" t="s">
        <v>14</v>
      </c>
      <c r="W30" s="706" t="e">
        <f t="shared" si="14"/>
        <v>#N/A</v>
      </c>
      <c r="X30" s="1354"/>
      <c r="Y30" s="368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2"/>
      <c r="Q31" s="1342"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2" t="s">
        <v>1696</v>
      </c>
      <c r="Q32" s="1351">
        <f t="shared" si="11"/>
        <v>111</v>
      </c>
      <c r="R32" s="705" t="s">
        <v>14</v>
      </c>
      <c r="S32" s="706">
        <f t="shared" si="12"/>
        <v>100</v>
      </c>
      <c r="T32" s="705" t="s">
        <v>14</v>
      </c>
      <c r="U32" s="706">
        <f t="shared" si="13"/>
        <v>100</v>
      </c>
      <c r="V32" s="705" t="s">
        <v>14</v>
      </c>
      <c r="W32" s="706">
        <f t="shared" si="14"/>
        <v>100</v>
      </c>
      <c r="X32" s="1354"/>
      <c r="Y32" s="368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2"/>
      <c r="Q33" s="1351">
        <f t="shared" si="11"/>
        <v>111</v>
      </c>
      <c r="R33" s="705" t="s">
        <v>14</v>
      </c>
      <c r="S33" s="706">
        <f t="shared" si="12"/>
        <v>100</v>
      </c>
      <c r="T33" s="705" t="s">
        <v>14</v>
      </c>
      <c r="U33" s="706">
        <f t="shared" si="13"/>
        <v>100</v>
      </c>
      <c r="V33" s="705" t="s">
        <v>14</v>
      </c>
      <c r="W33" s="706">
        <f t="shared" si="14"/>
        <v>100</v>
      </c>
      <c r="X33" s="1354"/>
      <c r="Y33" s="368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2"/>
      <c r="Q34" s="1351">
        <f t="shared" si="11"/>
        <v>111</v>
      </c>
      <c r="R34" s="705" t="s">
        <v>14</v>
      </c>
      <c r="S34" s="706">
        <f t="shared" si="12"/>
        <v>100</v>
      </c>
      <c r="T34" s="705" t="s">
        <v>14</v>
      </c>
      <c r="U34" s="706">
        <f t="shared" si="13"/>
        <v>100</v>
      </c>
      <c r="V34" s="705" t="s">
        <v>14</v>
      </c>
      <c r="W34" s="706">
        <f t="shared" si="14"/>
        <v>100</v>
      </c>
      <c r="X34" s="1354"/>
      <c r="Y34" s="368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678" t="str">
        <f>A35</f>
        <v>成交单价（元/平方米）</v>
      </c>
      <c r="Q35" s="3678"/>
      <c r="R35" s="3743">
        <f>E35</f>
        <v>0</v>
      </c>
      <c r="S35" s="3743"/>
      <c r="T35" s="3743">
        <f>G35</f>
        <v>0</v>
      </c>
      <c r="U35" s="3743"/>
      <c r="V35" s="3743">
        <f>I35</f>
        <v>0</v>
      </c>
      <c r="W35" s="3743"/>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78" t="str">
        <f>A36</f>
        <v>比较价值（元/平方米）</v>
      </c>
      <c r="Q36" s="3678"/>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2" t="str">
        <f>A37</f>
        <v>估价对象XX用房的比较价值（楼面单价，元/平方米）</v>
      </c>
      <c r="Q37" s="3673"/>
      <c r="R37" s="3765" t="e">
        <f>IF(F1="售价",ROUND(IF(D36="简单平均",AVERAGE(R36:W36),R36*F36+T36*H36+V36*J36),0),ROUND(IF(D36="简单平均",AVERAGE(R36:V36),R36*F36+T36*H36+V36*J36),1))</f>
        <v>#DIV/0!</v>
      </c>
      <c r="S37" s="3765"/>
      <c r="T37" s="3765"/>
      <c r="U37" s="3765"/>
      <c r="V37" s="3765"/>
      <c r="W37" s="376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2024-8</v>
      </c>
      <c r="D46" s="1184">
        <f>EDATE(C46,-1)</f>
        <v>45474</v>
      </c>
      <c r="E46" s="1184">
        <f t="shared" ref="E46:O46" si="16">EDATE(D46,-1)</f>
        <v>45444</v>
      </c>
      <c r="F46" s="1184">
        <f t="shared" si="16"/>
        <v>45413</v>
      </c>
      <c r="G46" s="1184">
        <f t="shared" si="16"/>
        <v>45383</v>
      </c>
      <c r="H46" s="1184">
        <f t="shared" si="16"/>
        <v>45352</v>
      </c>
      <c r="I46" s="1184">
        <f t="shared" si="16"/>
        <v>45323</v>
      </c>
      <c r="J46" s="1184">
        <f t="shared" si="16"/>
        <v>45292</v>
      </c>
      <c r="K46" s="1184">
        <f t="shared" si="16"/>
        <v>45261</v>
      </c>
      <c r="L46" s="1184">
        <f t="shared" si="16"/>
        <v>45231</v>
      </c>
      <c r="M46" s="1184">
        <f t="shared" si="16"/>
        <v>45200</v>
      </c>
      <c r="N46" s="1184">
        <f t="shared" si="16"/>
        <v>45170</v>
      </c>
      <c r="O46" s="1184">
        <f t="shared" si="16"/>
        <v>45139</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5" t="s">
        <v>1770</v>
      </c>
      <c r="D4" s="3687"/>
      <c r="E4" s="3688" t="s">
        <v>1771</v>
      </c>
      <c r="F4" s="3689"/>
      <c r="G4" s="3675" t="s">
        <v>1772</v>
      </c>
      <c r="H4" s="3687"/>
      <c r="I4" s="3675" t="s">
        <v>1773</v>
      </c>
      <c r="J4" s="3687"/>
      <c r="K4" s="559" t="s">
        <v>1774</v>
      </c>
      <c r="L4" s="2714"/>
      <c r="M4" s="2715"/>
      <c r="N4" s="2715"/>
      <c r="O4" s="2715"/>
      <c r="P4" s="3690" t="s">
        <v>1775</v>
      </c>
      <c r="Q4" s="3691"/>
      <c r="R4" s="3696" t="s">
        <v>1771</v>
      </c>
      <c r="S4" s="3697"/>
      <c r="T4" s="3696" t="s">
        <v>1772</v>
      </c>
      <c r="U4" s="3697"/>
      <c r="V4" s="3683" t="s">
        <v>1773</v>
      </c>
      <c r="W4" s="3683"/>
      <c r="X4" s="1354"/>
      <c r="Y4" s="3696" t="s">
        <v>1775</v>
      </c>
      <c r="Z4" s="3697"/>
      <c r="AA4" s="3684" t="s">
        <v>1771</v>
      </c>
      <c r="AB4" s="3685" t="s">
        <v>1772</v>
      </c>
      <c r="AC4" s="3684" t="s">
        <v>1773</v>
      </c>
    </row>
    <row r="5" spans="1:29" ht="15">
      <c r="A5" s="358"/>
      <c r="B5" s="359"/>
      <c r="C5" s="3704" t="s">
        <v>1673</v>
      </c>
      <c r="D5" s="3705"/>
      <c r="E5" s="3711" t="s">
        <v>1674</v>
      </c>
      <c r="F5" s="3712"/>
      <c r="G5" s="3704" t="s">
        <v>1675</v>
      </c>
      <c r="H5" s="3705"/>
      <c r="I5" s="3704" t="s">
        <v>1676</v>
      </c>
      <c r="J5" s="3705"/>
      <c r="K5" s="559"/>
      <c r="L5" s="2714"/>
      <c r="M5" s="2715"/>
      <c r="N5" s="2715"/>
      <c r="O5" s="2715"/>
      <c r="P5" s="3692"/>
      <c r="Q5" s="3693"/>
      <c r="R5" s="3698"/>
      <c r="S5" s="3699"/>
      <c r="T5" s="3698"/>
      <c r="U5" s="3699"/>
      <c r="V5" s="3683"/>
      <c r="W5" s="3683"/>
      <c r="X5" s="1354"/>
      <c r="Y5" s="3698"/>
      <c r="Z5" s="3699"/>
      <c r="AA5" s="3685"/>
      <c r="AB5" s="3685"/>
      <c r="AC5" s="3685"/>
    </row>
    <row r="6" spans="1:29" ht="15.75" thickBot="1">
      <c r="A6" s="360"/>
      <c r="B6" s="361"/>
      <c r="C6" s="3766" t="s">
        <v>1919</v>
      </c>
      <c r="D6" s="3767"/>
      <c r="E6" s="3768" t="s">
        <v>1919</v>
      </c>
      <c r="F6" s="3769"/>
      <c r="G6" s="3766" t="s">
        <v>1919</v>
      </c>
      <c r="H6" s="3767"/>
      <c r="I6" s="3766" t="s">
        <v>1919</v>
      </c>
      <c r="J6" s="3767"/>
      <c r="K6" s="559" t="s">
        <v>1678</v>
      </c>
      <c r="L6" s="2714"/>
      <c r="M6" s="2715"/>
      <c r="N6" s="2715"/>
      <c r="O6" s="2715"/>
      <c r="P6" s="3694"/>
      <c r="Q6" s="3695"/>
      <c r="R6" s="3698"/>
      <c r="S6" s="3699"/>
      <c r="T6" s="3700"/>
      <c r="U6" s="3701"/>
      <c r="V6" s="3683"/>
      <c r="W6" s="3683"/>
      <c r="X6" s="1354"/>
      <c r="Y6" s="3700"/>
      <c r="Z6" s="3701"/>
      <c r="AA6" s="3686"/>
      <c r="AB6" s="3686"/>
      <c r="AC6" s="3686"/>
    </row>
    <row r="7" spans="1:29" s="108" customFormat="1" ht="15.75" thickBot="1">
      <c r="A7" s="362" t="s">
        <v>1679</v>
      </c>
      <c r="B7" s="363"/>
      <c r="C7" s="364">
        <f>'数据-取费表'!B2</f>
        <v>45526</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6" t="s">
        <v>1680</v>
      </c>
      <c r="Q7" s="3708"/>
      <c r="R7" s="701" t="s">
        <v>14</v>
      </c>
      <c r="S7" s="702">
        <f t="shared" ref="S7:S15" si="0">F7</f>
        <v>0</v>
      </c>
      <c r="T7" s="701" t="s">
        <v>14</v>
      </c>
      <c r="U7" s="702">
        <f t="shared" ref="U7:U15" si="1">H7</f>
        <v>0</v>
      </c>
      <c r="V7" s="701" t="s">
        <v>14</v>
      </c>
      <c r="W7" s="702">
        <f t="shared" ref="W7:W15" si="2">J7</f>
        <v>0</v>
      </c>
      <c r="X7" s="703"/>
      <c r="Y7" s="3706" t="s">
        <v>1680</v>
      </c>
      <c r="Z7" s="370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6" t="s">
        <v>1683</v>
      </c>
      <c r="Q8" s="3707"/>
      <c r="R8" s="701" t="s">
        <v>14</v>
      </c>
      <c r="S8" s="702">
        <f t="shared" si="0"/>
        <v>0</v>
      </c>
      <c r="T8" s="701" t="s">
        <v>14</v>
      </c>
      <c r="U8" s="702">
        <f t="shared" si="1"/>
        <v>0</v>
      </c>
      <c r="V8" s="701" t="s">
        <v>14</v>
      </c>
      <c r="W8" s="702">
        <f t="shared" si="2"/>
        <v>0</v>
      </c>
      <c r="X8" s="703"/>
      <c r="Y8" s="3706" t="s">
        <v>1683</v>
      </c>
      <c r="Z8" s="3707"/>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8" t="s">
        <v>1686</v>
      </c>
      <c r="Q9" s="1342"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131</v>
      </c>
      <c r="G10" s="383"/>
      <c r="H10" s="127">
        <f>ROUND(100/'数据-取费表'!G16,0)</f>
        <v>131</v>
      </c>
      <c r="I10" s="383"/>
      <c r="J10" s="127">
        <f>ROUND(100/'数据-取费表'!G16,0)</f>
        <v>131</v>
      </c>
      <c r="K10" s="620"/>
      <c r="L10" s="2718"/>
      <c r="M10" s="2719"/>
      <c r="N10" s="2719"/>
      <c r="O10" s="2772"/>
      <c r="P10" s="3678"/>
      <c r="Q10" s="1342" t="str">
        <f t="shared" si="6"/>
        <v>土地使用年限（年）</v>
      </c>
      <c r="R10" s="701" t="s">
        <v>14</v>
      </c>
      <c r="S10" s="702">
        <f t="shared" si="0"/>
        <v>131</v>
      </c>
      <c r="T10" s="701" t="s">
        <v>14</v>
      </c>
      <c r="U10" s="702">
        <f t="shared" si="1"/>
        <v>131</v>
      </c>
      <c r="V10" s="701" t="s">
        <v>14</v>
      </c>
      <c r="W10" s="702">
        <f t="shared" si="2"/>
        <v>131</v>
      </c>
      <c r="X10" s="703"/>
      <c r="Y10" s="3578"/>
      <c r="Z10" s="52" t="str">
        <f t="shared" si="7"/>
        <v>土地使用年限（年）</v>
      </c>
      <c r="AA10" s="704">
        <f t="shared" si="3"/>
        <v>0.76335877862595425</v>
      </c>
      <c r="AB10" s="704">
        <f t="shared" si="4"/>
        <v>0.76335877862595425</v>
      </c>
      <c r="AC10" s="704">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8"/>
      <c r="Q11" s="1342"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8"/>
      <c r="Q12" s="1342">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8"/>
      <c r="Q13" s="1342">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8"/>
      <c r="Q14" s="1342">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9" t="s">
        <v>1691</v>
      </c>
      <c r="Q15" s="1351" t="str">
        <f t="shared" si="6"/>
        <v>产业集聚程度</v>
      </c>
      <c r="R15" s="705" t="s">
        <v>14</v>
      </c>
      <c r="S15" s="706">
        <f t="shared" si="0"/>
        <v>100</v>
      </c>
      <c r="T15" s="705" t="s">
        <v>14</v>
      </c>
      <c r="U15" s="706">
        <f t="shared" si="1"/>
        <v>100</v>
      </c>
      <c r="V15" s="705" t="s">
        <v>14</v>
      </c>
      <c r="W15" s="706">
        <f t="shared" si="2"/>
        <v>100</v>
      </c>
      <c r="X15" s="1354"/>
      <c r="Y15" s="367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80"/>
      <c r="Q16" s="1351"/>
      <c r="R16" s="705"/>
      <c r="S16" s="706"/>
      <c r="T16" s="705"/>
      <c r="U16" s="706"/>
      <c r="V16" s="705"/>
      <c r="W16" s="706"/>
      <c r="X16" s="1354"/>
      <c r="Y16" s="3680"/>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0"/>
      <c r="Q17" s="1351" t="str">
        <f>B17</f>
        <v>交通便捷度</v>
      </c>
      <c r="R17" s="705" t="s">
        <v>14</v>
      </c>
      <c r="S17" s="706">
        <f>F17</f>
        <v>100</v>
      </c>
      <c r="T17" s="705" t="s">
        <v>14</v>
      </c>
      <c r="U17" s="706">
        <f>H17</f>
        <v>100</v>
      </c>
      <c r="V17" s="705" t="s">
        <v>14</v>
      </c>
      <c r="W17" s="706">
        <f>J17</f>
        <v>100</v>
      </c>
      <c r="X17" s="1354"/>
      <c r="Y17" s="368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80"/>
      <c r="Q18" s="1351"/>
      <c r="R18" s="705"/>
      <c r="S18" s="706"/>
      <c r="T18" s="705"/>
      <c r="U18" s="706"/>
      <c r="V18" s="705"/>
      <c r="W18" s="706"/>
      <c r="X18" s="1354"/>
      <c r="Y18" s="3680"/>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0"/>
      <c r="Q19" s="1351" t="str">
        <f t="shared" ref="Q19:Q33" si="8">B19</f>
        <v>区域土地利用方向</v>
      </c>
      <c r="R19" s="705" t="s">
        <v>14</v>
      </c>
      <c r="S19" s="706">
        <f>F19</f>
        <v>100</v>
      </c>
      <c r="T19" s="705" t="s">
        <v>14</v>
      </c>
      <c r="U19" s="706">
        <f>H19</f>
        <v>100</v>
      </c>
      <c r="V19" s="705" t="s">
        <v>14</v>
      </c>
      <c r="W19" s="706">
        <f>J19</f>
        <v>100</v>
      </c>
      <c r="X19" s="1354"/>
      <c r="Y19" s="368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80"/>
      <c r="Q20" s="1351"/>
      <c r="R20" s="705"/>
      <c r="S20" s="706"/>
      <c r="T20" s="705"/>
      <c r="U20" s="706"/>
      <c r="V20" s="705"/>
      <c r="W20" s="706"/>
      <c r="X20" s="1354"/>
      <c r="Y20" s="3680"/>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0"/>
      <c r="Q21" s="1351" t="str">
        <f t="shared" si="8"/>
        <v>环境状况</v>
      </c>
      <c r="R21" s="705" t="s">
        <v>14</v>
      </c>
      <c r="S21" s="706">
        <f>F21</f>
        <v>100</v>
      </c>
      <c r="T21" s="705" t="s">
        <v>14</v>
      </c>
      <c r="U21" s="706">
        <f>H21</f>
        <v>100</v>
      </c>
      <c r="V21" s="705" t="s">
        <v>14</v>
      </c>
      <c r="W21" s="706">
        <f>J21</f>
        <v>100</v>
      </c>
      <c r="X21" s="1354"/>
      <c r="Y21" s="368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80"/>
      <c r="Q22" s="1351"/>
      <c r="R22" s="705"/>
      <c r="S22" s="706"/>
      <c r="T22" s="705"/>
      <c r="U22" s="706"/>
      <c r="V22" s="705"/>
      <c r="W22" s="706"/>
      <c r="X22" s="1354"/>
      <c r="Y22" s="3680"/>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0"/>
      <c r="Q23" s="1342" t="str">
        <f t="shared" si="8"/>
        <v>公共配套设施</v>
      </c>
      <c r="R23" s="701" t="s">
        <v>14</v>
      </c>
      <c r="S23" s="702">
        <f>F23</f>
        <v>100</v>
      </c>
      <c r="T23" s="701" t="s">
        <v>14</v>
      </c>
      <c r="U23" s="702">
        <f>H23</f>
        <v>100</v>
      </c>
      <c r="V23" s="701" t="s">
        <v>14</v>
      </c>
      <c r="W23" s="702">
        <f>J23</f>
        <v>100</v>
      </c>
      <c r="X23" s="703"/>
      <c r="Y23" s="3680"/>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80"/>
      <c r="Q24" s="1342"/>
      <c r="R24" s="701"/>
      <c r="S24" s="702"/>
      <c r="T24" s="701"/>
      <c r="U24" s="702"/>
      <c r="V24" s="701"/>
      <c r="W24" s="702"/>
      <c r="X24" s="703"/>
      <c r="Y24" s="368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0"/>
      <c r="Q25" s="1342"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80"/>
      <c r="Q26" s="1342"/>
      <c r="R26" s="701"/>
      <c r="S26" s="702"/>
      <c r="T26" s="701"/>
      <c r="U26" s="702"/>
      <c r="V26" s="701"/>
      <c r="W26" s="702"/>
      <c r="X26" s="703"/>
      <c r="Y26" s="36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0"/>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0"/>
      <c r="Q28" s="1351" t="str">
        <f t="shared" si="8"/>
        <v>毗邻道路的类型与等级</v>
      </c>
      <c r="R28" s="705" t="s">
        <v>14</v>
      </c>
      <c r="S28" s="706">
        <f t="shared" si="10"/>
        <v>100</v>
      </c>
      <c r="T28" s="705" t="s">
        <v>14</v>
      </c>
      <c r="U28" s="706">
        <f t="shared" si="11"/>
        <v>100</v>
      </c>
      <c r="V28" s="705" t="s">
        <v>14</v>
      </c>
      <c r="W28" s="706">
        <f t="shared" si="12"/>
        <v>100</v>
      </c>
      <c r="X28" s="1354"/>
      <c r="Y28" s="368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80"/>
      <c r="Q29" s="1351"/>
      <c r="R29" s="705"/>
      <c r="S29" s="706"/>
      <c r="T29" s="705"/>
      <c r="U29" s="706"/>
      <c r="V29" s="705"/>
      <c r="W29" s="706"/>
      <c r="X29" s="1354"/>
      <c r="Y29" s="368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0"/>
      <c r="Q30" s="1351" t="str">
        <f t="shared" si="8"/>
        <v>土地级别</v>
      </c>
      <c r="R30" s="705" t="s">
        <v>14</v>
      </c>
      <c r="S30" s="706">
        <f t="shared" si="10"/>
        <v>100</v>
      </c>
      <c r="T30" s="705" t="s">
        <v>14</v>
      </c>
      <c r="U30" s="706">
        <f t="shared" si="11"/>
        <v>100</v>
      </c>
      <c r="V30" s="705" t="s">
        <v>14</v>
      </c>
      <c r="W30" s="706">
        <f t="shared" si="12"/>
        <v>100</v>
      </c>
      <c r="X30" s="1354"/>
      <c r="Y30" s="3680"/>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0"/>
      <c r="Q31" s="1351">
        <f t="shared" si="8"/>
        <v>111</v>
      </c>
      <c r="R31" s="705" t="s">
        <v>14</v>
      </c>
      <c r="S31" s="706">
        <f t="shared" si="10"/>
        <v>100</v>
      </c>
      <c r="T31" s="705" t="s">
        <v>14</v>
      </c>
      <c r="U31" s="706">
        <f t="shared" si="11"/>
        <v>100</v>
      </c>
      <c r="V31" s="705" t="s">
        <v>14</v>
      </c>
      <c r="W31" s="706">
        <f t="shared" si="12"/>
        <v>100</v>
      </c>
      <c r="X31" s="1354"/>
      <c r="Y31" s="3680"/>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81" t="s">
        <v>1696</v>
      </c>
      <c r="Q32" s="1351">
        <f t="shared" si="8"/>
        <v>111</v>
      </c>
      <c r="R32" s="705" t="s">
        <v>14</v>
      </c>
      <c r="S32" s="706">
        <f t="shared" si="10"/>
        <v>100</v>
      </c>
      <c r="T32" s="705" t="s">
        <v>14</v>
      </c>
      <c r="U32" s="706">
        <f t="shared" si="11"/>
        <v>100</v>
      </c>
      <c r="V32" s="705" t="s">
        <v>14</v>
      </c>
      <c r="W32" s="706">
        <f t="shared" si="12"/>
        <v>100</v>
      </c>
      <c r="X32" s="1354"/>
      <c r="Y32" s="3682"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2"/>
      <c r="Q33" s="1351">
        <f t="shared" si="8"/>
        <v>111</v>
      </c>
      <c r="R33" s="708" t="s">
        <v>14</v>
      </c>
      <c r="S33" s="709">
        <f t="shared" si="10"/>
        <v>100</v>
      </c>
      <c r="T33" s="708" t="s">
        <v>14</v>
      </c>
      <c r="U33" s="709">
        <f t="shared" si="11"/>
        <v>100</v>
      </c>
      <c r="V33" s="708" t="s">
        <v>14</v>
      </c>
      <c r="W33" s="709">
        <f t="shared" si="12"/>
        <v>100</v>
      </c>
      <c r="X33" s="710"/>
      <c r="Y33" s="3682"/>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2"/>
      <c r="Q34" s="1351" t="str">
        <f>B34</f>
        <v>宗地面积</v>
      </c>
      <c r="R34" s="705" t="s">
        <v>14</v>
      </c>
      <c r="S34" s="706" t="e">
        <f t="shared" si="10"/>
        <v>#N/A</v>
      </c>
      <c r="T34" s="705" t="s">
        <v>14</v>
      </c>
      <c r="U34" s="706" t="e">
        <f t="shared" si="11"/>
        <v>#N/A</v>
      </c>
      <c r="V34" s="705" t="s">
        <v>14</v>
      </c>
      <c r="W34" s="706" t="e">
        <f t="shared" si="12"/>
        <v>#N/A</v>
      </c>
      <c r="X34" s="1354"/>
      <c r="Y34" s="368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2"/>
      <c r="Q35" s="1351" t="str">
        <f t="shared" ref="Q35:Q40" si="14">B35</f>
        <v>宗地形状</v>
      </c>
      <c r="R35" s="705" t="s">
        <v>14</v>
      </c>
      <c r="S35" s="706">
        <f t="shared" si="10"/>
        <v>100</v>
      </c>
      <c r="T35" s="705" t="s">
        <v>14</v>
      </c>
      <c r="U35" s="706">
        <f t="shared" si="11"/>
        <v>100</v>
      </c>
      <c r="V35" s="705" t="s">
        <v>14</v>
      </c>
      <c r="W35" s="706">
        <f t="shared" si="12"/>
        <v>100</v>
      </c>
      <c r="X35" s="1354"/>
      <c r="Y35" s="368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2"/>
      <c r="Q36" s="1351"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2" t="s">
        <v>1696</v>
      </c>
      <c r="Q37" s="1351" t="str">
        <f t="shared" si="14"/>
        <v>工程地质条件</v>
      </c>
      <c r="R37" s="705" t="s">
        <v>14</v>
      </c>
      <c r="S37" s="706">
        <f t="shared" si="10"/>
        <v>100</v>
      </c>
      <c r="T37" s="705" t="s">
        <v>14</v>
      </c>
      <c r="U37" s="706">
        <f t="shared" si="11"/>
        <v>100</v>
      </c>
      <c r="V37" s="705" t="s">
        <v>14</v>
      </c>
      <c r="W37" s="706">
        <f t="shared" si="12"/>
        <v>100</v>
      </c>
      <c r="X37" s="1354"/>
      <c r="Y37" s="3682"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2"/>
      <c r="Q38" s="1351">
        <f t="shared" si="14"/>
        <v>111</v>
      </c>
      <c r="R38" s="705" t="s">
        <v>14</v>
      </c>
      <c r="S38" s="706">
        <f t="shared" si="10"/>
        <v>100</v>
      </c>
      <c r="T38" s="705" t="s">
        <v>14</v>
      </c>
      <c r="U38" s="706">
        <f t="shared" si="11"/>
        <v>100</v>
      </c>
      <c r="V38" s="705" t="s">
        <v>14</v>
      </c>
      <c r="W38" s="706">
        <f t="shared" si="12"/>
        <v>100</v>
      </c>
      <c r="X38" s="1354"/>
      <c r="Y38" s="368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2"/>
      <c r="Q39" s="1351">
        <f t="shared" si="14"/>
        <v>111</v>
      </c>
      <c r="R39" s="705" t="s">
        <v>14</v>
      </c>
      <c r="S39" s="706">
        <f t="shared" si="10"/>
        <v>100</v>
      </c>
      <c r="T39" s="705" t="s">
        <v>14</v>
      </c>
      <c r="U39" s="706">
        <f t="shared" si="11"/>
        <v>100</v>
      </c>
      <c r="V39" s="705" t="s">
        <v>14</v>
      </c>
      <c r="W39" s="706">
        <f t="shared" si="12"/>
        <v>100</v>
      </c>
      <c r="X39" s="1354"/>
      <c r="Y39" s="3682"/>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2"/>
      <c r="Q40" s="1351">
        <f t="shared" si="14"/>
        <v>111</v>
      </c>
      <c r="R40" s="708" t="s">
        <v>14</v>
      </c>
      <c r="S40" s="709">
        <f t="shared" si="10"/>
        <v>100</v>
      </c>
      <c r="T40" s="708" t="s">
        <v>14</v>
      </c>
      <c r="U40" s="709">
        <f t="shared" si="11"/>
        <v>100</v>
      </c>
      <c r="V40" s="708" t="s">
        <v>14</v>
      </c>
      <c r="W40" s="709">
        <f t="shared" si="12"/>
        <v>100</v>
      </c>
      <c r="X40" s="710"/>
      <c r="Y40" s="3682"/>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78" t="str">
        <f>A41</f>
        <v>成交单价</v>
      </c>
      <c r="Q41" s="3678"/>
      <c r="R41" s="3683">
        <f>E41</f>
        <v>0</v>
      </c>
      <c r="S41" s="3683"/>
      <c r="T41" s="3683">
        <f>G41</f>
        <v>0</v>
      </c>
      <c r="U41" s="3683"/>
      <c r="V41" s="3683">
        <f>I41</f>
        <v>0</v>
      </c>
      <c r="W41" s="3683"/>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8" t="str">
        <f>A42</f>
        <v>比较价值（元/平方米）</v>
      </c>
      <c r="Q42" s="3678"/>
      <c r="R42" s="3671" t="e">
        <f>ROUND(PRODUCT(R41,AA7:AA40),0)</f>
        <v>#DIV/0!</v>
      </c>
      <c r="S42" s="3671"/>
      <c r="T42" s="3671" t="e">
        <f>ROUND(PRODUCT(T41,AB7:AB40),0)</f>
        <v>#DIV/0!</v>
      </c>
      <c r="U42" s="3671"/>
      <c r="V42" s="3671" t="e">
        <f>ROUND(PRODUCT(V41,AC7:AC40),0)</f>
        <v>#DIV/0!</v>
      </c>
      <c r="W42" s="367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2" t="str">
        <f>A43</f>
        <v>估价对象XX用房的比较价值（楼面单价，元/平方米）</v>
      </c>
      <c r="Q43" s="3673"/>
      <c r="R43" s="3674" t="e">
        <f>ROUND(IF(D42="简单平均",AVERAGE(R42:W42),R42*F42+T42*H42+V42*J42),0)</f>
        <v>#DIV/0!</v>
      </c>
      <c r="S43" s="3674"/>
      <c r="T43" s="3674"/>
      <c r="U43" s="3674"/>
      <c r="V43" s="3674"/>
      <c r="W43" s="367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5" t="s">
        <v>1887</v>
      </c>
      <c r="H50" s="367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9577.27</v>
      </c>
      <c r="F51" s="639" t="e">
        <f t="shared" ref="F51:F60" si="15">ROUND(B51*E51/10000,0)</f>
        <v>#DIV/0!</v>
      </c>
      <c r="G51" s="3677"/>
      <c r="H51" s="367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三级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三级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三级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7880.05</v>
      </c>
      <c r="F56" s="639" t="e">
        <f t="shared" si="15"/>
        <v>#DIV/0!</v>
      </c>
      <c r="G56" s="1986" t="s">
        <v>1896</v>
      </c>
      <c r="H56" s="887" t="str">
        <f>项目基本情况!C37</f>
        <v>三级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三级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三级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三级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3862.4</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22982</v>
      </c>
      <c r="C2" s="2144" t="s">
        <v>2074</v>
      </c>
      <c r="D2" s="2144" t="s">
        <v>2075</v>
      </c>
      <c r="E2" s="2611">
        <f ca="1">SUMIF(E6:E13,"&lt;&gt;#ref!",E6:E13)</f>
        <v>17457.32</v>
      </c>
      <c r="F2" s="2792"/>
      <c r="G2" s="2792"/>
      <c r="H2" s="2792"/>
      <c r="I2" s="2792"/>
      <c r="J2" s="2792"/>
      <c r="K2" s="2792"/>
      <c r="L2" s="2792"/>
      <c r="M2" s="2792"/>
      <c r="N2" s="2792"/>
      <c r="O2" s="2792"/>
      <c r="P2" s="2792"/>
    </row>
    <row r="3" spans="1:16" ht="15.75">
      <c r="A3" s="2144" t="s">
        <v>2076</v>
      </c>
      <c r="B3" s="2601">
        <f ca="1">ROUND(B2*10000/E2,0)</f>
        <v>13165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22982</v>
      </c>
      <c r="C6" s="2144" t="s">
        <v>2074</v>
      </c>
      <c r="D6" s="2792"/>
      <c r="E6" s="2611">
        <f ca="1">SUMIF(INDIRECT("'"&amp;A6&amp;"'"&amp;"!C:C"),"建筑面积",INDIRECT("'"&amp;A6&amp;"'"&amp;"!D:D"))</f>
        <v>17457.32</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5" t="s">
        <v>2607</v>
      </c>
      <c r="B20" s="3780" t="s">
        <v>2628</v>
      </c>
      <c r="C20" s="3102" t="s">
        <v>2439</v>
      </c>
      <c r="D20" s="3103"/>
      <c r="E20" s="3104">
        <v>1</v>
      </c>
      <c r="F20" s="3105" t="s">
        <v>2440</v>
      </c>
      <c r="G20" s="3105"/>
    </row>
    <row r="21" spans="1:13" ht="19.5" customHeight="1">
      <c r="A21" s="3786"/>
      <c r="B21" s="3779"/>
      <c r="C21" s="3106" t="s">
        <v>2441</v>
      </c>
      <c r="D21" s="3107"/>
      <c r="E21" s="3108">
        <v>1</v>
      </c>
      <c r="F21" s="3105" t="s">
        <v>2442</v>
      </c>
      <c r="G21" s="3105"/>
    </row>
    <row r="22" spans="1:13" ht="19.5" customHeight="1">
      <c r="A22" s="3786"/>
      <c r="B22" s="3779"/>
      <c r="C22" s="3106" t="s">
        <v>2443</v>
      </c>
      <c r="D22" s="3107"/>
      <c r="E22" s="3108">
        <v>0.9</v>
      </c>
      <c r="F22" s="3105" t="s">
        <v>2444</v>
      </c>
      <c r="G22" s="3105"/>
    </row>
    <row r="23" spans="1:13" ht="19.5" customHeight="1">
      <c r="A23" s="3786"/>
      <c r="B23" s="3779"/>
      <c r="C23" s="3106" t="s">
        <v>2445</v>
      </c>
      <c r="D23" s="3107"/>
      <c r="E23" s="3108">
        <v>0.9</v>
      </c>
      <c r="F23" s="3105" t="s">
        <v>2446</v>
      </c>
      <c r="G23" s="3105"/>
    </row>
    <row r="24" spans="1:13" ht="19.5" customHeight="1">
      <c r="A24" s="3786"/>
      <c r="B24" s="3779"/>
      <c r="C24" s="3106" t="s">
        <v>2447</v>
      </c>
      <c r="D24" s="3107"/>
      <c r="E24" s="3108">
        <v>0.8</v>
      </c>
      <c r="F24" s="3105" t="s">
        <v>2448</v>
      </c>
      <c r="G24" s="3105"/>
    </row>
    <row r="25" spans="1:13" ht="19.5" customHeight="1" thickBot="1">
      <c r="A25" s="3787"/>
      <c r="B25" s="3781"/>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2" t="s">
        <v>2631</v>
      </c>
      <c r="B27" s="3780" t="s">
        <v>2612</v>
      </c>
      <c r="C27" s="3102" t="s">
        <v>2452</v>
      </c>
      <c r="D27" s="3103"/>
      <c r="E27" s="3104">
        <v>1</v>
      </c>
      <c r="F27" s="3105" t="s">
        <v>2453</v>
      </c>
      <c r="G27" s="3105"/>
    </row>
    <row r="28" spans="1:13" ht="19.5" customHeight="1">
      <c r="A28" s="3783"/>
      <c r="B28" s="3779"/>
      <c r="C28" s="3106" t="s">
        <v>2454</v>
      </c>
      <c r="D28" s="3107"/>
      <c r="E28" s="3108">
        <v>1</v>
      </c>
      <c r="F28" s="3105" t="s">
        <v>2455</v>
      </c>
      <c r="G28" s="3105"/>
    </row>
    <row r="29" spans="1:13" ht="19.5" customHeight="1">
      <c r="A29" s="3783"/>
      <c r="B29" s="3779"/>
      <c r="C29" s="3106" t="s">
        <v>2456</v>
      </c>
      <c r="D29" s="3107"/>
      <c r="E29" s="3108">
        <v>0.8</v>
      </c>
      <c r="F29" s="3105" t="s">
        <v>2457</v>
      </c>
      <c r="G29" s="3105"/>
    </row>
    <row r="30" spans="1:13" ht="19.5" customHeight="1">
      <c r="A30" s="3783"/>
      <c r="B30" s="3779"/>
      <c r="C30" s="3106" t="s">
        <v>2458</v>
      </c>
      <c r="D30" s="3107"/>
      <c r="E30" s="3108">
        <v>0.8</v>
      </c>
      <c r="F30" s="3105" t="s">
        <v>2459</v>
      </c>
      <c r="G30" s="3105"/>
    </row>
    <row r="31" spans="1:13" ht="19.5" customHeight="1">
      <c r="A31" s="3783"/>
      <c r="B31" s="3779"/>
      <c r="C31" s="3106" t="s">
        <v>2460</v>
      </c>
      <c r="D31" s="3107"/>
      <c r="E31" s="3108">
        <v>0.8</v>
      </c>
      <c r="F31" s="3105" t="s">
        <v>2461</v>
      </c>
      <c r="G31" s="3105"/>
    </row>
    <row r="32" spans="1:13" ht="19.5" customHeight="1">
      <c r="A32" s="3783"/>
      <c r="B32" s="3779"/>
      <c r="C32" s="3106" t="s">
        <v>2462</v>
      </c>
      <c r="D32" s="3107"/>
      <c r="E32" s="3108">
        <v>0.7</v>
      </c>
      <c r="F32" s="3105" t="s">
        <v>2463</v>
      </c>
      <c r="G32" s="3105"/>
    </row>
    <row r="33" spans="1:7" ht="19.5" customHeight="1">
      <c r="A33" s="3783"/>
      <c r="B33" s="3779"/>
      <c r="C33" s="3106" t="s">
        <v>2464</v>
      </c>
      <c r="D33" s="3107"/>
      <c r="E33" s="3108">
        <v>0.8</v>
      </c>
      <c r="F33" s="3105" t="s">
        <v>2465</v>
      </c>
      <c r="G33" s="3105"/>
    </row>
    <row r="34" spans="1:7" ht="19.5" customHeight="1">
      <c r="A34" s="3783"/>
      <c r="B34" s="3779"/>
      <c r="C34" s="3106" t="s">
        <v>2466</v>
      </c>
      <c r="D34" s="3107"/>
      <c r="E34" s="3108">
        <v>0.6</v>
      </c>
      <c r="F34" s="3105" t="s">
        <v>2467</v>
      </c>
      <c r="G34" s="3105"/>
    </row>
    <row r="35" spans="1:7" ht="19.5" customHeight="1">
      <c r="A35" s="3783"/>
      <c r="B35" s="3779"/>
      <c r="C35" s="3106" t="s">
        <v>2468</v>
      </c>
      <c r="D35" s="3107"/>
      <c r="E35" s="3108">
        <v>0.2</v>
      </c>
      <c r="F35" s="3105" t="s">
        <v>2469</v>
      </c>
      <c r="G35" s="3105"/>
    </row>
    <row r="36" spans="1:7" ht="19.5" customHeight="1">
      <c r="A36" s="3783"/>
      <c r="B36" s="3779"/>
      <c r="C36" s="3106" t="s">
        <v>2470</v>
      </c>
      <c r="D36" s="3107"/>
      <c r="E36" s="3108">
        <v>0.2</v>
      </c>
      <c r="F36" s="3105" t="s">
        <v>2471</v>
      </c>
      <c r="G36" s="3105"/>
    </row>
    <row r="37" spans="1:7" ht="19.5" customHeight="1">
      <c r="A37" s="3783"/>
      <c r="B37" s="3777" t="s">
        <v>2632</v>
      </c>
      <c r="C37" s="3106" t="s">
        <v>2472</v>
      </c>
      <c r="D37" s="3107"/>
      <c r="E37" s="3108">
        <v>0.6</v>
      </c>
      <c r="F37" s="3105" t="s">
        <v>2473</v>
      </c>
      <c r="G37" s="3105"/>
    </row>
    <row r="38" spans="1:7" ht="19.5" customHeight="1">
      <c r="A38" s="3783"/>
      <c r="B38" s="3779"/>
      <c r="C38" s="3106" t="s">
        <v>2474</v>
      </c>
      <c r="D38" s="3107"/>
      <c r="E38" s="3108">
        <v>0.6</v>
      </c>
      <c r="F38" s="3105" t="s">
        <v>2475</v>
      </c>
      <c r="G38" s="3105"/>
    </row>
    <row r="39" spans="1:7" ht="19.5" customHeight="1" thickBot="1">
      <c r="A39" s="3784"/>
      <c r="B39" s="3781"/>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5" t="s">
        <v>2610</v>
      </c>
      <c r="B41" s="3780" t="s">
        <v>2634</v>
      </c>
      <c r="C41" s="3102" t="s">
        <v>2479</v>
      </c>
      <c r="D41" s="3103"/>
      <c r="E41" s="3104">
        <v>1</v>
      </c>
      <c r="F41" s="3105" t="s">
        <v>2480</v>
      </c>
      <c r="G41" s="3105"/>
    </row>
    <row r="42" spans="1:7" ht="19.5" customHeight="1">
      <c r="A42" s="3786"/>
      <c r="B42" s="3779"/>
      <c r="C42" s="3106" t="s">
        <v>2481</v>
      </c>
      <c r="D42" s="3107"/>
      <c r="E42" s="3108">
        <v>1</v>
      </c>
      <c r="F42" s="3105" t="s">
        <v>2482</v>
      </c>
      <c r="G42" s="3105"/>
    </row>
    <row r="43" spans="1:7" ht="19.5" customHeight="1">
      <c r="A43" s="3786"/>
      <c r="B43" s="3778"/>
      <c r="C43" s="3106" t="s">
        <v>2483</v>
      </c>
      <c r="D43" s="3107"/>
      <c r="E43" s="3108">
        <v>1.5</v>
      </c>
      <c r="F43" s="3105" t="s">
        <v>2484</v>
      </c>
      <c r="G43" s="3105"/>
    </row>
    <row r="44" spans="1:7" ht="19.5" customHeight="1">
      <c r="A44" s="3786"/>
      <c r="B44" s="3117" t="s">
        <v>2635</v>
      </c>
      <c r="C44" s="3106" t="s">
        <v>2636</v>
      </c>
      <c r="D44" s="3107"/>
      <c r="E44" s="3108">
        <v>2</v>
      </c>
      <c r="F44" s="3105" t="s">
        <v>2485</v>
      </c>
      <c r="G44" s="3105"/>
    </row>
    <row r="45" spans="1:7" ht="19.5" customHeight="1">
      <c r="A45" s="3786"/>
      <c r="B45" s="3777" t="s">
        <v>2637</v>
      </c>
      <c r="C45" s="3106" t="s">
        <v>2486</v>
      </c>
      <c r="D45" s="3107"/>
      <c r="E45" s="3108">
        <v>1</v>
      </c>
      <c r="F45" s="3105" t="s">
        <v>2487</v>
      </c>
      <c r="G45" s="3105"/>
    </row>
    <row r="46" spans="1:7" ht="19.5" customHeight="1">
      <c r="A46" s="3786"/>
      <c r="B46" s="3779"/>
      <c r="C46" s="3106" t="s">
        <v>2488</v>
      </c>
      <c r="D46" s="3107"/>
      <c r="E46" s="3108">
        <v>1</v>
      </c>
      <c r="F46" s="3105" t="s">
        <v>2489</v>
      </c>
      <c r="G46" s="3105"/>
    </row>
    <row r="47" spans="1:7" ht="19.5" customHeight="1">
      <c r="A47" s="3786"/>
      <c r="B47" s="3779"/>
      <c r="C47" s="3106" t="s">
        <v>2490</v>
      </c>
      <c r="D47" s="3107"/>
      <c r="E47" s="3108">
        <v>1</v>
      </c>
      <c r="F47" s="3105" t="s">
        <v>2491</v>
      </c>
      <c r="G47" s="3105"/>
    </row>
    <row r="48" spans="1:7" ht="19.5" customHeight="1">
      <c r="A48" s="3786"/>
      <c r="B48" s="3779"/>
      <c r="C48" s="3106" t="s">
        <v>2492</v>
      </c>
      <c r="D48" s="3107"/>
      <c r="E48" s="3108">
        <v>1</v>
      </c>
      <c r="F48" s="3105" t="s">
        <v>2493</v>
      </c>
      <c r="G48" s="3105"/>
    </row>
    <row r="49" spans="1:7" ht="19.5" customHeight="1">
      <c r="A49" s="3786"/>
      <c r="B49" s="3779"/>
      <c r="C49" s="3106" t="s">
        <v>2494</v>
      </c>
      <c r="D49" s="3107"/>
      <c r="E49" s="3108">
        <v>1</v>
      </c>
      <c r="F49" s="3105" t="s">
        <v>2495</v>
      </c>
      <c r="G49" s="3105"/>
    </row>
    <row r="50" spans="1:7" ht="19.5" customHeight="1">
      <c r="A50" s="3786"/>
      <c r="B50" s="3779"/>
      <c r="C50" s="3106" t="s">
        <v>2496</v>
      </c>
      <c r="D50" s="3107"/>
      <c r="E50" s="3108">
        <v>1</v>
      </c>
      <c r="F50" s="3105" t="s">
        <v>2497</v>
      </c>
      <c r="G50" s="3105"/>
    </row>
    <row r="51" spans="1:7" ht="19.5" customHeight="1" thickBot="1">
      <c r="A51" s="3787"/>
      <c r="B51" s="3781"/>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7" t="s">
        <v>2651</v>
      </c>
      <c r="C73" s="3091" t="s">
        <v>2652</v>
      </c>
      <c r="D73" s="3091" t="s">
        <v>2653</v>
      </c>
      <c r="E73" s="3117">
        <v>0.2</v>
      </c>
      <c r="F73" s="3117">
        <v>25</v>
      </c>
    </row>
    <row r="74" spans="1:7" ht="24">
      <c r="A74" s="3117">
        <v>2</v>
      </c>
      <c r="B74" s="3779"/>
      <c r="C74" s="3091" t="s">
        <v>2654</v>
      </c>
      <c r="D74" s="3091" t="s">
        <v>2655</v>
      </c>
      <c r="E74" s="3117">
        <v>0.2</v>
      </c>
      <c r="F74" s="3117">
        <v>25</v>
      </c>
    </row>
    <row r="75" spans="1:7" ht="24">
      <c r="A75" s="3117">
        <v>3</v>
      </c>
      <c r="B75" s="3779"/>
      <c r="C75" s="3091" t="s">
        <v>2656</v>
      </c>
      <c r="D75" s="3091" t="s">
        <v>2657</v>
      </c>
      <c r="E75" s="3117">
        <v>0.2</v>
      </c>
      <c r="F75" s="3117">
        <v>25</v>
      </c>
    </row>
    <row r="76" spans="1:7" ht="13.5">
      <c r="A76" s="3117">
        <v>4</v>
      </c>
      <c r="B76" s="3779"/>
      <c r="C76" s="3091" t="s">
        <v>2658</v>
      </c>
      <c r="D76" s="3091" t="s">
        <v>2659</v>
      </c>
      <c r="E76" s="3117">
        <v>0.15</v>
      </c>
      <c r="F76" s="3117">
        <v>20</v>
      </c>
    </row>
    <row r="77" spans="1:7" ht="24">
      <c r="A77" s="3117">
        <v>5</v>
      </c>
      <c r="B77" s="3779"/>
      <c r="C77" s="3091" t="s">
        <v>2660</v>
      </c>
      <c r="D77" s="3091" t="s">
        <v>2661</v>
      </c>
      <c r="E77" s="3117">
        <v>0.15</v>
      </c>
      <c r="F77" s="3117">
        <v>20</v>
      </c>
    </row>
    <row r="78" spans="1:7" ht="24">
      <c r="A78" s="3117">
        <v>6</v>
      </c>
      <c r="B78" s="3779"/>
      <c r="C78" s="3091" t="s">
        <v>2662</v>
      </c>
      <c r="D78" s="3091" t="s">
        <v>2663</v>
      </c>
      <c r="E78" s="3117">
        <v>0.15</v>
      </c>
      <c r="F78" s="3117">
        <v>20</v>
      </c>
    </row>
    <row r="79" spans="1:7" ht="24">
      <c r="A79" s="3117">
        <v>7</v>
      </c>
      <c r="B79" s="3779"/>
      <c r="C79" s="3091" t="s">
        <v>2664</v>
      </c>
      <c r="D79" s="3091" t="s">
        <v>2665</v>
      </c>
      <c r="E79" s="3117">
        <v>0.15</v>
      </c>
      <c r="F79" s="3117">
        <v>20</v>
      </c>
    </row>
    <row r="80" spans="1:7" ht="24">
      <c r="A80" s="3117">
        <v>8</v>
      </c>
      <c r="B80" s="3779"/>
      <c r="C80" s="3091" t="s">
        <v>2666</v>
      </c>
      <c r="D80" s="3091" t="s">
        <v>2667</v>
      </c>
      <c r="E80" s="3117">
        <v>0.1</v>
      </c>
      <c r="F80" s="3117">
        <v>15</v>
      </c>
    </row>
    <row r="81" spans="1:6" ht="24">
      <c r="A81" s="3117">
        <v>9</v>
      </c>
      <c r="B81" s="3779"/>
      <c r="C81" s="3091" t="s">
        <v>2668</v>
      </c>
      <c r="D81" s="3091" t="s">
        <v>2669</v>
      </c>
      <c r="E81" s="3117">
        <v>0.1</v>
      </c>
      <c r="F81" s="3117">
        <v>15</v>
      </c>
    </row>
    <row r="82" spans="1:6" ht="24">
      <c r="A82" s="3117">
        <v>10</v>
      </c>
      <c r="B82" s="3779"/>
      <c r="C82" s="3091" t="s">
        <v>2670</v>
      </c>
      <c r="D82" s="3091" t="s">
        <v>2671</v>
      </c>
      <c r="E82" s="3117">
        <v>0.1</v>
      </c>
      <c r="F82" s="3117">
        <v>15</v>
      </c>
    </row>
    <row r="83" spans="1:6" ht="24">
      <c r="A83" s="3117">
        <v>11</v>
      </c>
      <c r="B83" s="3779"/>
      <c r="C83" s="3091" t="s">
        <v>2672</v>
      </c>
      <c r="D83" s="3091" t="s">
        <v>2673</v>
      </c>
      <c r="E83" s="3117">
        <v>0.1</v>
      </c>
      <c r="F83" s="3117">
        <v>15</v>
      </c>
    </row>
    <row r="84" spans="1:6" ht="24">
      <c r="A84" s="3117">
        <v>12</v>
      </c>
      <c r="B84" s="3779"/>
      <c r="C84" s="3091" t="s">
        <v>2674</v>
      </c>
      <c r="D84" s="3091" t="s">
        <v>2675</v>
      </c>
      <c r="E84" s="3117">
        <v>0.1</v>
      </c>
      <c r="F84" s="3117">
        <v>15</v>
      </c>
    </row>
    <row r="85" spans="1:6" ht="13.5">
      <c r="A85" s="3117">
        <v>13</v>
      </c>
      <c r="B85" s="3779"/>
      <c r="C85" s="3091" t="s">
        <v>2676</v>
      </c>
      <c r="D85" s="3091" t="s">
        <v>2677</v>
      </c>
      <c r="E85" s="3117">
        <v>0.1</v>
      </c>
      <c r="F85" s="3117">
        <v>15</v>
      </c>
    </row>
    <row r="86" spans="1:6" ht="13.5">
      <c r="A86" s="3117">
        <v>14</v>
      </c>
      <c r="B86" s="3779"/>
      <c r="C86" s="3091" t="s">
        <v>2678</v>
      </c>
      <c r="D86" s="3091" t="s">
        <v>2679</v>
      </c>
      <c r="E86" s="3117">
        <v>0.1</v>
      </c>
      <c r="F86" s="3117">
        <v>15</v>
      </c>
    </row>
    <row r="87" spans="1:6" ht="13.5">
      <c r="A87" s="3117">
        <v>15</v>
      </c>
      <c r="B87" s="3779"/>
      <c r="C87" s="3091" t="s">
        <v>2680</v>
      </c>
      <c r="D87" s="3091" t="s">
        <v>2681</v>
      </c>
      <c r="E87" s="3117">
        <v>0.1</v>
      </c>
      <c r="F87" s="3117">
        <v>15</v>
      </c>
    </row>
    <row r="88" spans="1:6" ht="24">
      <c r="A88" s="3117">
        <v>16</v>
      </c>
      <c r="B88" s="3779"/>
      <c r="C88" s="3091" t="s">
        <v>2682</v>
      </c>
      <c r="D88" s="3091" t="s">
        <v>2683</v>
      </c>
      <c r="E88" s="3117">
        <v>0.1</v>
      </c>
      <c r="F88" s="3117">
        <v>15</v>
      </c>
    </row>
    <row r="89" spans="1:6" ht="24">
      <c r="A89" s="3117">
        <v>17</v>
      </c>
      <c r="B89" s="3778"/>
      <c r="C89" s="3091" t="s">
        <v>2684</v>
      </c>
      <c r="D89" s="3091" t="s">
        <v>2685</v>
      </c>
      <c r="E89" s="3117">
        <v>0.1</v>
      </c>
      <c r="F89" s="3117">
        <v>15</v>
      </c>
    </row>
    <row r="90" spans="1:6" ht="13.5">
      <c r="A90" s="3117">
        <v>18</v>
      </c>
      <c r="B90" s="3777" t="s">
        <v>2686</v>
      </c>
      <c r="C90" s="3091" t="s">
        <v>2687</v>
      </c>
      <c r="D90" s="3091" t="s">
        <v>2688</v>
      </c>
      <c r="E90" s="3117">
        <v>0.2</v>
      </c>
      <c r="F90" s="3117">
        <v>25</v>
      </c>
    </row>
    <row r="91" spans="1:6" ht="24">
      <c r="A91" s="3117">
        <v>19</v>
      </c>
      <c r="B91" s="3779"/>
      <c r="C91" s="3091" t="s">
        <v>2689</v>
      </c>
      <c r="D91" s="3091" t="s">
        <v>2690</v>
      </c>
      <c r="E91" s="3117">
        <v>0.2</v>
      </c>
      <c r="F91" s="3117">
        <v>25</v>
      </c>
    </row>
    <row r="92" spans="1:6" ht="13.5">
      <c r="A92" s="3117">
        <v>20</v>
      </c>
      <c r="B92" s="3779"/>
      <c r="C92" s="3091" t="s">
        <v>2691</v>
      </c>
      <c r="D92" s="3091" t="s">
        <v>2692</v>
      </c>
      <c r="E92" s="3117">
        <v>0.15</v>
      </c>
      <c r="F92" s="3117">
        <v>20</v>
      </c>
    </row>
    <row r="93" spans="1:6" ht="13.5">
      <c r="A93" s="3117">
        <v>21</v>
      </c>
      <c r="B93" s="3779"/>
      <c r="C93" s="3091" t="s">
        <v>2693</v>
      </c>
      <c r="D93" s="3091" t="s">
        <v>2694</v>
      </c>
      <c r="E93" s="3117">
        <v>0.15</v>
      </c>
      <c r="F93" s="3117">
        <v>20</v>
      </c>
    </row>
    <row r="94" spans="1:6" ht="13.5">
      <c r="A94" s="3117">
        <v>22</v>
      </c>
      <c r="B94" s="3779"/>
      <c r="C94" s="3091" t="s">
        <v>2695</v>
      </c>
      <c r="D94" s="3091" t="s">
        <v>2696</v>
      </c>
      <c r="E94" s="3117">
        <v>0.15</v>
      </c>
      <c r="F94" s="3117">
        <v>20</v>
      </c>
    </row>
    <row r="95" spans="1:6" ht="36">
      <c r="A95" s="3117">
        <v>23</v>
      </c>
      <c r="B95" s="3779"/>
      <c r="C95" s="3091" t="s">
        <v>2697</v>
      </c>
      <c r="D95" s="3091" t="s">
        <v>2698</v>
      </c>
      <c r="E95" s="3117">
        <v>0.15</v>
      </c>
      <c r="F95" s="3117">
        <v>20</v>
      </c>
    </row>
    <row r="96" spans="1:6" ht="13.5">
      <c r="A96" s="3117">
        <v>24</v>
      </c>
      <c r="B96" s="3779"/>
      <c r="C96" s="3091" t="s">
        <v>2699</v>
      </c>
      <c r="D96" s="3091" t="s">
        <v>2700</v>
      </c>
      <c r="E96" s="3117">
        <v>0.1</v>
      </c>
      <c r="F96" s="3117">
        <v>15</v>
      </c>
    </row>
    <row r="97" spans="1:6" ht="13.5">
      <c r="A97" s="3117">
        <v>25</v>
      </c>
      <c r="B97" s="3779"/>
      <c r="C97" s="3091" t="s">
        <v>2701</v>
      </c>
      <c r="D97" s="3091" t="s">
        <v>2702</v>
      </c>
      <c r="E97" s="3117">
        <v>0.1</v>
      </c>
      <c r="F97" s="3117">
        <v>15</v>
      </c>
    </row>
    <row r="98" spans="1:6" ht="24">
      <c r="A98" s="3117">
        <v>26</v>
      </c>
      <c r="B98" s="3779"/>
      <c r="C98" s="3091" t="s">
        <v>2703</v>
      </c>
      <c r="D98" s="3091" t="s">
        <v>2704</v>
      </c>
      <c r="E98" s="3117">
        <v>0.1</v>
      </c>
      <c r="F98" s="3117">
        <v>15</v>
      </c>
    </row>
    <row r="99" spans="1:6" ht="24">
      <c r="A99" s="3117">
        <v>27</v>
      </c>
      <c r="B99" s="3779"/>
      <c r="C99" s="3091" t="s">
        <v>2705</v>
      </c>
      <c r="D99" s="3091" t="s">
        <v>2706</v>
      </c>
      <c r="E99" s="3117">
        <v>0.1</v>
      </c>
      <c r="F99" s="3117">
        <v>15</v>
      </c>
    </row>
    <row r="100" spans="1:6" ht="13.5">
      <c r="A100" s="3117">
        <v>28</v>
      </c>
      <c r="B100" s="3779"/>
      <c r="C100" s="3091" t="s">
        <v>2707</v>
      </c>
      <c r="D100" s="3091" t="s">
        <v>2708</v>
      </c>
      <c r="E100" s="3117">
        <v>0.1</v>
      </c>
      <c r="F100" s="3117">
        <v>15</v>
      </c>
    </row>
    <row r="101" spans="1:6" ht="13.5">
      <c r="A101" s="3117">
        <v>29</v>
      </c>
      <c r="B101" s="3779"/>
      <c r="C101" s="3091" t="s">
        <v>2709</v>
      </c>
      <c r="D101" s="3091" t="s">
        <v>2710</v>
      </c>
      <c r="E101" s="3117">
        <v>0.1</v>
      </c>
      <c r="F101" s="3117">
        <v>15</v>
      </c>
    </row>
    <row r="102" spans="1:6" ht="13.5">
      <c r="A102" s="3117">
        <v>30</v>
      </c>
      <c r="B102" s="3779"/>
      <c r="C102" s="3091" t="s">
        <v>2711</v>
      </c>
      <c r="D102" s="3091" t="s">
        <v>2712</v>
      </c>
      <c r="E102" s="3117">
        <v>0.1</v>
      </c>
      <c r="F102" s="3117">
        <v>15</v>
      </c>
    </row>
    <row r="103" spans="1:6" ht="24">
      <c r="A103" s="3117">
        <v>31</v>
      </c>
      <c r="B103" s="3779"/>
      <c r="C103" s="3091" t="s">
        <v>2713</v>
      </c>
      <c r="D103" s="3091" t="s">
        <v>2714</v>
      </c>
      <c r="E103" s="3117">
        <v>0.1</v>
      </c>
      <c r="F103" s="3117">
        <v>15</v>
      </c>
    </row>
    <row r="104" spans="1:6" ht="24">
      <c r="A104" s="3117">
        <v>32</v>
      </c>
      <c r="B104" s="3779"/>
      <c r="C104" s="3091" t="s">
        <v>2715</v>
      </c>
      <c r="D104" s="3091" t="s">
        <v>2716</v>
      </c>
      <c r="E104" s="3117">
        <v>0.1</v>
      </c>
      <c r="F104" s="3117">
        <v>15</v>
      </c>
    </row>
    <row r="105" spans="1:6" ht="24">
      <c r="A105" s="3117">
        <v>33</v>
      </c>
      <c r="B105" s="3779"/>
      <c r="C105" s="3091" t="s">
        <v>2717</v>
      </c>
      <c r="D105" s="3091" t="s">
        <v>2718</v>
      </c>
      <c r="E105" s="3117">
        <v>0.1</v>
      </c>
      <c r="F105" s="3117">
        <v>15</v>
      </c>
    </row>
    <row r="106" spans="1:6" ht="24">
      <c r="A106" s="3117">
        <v>34</v>
      </c>
      <c r="B106" s="3778"/>
      <c r="C106" s="3091" t="s">
        <v>2719</v>
      </c>
      <c r="D106" s="3091" t="s">
        <v>2720</v>
      </c>
      <c r="E106" s="3117">
        <v>0.1</v>
      </c>
      <c r="F106" s="3117">
        <v>15</v>
      </c>
    </row>
    <row r="107" spans="1:6" ht="24">
      <c r="A107" s="3117">
        <v>35</v>
      </c>
      <c r="B107" s="3777" t="s">
        <v>2721</v>
      </c>
      <c r="C107" s="3117" t="s">
        <v>2722</v>
      </c>
      <c r="D107" s="3091" t="s">
        <v>2723</v>
      </c>
      <c r="E107" s="3117">
        <v>0.15</v>
      </c>
      <c r="F107" s="3117">
        <v>20</v>
      </c>
    </row>
    <row r="108" spans="1:6" ht="13.5">
      <c r="A108" s="3117">
        <v>36</v>
      </c>
      <c r="B108" s="3779"/>
      <c r="C108" s="3117" t="s">
        <v>2724</v>
      </c>
      <c r="D108" s="3091" t="s">
        <v>2725</v>
      </c>
      <c r="E108" s="3117">
        <v>0.15</v>
      </c>
      <c r="F108" s="3117">
        <v>20</v>
      </c>
    </row>
    <row r="109" spans="1:6" ht="13.5">
      <c r="A109" s="3117">
        <v>37</v>
      </c>
      <c r="B109" s="3779"/>
      <c r="C109" s="3117" t="s">
        <v>2726</v>
      </c>
      <c r="D109" s="3091" t="s">
        <v>2727</v>
      </c>
      <c r="E109" s="3117">
        <v>0.15</v>
      </c>
      <c r="F109" s="3117">
        <v>20</v>
      </c>
    </row>
    <row r="110" spans="1:6" ht="13.5">
      <c r="A110" s="3117">
        <v>38</v>
      </c>
      <c r="B110" s="3779"/>
      <c r="C110" s="3117" t="s">
        <v>2728</v>
      </c>
      <c r="D110" s="3091" t="s">
        <v>2729</v>
      </c>
      <c r="E110" s="3117">
        <v>0.1</v>
      </c>
      <c r="F110" s="3117">
        <v>15</v>
      </c>
    </row>
    <row r="111" spans="1:6" ht="24">
      <c r="A111" s="3117">
        <v>39</v>
      </c>
      <c r="B111" s="3779"/>
      <c r="C111" s="3117" t="s">
        <v>2730</v>
      </c>
      <c r="D111" s="3091" t="s">
        <v>2731</v>
      </c>
      <c r="E111" s="3117">
        <v>0.1</v>
      </c>
      <c r="F111" s="3117">
        <v>15</v>
      </c>
    </row>
    <row r="112" spans="1:6" ht="24">
      <c r="A112" s="3117">
        <v>40</v>
      </c>
      <c r="B112" s="3778"/>
      <c r="C112" s="3117" t="s">
        <v>2732</v>
      </c>
      <c r="D112" s="3091" t="s">
        <v>2733</v>
      </c>
      <c r="E112" s="3117">
        <v>0.1</v>
      </c>
      <c r="F112" s="3117">
        <v>15</v>
      </c>
    </row>
    <row r="113" spans="1:6" ht="13.5">
      <c r="A113" s="3117">
        <v>41</v>
      </c>
      <c r="B113" s="3776" t="s">
        <v>2734</v>
      </c>
      <c r="C113" s="3117" t="s">
        <v>2735</v>
      </c>
      <c r="D113" s="3091" t="s">
        <v>2736</v>
      </c>
      <c r="E113" s="3117">
        <v>0.1</v>
      </c>
      <c r="F113" s="3117">
        <v>15</v>
      </c>
    </row>
    <row r="114" spans="1:6" ht="13.5">
      <c r="A114" s="3117">
        <v>42</v>
      </c>
      <c r="B114" s="3776"/>
      <c r="C114" s="3117" t="s">
        <v>2737</v>
      </c>
      <c r="D114" s="3091" t="s">
        <v>2738</v>
      </c>
      <c r="E114" s="3117">
        <v>0.1</v>
      </c>
      <c r="F114" s="3117">
        <v>15</v>
      </c>
    </row>
    <row r="115" spans="1:6" ht="24">
      <c r="A115" s="3117">
        <v>43</v>
      </c>
      <c r="B115" s="3776"/>
      <c r="C115" s="3117" t="s">
        <v>2739</v>
      </c>
      <c r="D115" s="3091" t="s">
        <v>2740</v>
      </c>
      <c r="E115" s="3117">
        <v>0.1</v>
      </c>
      <c r="F115" s="3117">
        <v>15</v>
      </c>
    </row>
    <row r="116" spans="1:6" ht="13.5">
      <c r="A116" s="3117">
        <v>44</v>
      </c>
      <c r="B116" s="3777" t="s">
        <v>2741</v>
      </c>
      <c r="C116" s="3117" t="s">
        <v>2742</v>
      </c>
      <c r="D116" s="3091" t="s">
        <v>2743</v>
      </c>
      <c r="E116" s="3117">
        <v>0.1</v>
      </c>
      <c r="F116" s="3117">
        <v>15</v>
      </c>
    </row>
    <row r="117" spans="1:6" ht="24">
      <c r="A117" s="3117">
        <v>45</v>
      </c>
      <c r="B117" s="3778"/>
      <c r="C117" s="3091" t="s">
        <v>2744</v>
      </c>
      <c r="D117" s="3091" t="s">
        <v>2745</v>
      </c>
      <c r="E117" s="3117">
        <v>0.1</v>
      </c>
      <c r="F117" s="3117">
        <v>15</v>
      </c>
    </row>
    <row r="118" spans="1:6" ht="24">
      <c r="A118" s="3117">
        <v>46</v>
      </c>
      <c r="B118" s="3777" t="s">
        <v>2746</v>
      </c>
      <c r="C118" s="3117" t="s">
        <v>2747</v>
      </c>
      <c r="D118" s="3091" t="s">
        <v>2748</v>
      </c>
      <c r="E118" s="3117">
        <v>0.1</v>
      </c>
      <c r="F118" s="3117">
        <v>15</v>
      </c>
    </row>
    <row r="119" spans="1:6" ht="24">
      <c r="A119" s="3117">
        <v>47</v>
      </c>
      <c r="B119" s="3778"/>
      <c r="C119" s="3117" t="s">
        <v>2749</v>
      </c>
      <c r="D119" s="3091" t="s">
        <v>2750</v>
      </c>
      <c r="E119" s="3117">
        <v>0.1</v>
      </c>
      <c r="F119" s="3117">
        <v>15</v>
      </c>
    </row>
    <row r="120" spans="1:6" ht="13.5">
      <c r="A120" s="3117">
        <v>48</v>
      </c>
      <c r="B120" s="3777" t="s">
        <v>2751</v>
      </c>
      <c r="C120" s="3117" t="s">
        <v>2752</v>
      </c>
      <c r="D120" s="3091" t="s">
        <v>2753</v>
      </c>
      <c r="E120" s="3117">
        <v>0.1</v>
      </c>
      <c r="F120" s="3117">
        <v>15</v>
      </c>
    </row>
    <row r="121" spans="1:6" ht="13.5">
      <c r="A121" s="3117">
        <v>49</v>
      </c>
      <c r="B121" s="3778"/>
      <c r="C121" s="3117" t="s">
        <v>2754</v>
      </c>
      <c r="D121" s="3091" t="s">
        <v>2755</v>
      </c>
      <c r="E121" s="3117">
        <v>0.1</v>
      </c>
      <c r="F121" s="3117">
        <v>15</v>
      </c>
    </row>
    <row r="122" spans="1:6" ht="24">
      <c r="A122" s="3117">
        <v>50</v>
      </c>
      <c r="B122" s="3776" t="s">
        <v>2756</v>
      </c>
      <c r="C122" s="3117" t="s">
        <v>2757</v>
      </c>
      <c r="D122" s="3091" t="s">
        <v>2758</v>
      </c>
      <c r="E122" s="3117">
        <v>0.1</v>
      </c>
      <c r="F122" s="3117">
        <v>15</v>
      </c>
    </row>
    <row r="123" spans="1:6" ht="24">
      <c r="A123" s="3117">
        <v>51</v>
      </c>
      <c r="B123" s="3776"/>
      <c r="C123" s="3117" t="s">
        <v>2759</v>
      </c>
      <c r="D123" s="3091" t="s">
        <v>2760</v>
      </c>
      <c r="E123" s="3117">
        <v>0.1</v>
      </c>
      <c r="F123" s="3117">
        <v>15</v>
      </c>
    </row>
    <row r="124" spans="1:6" ht="24">
      <c r="A124" s="3117">
        <v>52</v>
      </c>
      <c r="B124" s="3776" t="s">
        <v>2761</v>
      </c>
      <c r="C124" s="3117" t="s">
        <v>2762</v>
      </c>
      <c r="D124" s="3091" t="s">
        <v>2763</v>
      </c>
      <c r="E124" s="3117">
        <v>0.1</v>
      </c>
      <c r="F124" s="3117">
        <v>15</v>
      </c>
    </row>
    <row r="125" spans="1:6" ht="24">
      <c r="A125" s="3117">
        <v>53</v>
      </c>
      <c r="B125" s="3776"/>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76" t="s">
        <v>2769</v>
      </c>
      <c r="C127" s="3117" t="s">
        <v>2770</v>
      </c>
      <c r="D127" s="3091" t="s">
        <v>2771</v>
      </c>
      <c r="E127" s="3117">
        <v>0.1</v>
      </c>
      <c r="F127" s="3117">
        <v>15</v>
      </c>
    </row>
    <row r="128" spans="1:6" ht="13.5">
      <c r="A128" s="3117">
        <v>56</v>
      </c>
      <c r="B128" s="3776"/>
      <c r="C128" s="3117" t="s">
        <v>2772</v>
      </c>
      <c r="D128" s="3091" t="s">
        <v>2773</v>
      </c>
      <c r="E128" s="3117">
        <v>0.1</v>
      </c>
      <c r="F128" s="3117">
        <v>15</v>
      </c>
    </row>
    <row r="129" spans="1:6" ht="24">
      <c r="A129" s="3117">
        <v>57</v>
      </c>
      <c r="B129" s="3776"/>
      <c r="C129" s="3117" t="s">
        <v>2774</v>
      </c>
      <c r="D129" s="3091" t="s">
        <v>2775</v>
      </c>
      <c r="E129" s="3117">
        <v>0.1</v>
      </c>
      <c r="F129" s="3117">
        <v>15</v>
      </c>
    </row>
    <row r="130" spans="1:6" ht="24">
      <c r="A130" s="3117">
        <v>58</v>
      </c>
      <c r="B130" s="3776" t="s">
        <v>2776</v>
      </c>
      <c r="C130" s="3117" t="s">
        <v>2777</v>
      </c>
      <c r="D130" s="3091" t="s">
        <v>2778</v>
      </c>
      <c r="E130" s="3117">
        <v>0.1</v>
      </c>
      <c r="F130" s="3117">
        <v>15</v>
      </c>
    </row>
    <row r="131" spans="1:6" ht="13.5">
      <c r="A131" s="3117">
        <v>59</v>
      </c>
      <c r="B131" s="3776"/>
      <c r="C131" s="3117" t="s">
        <v>2779</v>
      </c>
      <c r="D131" s="3091" t="s">
        <v>2780</v>
      </c>
      <c r="E131" s="3117">
        <v>0.1</v>
      </c>
      <c r="F131" s="3117">
        <v>15</v>
      </c>
    </row>
    <row r="132" spans="1:6" ht="13.5">
      <c r="A132" s="3117">
        <v>60</v>
      </c>
      <c r="B132" s="3777" t="s">
        <v>2781</v>
      </c>
      <c r="C132" s="3117" t="s">
        <v>2782</v>
      </c>
      <c r="D132" s="3091" t="s">
        <v>2783</v>
      </c>
      <c r="E132" s="3117">
        <v>0.1</v>
      </c>
      <c r="F132" s="3117">
        <v>15</v>
      </c>
    </row>
    <row r="133" spans="1:6" ht="13.5">
      <c r="A133" s="3117">
        <v>61</v>
      </c>
      <c r="B133" s="3778"/>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76" t="s">
        <v>2789</v>
      </c>
      <c r="C135" s="3117" t="s">
        <v>2790</v>
      </c>
      <c r="D135" s="3091" t="s">
        <v>2791</v>
      </c>
      <c r="E135" s="3117">
        <v>0.1</v>
      </c>
      <c r="F135" s="3117">
        <v>15</v>
      </c>
    </row>
    <row r="136" spans="1:6" ht="13.5">
      <c r="A136" s="3117">
        <v>64</v>
      </c>
      <c r="B136" s="3776"/>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1.0089999999999999</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0.95979999999999999</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2"/>
      <c r="C2" s="3492"/>
      <c r="D2" s="3492"/>
      <c r="E2" s="3492"/>
    </row>
    <row r="3" spans="1:5" ht="18">
      <c r="A3" s="3493" t="str">
        <f>IF(项目基本情况!B9="房地产市场价值","估价结果一览表（市场价值不需“结果表-1”）","估价结果一览表")</f>
        <v>估价结果一览表</v>
      </c>
      <c r="B3" s="3493"/>
      <c r="C3" s="3493"/>
      <c r="D3" s="3493"/>
      <c r="E3" s="3493"/>
    </row>
    <row r="4" spans="1:5" ht="19.5" thickBot="1">
      <c r="A4" s="1492"/>
      <c r="B4" s="3491" t="s">
        <v>917</v>
      </c>
      <c r="C4" s="3491"/>
      <c r="D4" s="3491"/>
      <c r="E4" s="1492"/>
    </row>
    <row r="5" spans="1:5" ht="16.5" thickTop="1">
      <c r="A5" s="1490"/>
      <c r="B5" s="3489" t="s">
        <v>909</v>
      </c>
      <c r="C5" s="1493" t="s">
        <v>910</v>
      </c>
      <c r="D5" s="850">
        <f ca="1">结果表!H101</f>
        <v>50650</v>
      </c>
      <c r="E5" s="1490"/>
    </row>
    <row r="6" spans="1:5" ht="15.75">
      <c r="A6" s="1490"/>
      <c r="B6" s="3489"/>
      <c r="C6" s="1493" t="s">
        <v>911</v>
      </c>
      <c r="D6" s="850" t="str">
        <f ca="1">NUMBERSTRING(INT(D5*10000),2)&amp;"元整"</f>
        <v>伍亿零陆佰伍拾万元整</v>
      </c>
      <c r="E6" s="1490"/>
    </row>
    <row r="7" spans="1:5" ht="15.75">
      <c r="A7" s="1490"/>
      <c r="B7" s="3494"/>
      <c r="C7" s="1494" t="s">
        <v>912</v>
      </c>
      <c r="D7" s="851">
        <f ca="1">结果表!H102</f>
        <v>29014</v>
      </c>
      <c r="E7" s="1490"/>
    </row>
    <row r="8" spans="1:5" ht="15.75">
      <c r="A8" s="1490"/>
      <c r="B8" s="3495" t="str">
        <f>结果表!E103</f>
        <v>2.估价师知悉的法定优先受偿款</v>
      </c>
      <c r="C8" s="1495" t="s">
        <v>913</v>
      </c>
      <c r="D8" s="851">
        <f>结果表!H103</f>
        <v>0</v>
      </c>
      <c r="E8" s="1490"/>
    </row>
    <row r="9" spans="1:5" ht="15.75">
      <c r="A9" s="1490"/>
      <c r="B9" s="3497"/>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88" t="str">
        <f>结果表!E107</f>
        <v>3.房地产抵押价值</v>
      </c>
      <c r="C13" s="1498" t="s">
        <v>910</v>
      </c>
      <c r="D13" s="853">
        <f ca="1">结果表!H107</f>
        <v>50650</v>
      </c>
      <c r="E13" s="1490"/>
    </row>
    <row r="14" spans="1:5" ht="15.75">
      <c r="A14" s="1490"/>
      <c r="B14" s="3489"/>
      <c r="C14" s="1493" t="s">
        <v>911</v>
      </c>
      <c r="D14" s="850" t="str">
        <f ca="1">NUMBERSTRING(INT(D13*10000),2)&amp;"元整"</f>
        <v>伍亿零陆佰伍拾万元整</v>
      </c>
      <c r="E14" s="1490"/>
    </row>
    <row r="15" spans="1:5" ht="15">
      <c r="A15" s="1490"/>
      <c r="B15" s="3494"/>
      <c r="C15" s="1494" t="s">
        <v>921</v>
      </c>
      <c r="D15" s="859">
        <f ca="1">结果表!H108</f>
        <v>29014</v>
      </c>
      <c r="E15" s="1490"/>
    </row>
    <row r="16" spans="1:5" ht="15">
      <c r="A16" s="1490"/>
      <c r="B16" s="3495" t="str">
        <f>结果表!E109</f>
        <v>——</v>
      </c>
      <c r="C16" s="1498" t="s">
        <v>922</v>
      </c>
      <c r="D16" s="1499" t="str">
        <f>结果表!H109</f>
        <v>——</v>
      </c>
      <c r="E16" s="1490"/>
    </row>
    <row r="17" spans="1:5" ht="15.75">
      <c r="A17" s="1490"/>
      <c r="B17" s="3496"/>
      <c r="C17" s="1493" t="s">
        <v>923</v>
      </c>
      <c r="D17" s="850" t="e">
        <f>NUMBERSTRING(INT(D16*10000),2)&amp;"元整"</f>
        <v>#VALUE!</v>
      </c>
      <c r="E17" s="1490"/>
    </row>
    <row r="18" spans="1:5" ht="15">
      <c r="A18" s="1490"/>
      <c r="B18" s="3497"/>
      <c r="C18" s="1494" t="s">
        <v>912</v>
      </c>
      <c r="D18" s="859" t="str">
        <f>结果表!H110</f>
        <v>——</v>
      </c>
      <c r="E18" s="1490"/>
    </row>
    <row r="19" spans="1:5" ht="15.75">
      <c r="A19" s="1490"/>
      <c r="B19" s="3488" t="str">
        <f>结果表!E111</f>
        <v>4.抵押净值</v>
      </c>
      <c r="C19" s="1498" t="s">
        <v>910</v>
      </c>
      <c r="D19" s="851">
        <f ca="1">结果表!H111</f>
        <v>45512</v>
      </c>
      <c r="E19" s="1490"/>
    </row>
    <row r="20" spans="1:5" ht="15.75">
      <c r="A20" s="1490"/>
      <c r="B20" s="3489"/>
      <c r="C20" s="1493" t="s">
        <v>923</v>
      </c>
      <c r="D20" s="850" t="str">
        <f ca="1">NUMBERSTRING(INT(D19*10000),2)&amp;"元整"</f>
        <v>肆亿伍仟伍佰壹拾贰万元整</v>
      </c>
      <c r="E20" s="1490"/>
    </row>
    <row r="21" spans="1:5" ht="15.75" thickBot="1">
      <c r="A21" s="1490"/>
      <c r="B21" s="3490"/>
      <c r="C21" s="1500" t="s">
        <v>921</v>
      </c>
      <c r="D21" s="860">
        <f ca="1">结果表!H112</f>
        <v>26070</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44040</v>
      </c>
      <c r="C2" s="2" t="s">
        <v>106</v>
      </c>
      <c r="D2" s="199"/>
      <c r="E2" s="199"/>
      <c r="F2" s="199"/>
      <c r="G2" s="199"/>
    </row>
    <row r="3" spans="1:7" s="200" customFormat="1" ht="18" customHeight="1" thickBot="1">
      <c r="A3" s="203" t="s">
        <v>58</v>
      </c>
      <c r="B3" s="204">
        <f ca="1">ROUND(B2*10000/'数据-汇总表'!E3,0)</f>
        <v>25227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349</v>
      </c>
      <c r="D10" s="845">
        <f>'数据-汇总表'!E6</f>
        <v>17457.32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349</v>
      </c>
      <c r="D19" s="849">
        <f>'数据-汇总表'!E3</f>
        <v>17457.32</v>
      </c>
      <c r="E19" s="211">
        <f>'数据-取费表'!B31</f>
        <v>200</v>
      </c>
      <c r="F19" s="231"/>
      <c r="G19" s="1" t="s">
        <v>436</v>
      </c>
    </row>
    <row r="20" spans="1:7" s="214" customFormat="1" ht="13.5" customHeight="1">
      <c r="A20" s="777" t="s">
        <v>419</v>
      </c>
      <c r="B20" s="210" t="s">
        <v>77</v>
      </c>
      <c r="C20" s="232">
        <f>ROUND((C5+C19)*F20,0)</f>
        <v>524</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1822</v>
      </c>
      <c r="D22" s="235">
        <f ca="1">C26</f>
        <v>1.1000000000000001E-3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1770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30</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4297</v>
      </c>
      <c r="D27" s="235">
        <f>C29</f>
        <v>5.0000000000000001E-3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4297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12490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11347</v>
      </c>
      <c r="D34" s="217"/>
      <c r="E34" s="220"/>
      <c r="F34" s="257">
        <f>IF('数据-取费表'!B24=0,1,'数据-取费表'!N16)</f>
        <v>1</v>
      </c>
      <c r="G34" s="219" t="s">
        <v>89</v>
      </c>
    </row>
    <row r="35" spans="1:7" ht="13.5" customHeight="1">
      <c r="A35" s="780" t="s">
        <v>351</v>
      </c>
      <c r="B35" s="215" t="s">
        <v>33</v>
      </c>
      <c r="C35" s="220">
        <f>ROUND(C34*F35,0)</f>
        <v>567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349</v>
      </c>
      <c r="D37" s="217">
        <f>'数据-汇总表'!E3</f>
        <v>17457.32</v>
      </c>
      <c r="E37" s="249">
        <f>'数据-取费表'!B35</f>
        <v>200</v>
      </c>
      <c r="F37" s="259"/>
      <c r="G37" s="261" t="s">
        <v>92</v>
      </c>
    </row>
    <row r="38" spans="1:7" ht="13.5" customHeight="1">
      <c r="A38" s="780" t="s">
        <v>354</v>
      </c>
      <c r="B38" s="215" t="s">
        <v>36</v>
      </c>
      <c r="C38" s="220">
        <f>ROUND(C34*F38,0)</f>
        <v>227</v>
      </c>
      <c r="D38" s="220"/>
      <c r="E38" s="220"/>
      <c r="F38" s="259">
        <f>'数据-取费表'!B36</f>
        <v>0.02</v>
      </c>
      <c r="G38" s="219" t="s">
        <v>90</v>
      </c>
    </row>
    <row r="39" spans="1:7" s="214" customFormat="1" ht="13.5" customHeight="1">
      <c r="A39" s="777" t="s">
        <v>338</v>
      </c>
      <c r="B39" s="210" t="s">
        <v>77</v>
      </c>
      <c r="C39" s="232">
        <f>ROUND(C33*F20,0)</f>
        <v>312</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538</v>
      </c>
      <c r="D41" s="235">
        <f ca="1">C44</f>
        <v>1.1000000000000001E-3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525</v>
      </c>
      <c r="D42" s="238"/>
      <c r="E42" s="238"/>
      <c r="F42" s="239"/>
      <c r="G42" s="3713" t="s">
        <v>94</v>
      </c>
    </row>
    <row r="43" spans="1:7" ht="13.5" customHeight="1">
      <c r="A43" s="780" t="s">
        <v>347</v>
      </c>
      <c r="B43" s="215" t="s">
        <v>426</v>
      </c>
      <c r="C43" s="238">
        <f ca="1">ROUND(IF('数据-取费表'!B22&lt;=1,C39*F22*'数据-取费表'!B21/2,C39*(POWER((1+F22),'数据-取费表'!B21/2)-1)),0)</f>
        <v>13</v>
      </c>
      <c r="D43" s="238"/>
      <c r="E43" s="238"/>
      <c r="F43" s="239"/>
      <c r="G43" s="3714"/>
    </row>
    <row r="44" spans="1:7" ht="13.5" customHeight="1">
      <c r="A44" s="780" t="s">
        <v>348</v>
      </c>
      <c r="B44" s="215" t="s">
        <v>428</v>
      </c>
      <c r="C44" s="238">
        <f ca="1">ROUND(IF('数据-取费表'!B22&lt;=1,C40*F22*'数据-取费表'!B21/2,C40*(POWER((1+F22),'数据-取费表'!B21/2)-1)),4)</f>
        <v>1.1000000000000001E-3</v>
      </c>
      <c r="D44" s="238"/>
      <c r="E44" s="238"/>
      <c r="F44" s="239"/>
      <c r="G44" s="3715"/>
    </row>
    <row r="45" spans="1:7" s="214" customFormat="1" ht="13.5" customHeight="1">
      <c r="A45" s="777" t="s">
        <v>341</v>
      </c>
      <c r="B45" s="244" t="s">
        <v>85</v>
      </c>
      <c r="C45" s="245">
        <f>C46</f>
        <v>2560</v>
      </c>
      <c r="D45" s="235">
        <f>C47</f>
        <v>5.0000000000000001E-3</v>
      </c>
      <c r="E45" s="236" t="s">
        <v>102</v>
      </c>
      <c r="F45" s="246"/>
      <c r="G45" s="247" t="s">
        <v>434</v>
      </c>
    </row>
    <row r="46" spans="1:7" s="214" customFormat="1" ht="13.5" customHeight="1">
      <c r="A46" s="780" t="s">
        <v>349</v>
      </c>
      <c r="B46" s="248" t="s">
        <v>427</v>
      </c>
      <c r="C46" s="249">
        <f>ROUND((C33+C39)*F27,0)</f>
        <v>2560</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17366</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13893</v>
      </c>
      <c r="D51" s="232"/>
      <c r="E51" s="232"/>
      <c r="F51" s="264"/>
      <c r="G51" s="234" t="s">
        <v>37</v>
      </c>
    </row>
    <row r="52" spans="1:7" s="208" customFormat="1" ht="16.5" thickBot="1">
      <c r="A52" s="265" t="s">
        <v>38</v>
      </c>
      <c r="B52" s="266"/>
      <c r="C52" s="267">
        <f ca="1">C31+C51</f>
        <v>44040</v>
      </c>
      <c r="D52" s="266"/>
      <c r="E52" s="266"/>
      <c r="F52" s="266"/>
      <c r="G52" s="268"/>
    </row>
    <row r="55" spans="1:7" ht="15">
      <c r="B55" s="270" t="s">
        <v>39</v>
      </c>
      <c r="C55" s="271"/>
    </row>
    <row r="56" spans="1:7">
      <c r="B56" s="273" t="s">
        <v>40</v>
      </c>
      <c r="C56" s="274">
        <f ca="1">ROUND(C51/C52,3)</f>
        <v>0.315</v>
      </c>
    </row>
    <row r="57" spans="1:7">
      <c r="B57" s="273" t="s">
        <v>41</v>
      </c>
      <c r="C57" s="275">
        <f ca="1">1-C56</f>
        <v>0.68500000000000005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2839</v>
      </c>
      <c r="B1" s="3790"/>
      <c r="C1" s="3790"/>
      <c r="D1" s="3790"/>
      <c r="E1" s="3790"/>
      <c r="F1" s="3790"/>
      <c r="G1" s="3791"/>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8"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9"/>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3181</v>
      </c>
      <c r="B1" s="3792"/>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3232</v>
      </c>
      <c r="B1" s="3793"/>
      <c r="C1" s="3793"/>
      <c r="D1" s="3793"/>
      <c r="E1" s="3793"/>
      <c r="F1" s="3794"/>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E40" sqref="E4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17457.32</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22982</v>
      </c>
      <c r="C2" s="1998" t="s">
        <v>1935</v>
      </c>
      <c r="D2" s="1999" t="s">
        <v>1936</v>
      </c>
      <c r="E2" s="3421" t="s">
        <v>21</v>
      </c>
      <c r="F2" s="1999" t="s">
        <v>1937</v>
      </c>
      <c r="G2" s="2000" t="str">
        <f>IF(E2="商业",项目基本情况!B37,IF(E2="办公",项目基本情况!C37,IF(E2="住宅",项目基本情况!D37,IF(E2="工业",项目基本情况!E37,项目基本情况!F37))))</f>
        <v>三级</v>
      </c>
      <c r="H2" s="1999" t="s">
        <v>1938</v>
      </c>
      <c r="I2" s="2000" t="str">
        <f>IF(E2="商业",项目基本情况!B38,IF(E2="办公",项目基本情况!C38,IF(E2="住宅",项目基本情况!D38,IF(E2="工业",项目基本情况!E38,项目基本情况!F38))))</f>
        <v>Ⅲ—07</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30091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13165</v>
      </c>
      <c r="C3" s="1998" t="s">
        <v>1941</v>
      </c>
      <c r="D3" s="1999" t="s">
        <v>1942</v>
      </c>
      <c r="E3" s="3419" t="s">
        <v>3424</v>
      </c>
      <c r="F3" s="2003" t="s">
        <v>3462</v>
      </c>
      <c r="G3" s="752">
        <f>IF(F3="宗地容积率",'数据-汇总表'!I4,IF(F3="估价对象容积率",'数据-汇总表'!I6,'数据-汇总表'!I7))</f>
        <v>2.48</v>
      </c>
      <c r="H3" s="170" t="s">
        <v>1943</v>
      </c>
      <c r="I3" s="775"/>
      <c r="J3" s="2001" t="s">
        <v>1944</v>
      </c>
      <c r="K3" s="1119"/>
      <c r="L3" s="2002" t="s">
        <v>1945</v>
      </c>
      <c r="M3" s="864">
        <f>SUMPRODUCT((区片价!B30:B54=I2)*(区片价!C3:G3=E2)*(区片价!C30:G54))</f>
        <v>23020</v>
      </c>
      <c r="N3" s="866">
        <f>SUMPRODUCT((因素修正幅度!B30:B54=I2)*(因素修正幅度!C3:G3=E2)*(因素修正幅度!C30:G54))</f>
        <v>9.7000000000000003E-2</v>
      </c>
      <c r="O3" s="1119"/>
      <c r="P3" s="1119"/>
      <c r="Q3" s="1119"/>
      <c r="R3" s="1211">
        <v>2</v>
      </c>
      <c r="S3" s="3360">
        <f>ROUND(SUMPRODUCT((B106:B110=R3)*(C105:N105=G2)*(C106:N110)),4)</f>
        <v>1.1838</v>
      </c>
      <c r="T3" s="3360">
        <f t="shared" si="0"/>
        <v>23718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802"/>
      <c r="B4" s="3803"/>
      <c r="C4" s="3803"/>
      <c r="D4" s="3804"/>
      <c r="E4" s="3804"/>
      <c r="F4" s="3804"/>
      <c r="G4" s="3804"/>
      <c r="H4" s="3804"/>
      <c r="I4" s="3804"/>
      <c r="J4" s="3805"/>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20046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24171</v>
      </c>
      <c r="D5" s="1338">
        <f>ROUND(C6*C17+C20,0)</f>
        <v>23020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17679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23020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16990</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8"/>
      <c r="T7" s="3360">
        <f t="shared" si="0"/>
        <v>0</v>
      </c>
      <c r="U7" s="1212"/>
      <c r="V7" s="3360">
        <f t="shared" si="1"/>
        <v>0</v>
      </c>
      <c r="W7" s="1357" t="s">
        <v>1955</v>
      </c>
      <c r="X7" s="1213" t="str">
        <f>G2</f>
        <v>三级</v>
      </c>
      <c r="Y7" s="1213" t="s">
        <v>1956</v>
      </c>
      <c r="Z7" s="1214">
        <f>G3</f>
        <v>2.48</v>
      </c>
      <c r="AA7" s="1215"/>
      <c r="AB7" s="1215"/>
      <c r="AC7" s="1216"/>
      <c r="AD7" s="1217"/>
      <c r="AE7" s="1217"/>
      <c r="AF7" s="1217"/>
      <c r="AG7" s="1217"/>
      <c r="AH7" s="1217"/>
      <c r="AI7" s="1217"/>
      <c r="AJ7" s="1218"/>
    </row>
    <row r="8" spans="1:36" ht="25.5">
      <c r="A8" s="3298"/>
      <c r="B8" s="170" t="s">
        <v>1957</v>
      </c>
      <c r="C8" s="2025" t="s">
        <v>3425</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9" t="s">
        <v>1960</v>
      </c>
      <c r="X8" s="380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801"/>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80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v>1.05</v>
      </c>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c r="F19" s="3338" t="s">
        <v>3252</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6" t="s">
        <v>3254</v>
      </c>
      <c r="B20" s="167" t="s">
        <v>1994</v>
      </c>
      <c r="C20" s="3324">
        <f>ROUND(IF(F21="与级别开发程度一致",0,(G21-E21)/C21),0)</f>
        <v>0</v>
      </c>
      <c r="D20" s="3340" t="s">
        <v>1998</v>
      </c>
      <c r="E20" s="3341"/>
      <c r="F20" s="3812" t="s">
        <v>1995</v>
      </c>
      <c r="G20" s="3813"/>
      <c r="H20" s="3325" t="s">
        <v>3450</v>
      </c>
      <c r="I20" s="3325" t="s">
        <v>3451</v>
      </c>
      <c r="J20" s="3326" t="s">
        <v>3452</v>
      </c>
      <c r="K20" s="2046" t="s">
        <v>3453</v>
      </c>
      <c r="L20" s="2046" t="s">
        <v>3454</v>
      </c>
      <c r="M20" s="2046" t="s">
        <v>3455</v>
      </c>
      <c r="N20" s="2046" t="s">
        <v>3456</v>
      </c>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7"/>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3464</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40</v>
      </c>
      <c r="N21" s="2164">
        <f>SUMPRODUCT((七通一平=N20)*(修正!B1:M1=G2)*(修正!B8:M16))</f>
        <v>15</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3" t="s">
        <v>2002</v>
      </c>
      <c r="E23" s="761">
        <v>44197</v>
      </c>
      <c r="F23" s="2053" t="s">
        <v>2003</v>
      </c>
      <c r="G23" s="762">
        <f>'数据-取费表'!B2</f>
        <v>45526</v>
      </c>
      <c r="H23" s="3342" t="s">
        <v>3256</v>
      </c>
      <c r="I23" s="3343" t="str">
        <f>IF(H23="季度增幅（自定义）",SUMIF(N25:N28,E2,O25:O28),"")</f>
        <v/>
      </c>
      <c r="J23" s="3445" t="s">
        <v>3255</v>
      </c>
      <c r="K23" s="1125"/>
      <c r="L23" s="2054" t="s">
        <v>2004</v>
      </c>
      <c r="M23" s="1327">
        <f>ROUND(SUMIF(地价!B2:G2,E2,地价!B16:G16),0)</f>
        <v>350</v>
      </c>
      <c r="N23" s="2055"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0.78129999999999999</v>
      </c>
      <c r="D24" s="2059" t="s">
        <v>2007</v>
      </c>
      <c r="E24" s="1334">
        <f>存贷款利率!E26/100</f>
        <v>4.3499999999999997E-2</v>
      </c>
      <c r="F24" s="2059" t="s">
        <v>1999</v>
      </c>
      <c r="G24" s="768">
        <f>SUMIF(M30:Q30,E2,M33:Q33)</f>
        <v>5.5E-2</v>
      </c>
      <c r="H24" s="2059" t="s">
        <v>2008</v>
      </c>
      <c r="I24" s="769">
        <f>SUMIF('数据-取费表'!C6:C15,E2,'数据-取费表'!F6:F15)/COUNTIF('数据-取费表'!C6:C15,E2)</f>
        <v>24.29</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1.0018</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1.0018</v>
      </c>
      <c r="E26" s="752">
        <f>ROUNDDOWN(G3,1)</f>
        <v>2.4</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1.0089999999999999</v>
      </c>
      <c r="G26" s="752">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1.0496000000000001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22982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940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20072</v>
      </c>
      <c r="D33" s="2097">
        <f>'数据-汇总表'!F19</f>
        <v>9577.27</v>
      </c>
      <c r="E33" s="773">
        <f>ROUND(C33*D33/10000,0)</f>
        <v>19223</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5018</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10"/>
      <c r="B37" s="2112" t="s">
        <v>2036</v>
      </c>
      <c r="C37" s="175">
        <f>ROUND(D5*C22*C23*C24*C28*F37,0)</f>
        <v>11449</v>
      </c>
      <c r="D37" s="2097"/>
      <c r="E37" s="171">
        <f>ROUND(C37*D37/10000,0)</f>
        <v>0</v>
      </c>
      <c r="F37" s="171">
        <f>SUMIF(修正!A57:A68,G2,修正!B57:B68)</f>
        <v>0.6</v>
      </c>
      <c r="G37" s="171">
        <f>ROUND(IF(E2="工业",C37*$M$42,C37*$M$41),0)</f>
        <v>2862</v>
      </c>
      <c r="H37" s="171">
        <f>D37</f>
        <v>0</v>
      </c>
      <c r="I37" s="171">
        <f>ROUND(G37*H37/10000,0)</f>
        <v>0</v>
      </c>
      <c r="J37" s="3011"/>
      <c r="K37" s="3358" t="s">
        <v>3266</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11"/>
      <c r="B38" s="2040" t="s">
        <v>2037</v>
      </c>
      <c r="C38" s="175">
        <f>ROUND(D5*C22*C23*C24*C28*F38,0)</f>
        <v>5724</v>
      </c>
      <c r="D38" s="2097"/>
      <c r="E38" s="171">
        <f t="shared" ref="E38:E42" si="4">ROUND(C38*D38/10000,0)</f>
        <v>0</v>
      </c>
      <c r="F38" s="171">
        <f>SUMIF(修正!A57:A68,G2,修正!C57:C68)</f>
        <v>0.3</v>
      </c>
      <c r="G38" s="171">
        <f>ROUND(IF(E2="工业",C38*$M$42,C38*$M$41),0)</f>
        <v>1431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11"/>
      <c r="B39" s="2040" t="s">
        <v>3259</v>
      </c>
      <c r="C39" s="175">
        <f>ROUND(D5*C22*C23*C24*C28*F39,0)</f>
        <v>4770</v>
      </c>
      <c r="D39" s="2097"/>
      <c r="E39" s="171">
        <f t="shared" si="4"/>
        <v>0</v>
      </c>
      <c r="F39" s="171">
        <f>SUMIF(修正!A57:A68,G2,修正!D57:D68)</f>
        <v>0.25</v>
      </c>
      <c r="G39" s="171">
        <f>ROUND(IF(E2="工业",C39*$M$42,C39*$M$41),0)</f>
        <v>1193</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4770</v>
      </c>
      <c r="D40" s="2097">
        <f>面积取值!C27+面积取值!C28</f>
        <v>7880.05</v>
      </c>
      <c r="E40" s="171">
        <f t="shared" si="4"/>
        <v>3759</v>
      </c>
      <c r="F40" s="175">
        <f>SUMIF(修正!A57:A68,G2,修正!E57:E68)</f>
        <v>0.25</v>
      </c>
      <c r="G40" s="171">
        <f>ROUND(IF(E2="工业",C40*$M$42,C40*$M$41),0)</f>
        <v>1193</v>
      </c>
      <c r="H40" s="171">
        <f t="shared" si="5"/>
        <v>7880.05</v>
      </c>
      <c r="I40" s="171">
        <f t="shared" si="6"/>
        <v>940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4770</v>
      </c>
      <c r="D41" s="2097"/>
      <c r="E41" s="171">
        <f t="shared" si="4"/>
        <v>0</v>
      </c>
      <c r="F41" s="175">
        <f>SUMIF(修正!A57:A68,G2,修正!F57:F68)</f>
        <v>0.25</v>
      </c>
      <c r="G41" s="171">
        <f>ROUND(IF(E2="工业",C41*$M$42,C41*$M$41),0)</f>
        <v>1193</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2862</v>
      </c>
      <c r="D42" s="2102"/>
      <c r="E42" s="187">
        <f t="shared" si="4"/>
        <v>0</v>
      </c>
      <c r="F42" s="767">
        <f>SUMIF(修正!A57:A68,G2,修正!G57:G68)</f>
        <v>0.15</v>
      </c>
      <c r="G42" s="187">
        <f>ROUND(IF(E2="工业",C42*$M$42,C42*$M$41),0)</f>
        <v>716</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0.78129999999999999</v>
      </c>
      <c r="D44" s="171" t="s">
        <v>1999</v>
      </c>
      <c r="E44" s="2152">
        <f>G24</f>
        <v>5.5E-2</v>
      </c>
      <c r="F44" s="171" t="s">
        <v>2008</v>
      </c>
      <c r="G44" s="183">
        <f>项目基本情况!E15</f>
        <v>24.29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29" t="s">
        <v>2052</v>
      </c>
      <c r="B50" s="2132">
        <f>估价对象房地状况!C4</f>
        <v>0</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1.0496000000000001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3457</v>
      </c>
      <c r="D61" s="1065">
        <f t="shared" ref="D61:D69" si="12">SUMIF($J$60:$N$60,C61,J61:N61)</f>
        <v>1.21E-2</v>
      </c>
      <c r="E61" s="744">
        <f>ROUND(SUM(D61:D69),4)</f>
        <v>4.9599999999999998E-2</v>
      </c>
      <c r="F61" s="1813">
        <f>IF(E2="办公",SUMIF(L1:L12,G2,N1:N12),"——")</f>
        <v>9.7000000000000003E-2</v>
      </c>
      <c r="G61" s="1063">
        <v>1.21E-2</v>
      </c>
      <c r="H61" s="1066">
        <f t="shared" ref="H61:H69" si="13">IFERROR(ROUNDDOWN($F$61*I61/2,4),"——")</f>
        <v>1.21E-2</v>
      </c>
      <c r="I61" s="3366">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3457</v>
      </c>
      <c r="D62" s="1065">
        <f t="shared" si="12"/>
        <v>1.26E-2</v>
      </c>
      <c r="E62" s="745"/>
      <c r="F62" s="1813"/>
      <c r="G62" s="1063">
        <v>1.26E-2</v>
      </c>
      <c r="H62" s="1066">
        <f t="shared" si="13"/>
        <v>1.26E-2</v>
      </c>
      <c r="I62" s="3366">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t="s">
        <v>3457</v>
      </c>
      <c r="D63" s="1065">
        <f t="shared" si="12"/>
        <v>5.3E-3</v>
      </c>
      <c r="E63" s="745"/>
      <c r="F63" s="1813"/>
      <c r="G63" s="1063">
        <v>5.3E-3</v>
      </c>
      <c r="H63" s="1066">
        <f t="shared" si="13"/>
        <v>5.3E-3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29" t="s">
        <v>2054</v>
      </c>
      <c r="B64" s="2134" t="s">
        <v>2055</v>
      </c>
      <c r="C64" s="2043" t="s">
        <v>3457</v>
      </c>
      <c r="D64" s="1065">
        <f t="shared" si="12"/>
        <v>2.3999999999999998E-3</v>
      </c>
      <c r="E64" s="745"/>
      <c r="F64" s="1813"/>
      <c r="G64" s="1063">
        <v>2.3999999999999998E-3</v>
      </c>
      <c r="H64" s="1066">
        <f t="shared" si="13"/>
        <v>2.3999999999999998E-3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3457</v>
      </c>
      <c r="D65" s="1065">
        <f t="shared" si="12"/>
        <v>2.3999999999999998E-3</v>
      </c>
      <c r="E65" s="745"/>
      <c r="F65" s="1813"/>
      <c r="G65" s="1063">
        <v>2.3999999999999998E-3</v>
      </c>
      <c r="H65" s="1066">
        <f t="shared" si="13"/>
        <v>2.3999999999999998E-3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29" t="s">
        <v>2057</v>
      </c>
      <c r="B66" s="2135" t="s">
        <v>2058</v>
      </c>
      <c r="C66" s="2043" t="s">
        <v>3458</v>
      </c>
      <c r="D66" s="1065">
        <f t="shared" si="12"/>
        <v>0</v>
      </c>
      <c r="E66" s="745"/>
      <c r="F66" s="1813"/>
      <c r="G66" s="1063">
        <v>2.8999999999999998E-3</v>
      </c>
      <c r="H66" s="1066">
        <f t="shared" si="13"/>
        <v>2.8999999999999998E-3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t="s">
        <v>3457</v>
      </c>
      <c r="D67" s="1065">
        <f t="shared" si="12"/>
        <v>2.8999999999999998E-3</v>
      </c>
      <c r="E67" s="745"/>
      <c r="F67" s="1813"/>
      <c r="G67" s="1063">
        <v>2.8999999999999998E-3</v>
      </c>
      <c r="H67" s="1066">
        <f t="shared" si="13"/>
        <v>2.8999999999999998E-3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3479" t="s">
        <v>3463</v>
      </c>
      <c r="D68" s="1065">
        <f t="shared" si="12"/>
        <v>8.6E-3</v>
      </c>
      <c r="E68" s="745"/>
      <c r="F68" s="1813"/>
      <c r="G68" s="1063">
        <v>4.3E-3</v>
      </c>
      <c r="H68" s="1066">
        <f t="shared" si="13"/>
        <v>4.3E-3</v>
      </c>
      <c r="I68" s="3366">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3457</v>
      </c>
      <c r="D69" s="1065">
        <f t="shared" si="12"/>
        <v>3.3E-3</v>
      </c>
      <c r="E69" s="746"/>
      <c r="F69" s="1813"/>
      <c r="G69" s="1063">
        <v>3.3E-3</v>
      </c>
      <c r="H69" s="1066">
        <f t="shared" si="13"/>
        <v>3.3E-3</v>
      </c>
      <c r="I69" s="3367">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9" t="s">
        <v>2066</v>
      </c>
      <c r="B72" s="2132">
        <f>估价对象房地状况!C15</f>
        <v>0</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6">
        <v>0.3</v>
      </c>
      <c r="J84" s="1064">
        <f t="shared" si="24"/>
        <v>0</v>
      </c>
      <c r="K84" s="1064">
        <f t="shared" si="25"/>
        <v>0</v>
      </c>
      <c r="L84" s="1064">
        <v>0</v>
      </c>
      <c r="M84" s="1064">
        <f t="shared" si="26"/>
        <v>0</v>
      </c>
      <c r="N84" s="1064">
        <f t="shared" si="26"/>
        <v>0</v>
      </c>
      <c r="Z84" s="1997"/>
      <c r="AA84" s="2052"/>
      <c r="AG84" s="1121"/>
      <c r="AK84" s="2052"/>
    </row>
    <row r="85" spans="1:37" ht="36">
      <c r="A85" s="3368" t="s">
        <v>3270</v>
      </c>
      <c r="B85" s="2133">
        <f>估价对象房地状况!G17</f>
        <v>0</v>
      </c>
      <c r="C85" s="2043"/>
      <c r="D85" s="1065">
        <f t="shared" si="22"/>
        <v>0</v>
      </c>
      <c r="E85" s="747"/>
      <c r="F85" s="1813"/>
      <c r="G85" s="1063"/>
      <c r="H85" s="1066" t="str">
        <f t="shared" si="23"/>
        <v>——</v>
      </c>
      <c r="I85" s="3366">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3"/>
      <c r="G86" s="1063"/>
      <c r="H86" s="1066" t="str">
        <f t="shared" si="23"/>
        <v>——</v>
      </c>
      <c r="I86" s="3366">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5" t="str">
        <f>估价对象房地状况!G19</f>
        <v>估价对象所在区域公共配套设施齐备情况</v>
      </c>
      <c r="C87" s="2043"/>
      <c r="D87" s="1065">
        <f t="shared" si="22"/>
        <v>0</v>
      </c>
      <c r="E87" s="747"/>
      <c r="F87" s="1813"/>
      <c r="G87" s="1063"/>
      <c r="H87" s="1066" t="str">
        <f t="shared" si="23"/>
        <v>——</v>
      </c>
      <c r="I87" s="3366">
        <v>0.06</v>
      </c>
      <c r="J87" s="1064">
        <f t="shared" si="24"/>
        <v>0</v>
      </c>
      <c r="K87" s="1064">
        <f t="shared" si="25"/>
        <v>0</v>
      </c>
      <c r="L87" s="1064">
        <v>0</v>
      </c>
      <c r="M87" s="1064">
        <f t="shared" si="26"/>
        <v>0</v>
      </c>
      <c r="N87" s="1064">
        <f t="shared" si="26"/>
        <v>0</v>
      </c>
    </row>
    <row r="88" spans="1:37" ht="25.5">
      <c r="A88" s="2129" t="s">
        <v>2060</v>
      </c>
      <c r="B88" s="1325" t="str">
        <f>估价对象房地状况!G20</f>
        <v>估价对象所在区域基础设施水平</v>
      </c>
      <c r="C88" s="2043"/>
      <c r="D88" s="1065">
        <f t="shared" si="22"/>
        <v>0</v>
      </c>
      <c r="E88" s="747"/>
      <c r="F88" s="1813"/>
      <c r="G88" s="1063"/>
      <c r="H88" s="1066" t="str">
        <f t="shared" si="23"/>
        <v>——</v>
      </c>
      <c r="I88" s="3366">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3"/>
      <c r="G89" s="1063"/>
      <c r="H89" s="1066" t="str">
        <f t="shared" si="23"/>
        <v>——</v>
      </c>
      <c r="I89" s="3366">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808" t="s">
        <v>3294</v>
      </c>
      <c r="B103" s="3808"/>
      <c r="C103" s="3808"/>
      <c r="D103" s="3808"/>
      <c r="E103" s="3808"/>
      <c r="F103" s="3808"/>
      <c r="G103" s="3808"/>
      <c r="H103" s="3808"/>
      <c r="I103" s="3808"/>
      <c r="J103" s="3808"/>
      <c r="K103" s="3389"/>
      <c r="L103" s="3389"/>
      <c r="M103" s="3389"/>
      <c r="N103" s="3389"/>
    </row>
    <row r="104" spans="1:14">
      <c r="A104" s="3809" t="s">
        <v>3295</v>
      </c>
      <c r="B104" s="3809" t="s">
        <v>3296</v>
      </c>
      <c r="C104" s="3390" t="s">
        <v>3297</v>
      </c>
      <c r="D104" s="3391"/>
      <c r="E104" s="3391"/>
      <c r="F104" s="3391"/>
      <c r="G104" s="3391"/>
      <c r="H104" s="3391"/>
      <c r="I104" s="3391"/>
      <c r="J104" s="3392"/>
      <c r="K104" s="3393"/>
      <c r="L104" s="3393"/>
      <c r="M104" s="3393"/>
      <c r="N104" s="3393"/>
    </row>
    <row r="105" spans="1:14">
      <c r="A105" s="3809"/>
      <c r="B105" s="3809"/>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5"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6"/>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9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98" t="s">
        <v>3311</v>
      </c>
      <c r="B113" s="3798"/>
      <c r="C113" s="3798"/>
      <c r="D113" s="3798"/>
      <c r="E113" s="3798"/>
      <c r="F113" s="3798"/>
      <c r="G113" s="3798"/>
      <c r="H113" s="3798"/>
      <c r="I113" s="3798"/>
      <c r="J113" s="379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2.48</v>
      </c>
      <c r="C116" s="3399" t="s">
        <v>3313</v>
      </c>
      <c r="D116" s="3400">
        <f>SUMPRODUCT((A118:A122=F116)*(B117:M117=H116)*B118:M122)</f>
        <v>0.90629999999999999</v>
      </c>
      <c r="E116" s="1999" t="s">
        <v>3314</v>
      </c>
      <c r="F116" s="3401" t="str">
        <f>E2</f>
        <v>办公</v>
      </c>
      <c r="G116" s="1999" t="s">
        <v>3315</v>
      </c>
      <c r="H116" s="3401" t="str">
        <f>G2</f>
        <v>三级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0.96950000000000003</v>
      </c>
      <c r="C118" s="3387">
        <f>B118</f>
        <v>0.96950000000000003</v>
      </c>
      <c r="D118" s="3387">
        <f>ROUND(0.949-0.014*B116,4)</f>
        <v>0.9143</v>
      </c>
      <c r="E118" s="3387">
        <f>D118</f>
        <v>0.9143</v>
      </c>
      <c r="F118" s="3387">
        <f>E118</f>
        <v>0.9143</v>
      </c>
      <c r="G118" s="3387">
        <f>F118</f>
        <v>0.9143</v>
      </c>
      <c r="H118" s="3387">
        <f>G118</f>
        <v>0.9143</v>
      </c>
      <c r="I118" s="3387">
        <f>ROUND(0.8486-0.018*B116,4)</f>
        <v>0.80400000000000005</v>
      </c>
      <c r="J118" s="3387">
        <f t="shared" ref="J118:M122" si="35">I118</f>
        <v>0.80400000000000005</v>
      </c>
      <c r="K118" s="3387">
        <f t="shared" si="35"/>
        <v>0.80400000000000005</v>
      </c>
      <c r="L118" s="3387">
        <f t="shared" si="35"/>
        <v>0.80400000000000005</v>
      </c>
      <c r="M118" s="3410">
        <f t="shared" si="35"/>
        <v>0.80400000000000005</v>
      </c>
      <c r="N118" s="3397"/>
    </row>
    <row r="119" spans="1:14">
      <c r="A119" s="3409" t="s">
        <v>3329</v>
      </c>
      <c r="B119" s="3387">
        <f>ROUND(0.993-0.0112*B116,4)</f>
        <v>0.96519999999999995</v>
      </c>
      <c r="C119" s="3387">
        <f>B119</f>
        <v>0.96519999999999995</v>
      </c>
      <c r="D119" s="3387">
        <f>ROUND(0.9415-0.0142*B116,4)</f>
        <v>0.90629999999999999</v>
      </c>
      <c r="E119" s="3387">
        <f t="shared" ref="E119:H120" si="36">D119</f>
        <v>0.90629999999999999</v>
      </c>
      <c r="F119" s="3387">
        <f t="shared" si="36"/>
        <v>0.90629999999999999</v>
      </c>
      <c r="G119" s="3387">
        <f t="shared" si="36"/>
        <v>0.90629999999999999</v>
      </c>
      <c r="H119" s="3387">
        <f t="shared" si="36"/>
        <v>0.90629999999999999</v>
      </c>
      <c r="I119" s="3387">
        <f>ROUND(0.838-0.0182*B116,4)</f>
        <v>0.79290000000000005</v>
      </c>
      <c r="J119" s="3387">
        <f t="shared" si="35"/>
        <v>0.79290000000000005</v>
      </c>
      <c r="K119" s="3387">
        <f t="shared" si="35"/>
        <v>0.79290000000000005</v>
      </c>
      <c r="L119" s="3387">
        <f t="shared" si="35"/>
        <v>0.79290000000000005</v>
      </c>
      <c r="M119" s="3410">
        <f t="shared" si="35"/>
        <v>0.79290000000000005</v>
      </c>
      <c r="N119" s="3397"/>
    </row>
    <row r="120" spans="1:14">
      <c r="A120" s="3409" t="s">
        <v>3330</v>
      </c>
      <c r="B120" s="3387">
        <f>ROUND(0.9448-0.0115*B116,4)</f>
        <v>0.9163</v>
      </c>
      <c r="C120" s="3387">
        <f>B120</f>
        <v>0.9163</v>
      </c>
      <c r="D120" s="3387">
        <f>ROUND(0.937-0.0145*B116,4)</f>
        <v>0.90100000000000002</v>
      </c>
      <c r="E120" s="3387">
        <f t="shared" si="36"/>
        <v>0.90100000000000002</v>
      </c>
      <c r="F120" s="3387">
        <f t="shared" si="36"/>
        <v>0.90100000000000002</v>
      </c>
      <c r="G120" s="3387">
        <f t="shared" si="36"/>
        <v>0.90100000000000002</v>
      </c>
      <c r="H120" s="3387">
        <f t="shared" si="36"/>
        <v>0.90100000000000002</v>
      </c>
      <c r="I120" s="3387">
        <f>ROUND(0.7965-0.0185*B116,4)</f>
        <v>0.75060000000000004</v>
      </c>
      <c r="J120" s="3387">
        <f t="shared" si="35"/>
        <v>0.75060000000000004</v>
      </c>
      <c r="K120" s="3387">
        <f t="shared" si="35"/>
        <v>0.75060000000000004</v>
      </c>
      <c r="L120" s="3387">
        <f t="shared" si="35"/>
        <v>0.75060000000000004</v>
      </c>
      <c r="M120" s="3410">
        <f t="shared" si="35"/>
        <v>0.75060000000000004</v>
      </c>
      <c r="N120" s="3397"/>
    </row>
    <row r="121" spans="1:14" ht="13.5" thickBot="1">
      <c r="A121" s="3411" t="s">
        <v>3331</v>
      </c>
      <c r="B121" s="3412">
        <f>ROUND(0.7836-0.012*B116,4)</f>
        <v>0.75380000000000003</v>
      </c>
      <c r="C121" s="3412">
        <f>B121</f>
        <v>0.75380000000000003</v>
      </c>
      <c r="D121" s="3412">
        <f>ROUND(0.753-0.015*B116,4)</f>
        <v>0.71579999999999999</v>
      </c>
      <c r="E121" s="3412">
        <f>D121</f>
        <v>0.71579999999999999</v>
      </c>
      <c r="F121" s="3412">
        <f>E121</f>
        <v>0.71579999999999999</v>
      </c>
      <c r="G121" s="3412">
        <f>ROUND(0.6612-0.018*B116,4)</f>
        <v>0.61660000000000004</v>
      </c>
      <c r="H121" s="3412">
        <f>G121</f>
        <v>0.61660000000000004</v>
      </c>
      <c r="I121" s="3412">
        <f>ROUND(0.5905-0.019*B116,4)</f>
        <v>0.54339999999999999</v>
      </c>
      <c r="J121" s="3412">
        <f t="shared" si="35"/>
        <v>0.54339999999999999</v>
      </c>
      <c r="K121" s="3412">
        <f t="shared" si="35"/>
        <v>0.54339999999999999</v>
      </c>
      <c r="L121" s="3412">
        <f t="shared" si="35"/>
        <v>0.54339999999999999</v>
      </c>
      <c r="M121" s="3413">
        <f t="shared" si="35"/>
        <v>0.54339999999999999</v>
      </c>
      <c r="N121" s="3397"/>
    </row>
    <row r="122" spans="1:14">
      <c r="A122" s="3414" t="s">
        <v>2612</v>
      </c>
      <c r="B122" s="3387">
        <f>ROUND(0.9404-0.0106*B116,4)</f>
        <v>0.91410000000000002</v>
      </c>
      <c r="C122" s="3387">
        <f>B122</f>
        <v>0.91410000000000002</v>
      </c>
      <c r="D122" s="3387">
        <f>ROUND(0.8955-0.0135*B116,4)</f>
        <v>0.86199999999999999</v>
      </c>
      <c r="E122" s="3387">
        <f t="shared" ref="E122:H122" si="37">D122</f>
        <v>0.86199999999999999</v>
      </c>
      <c r="F122" s="3387">
        <f t="shared" si="37"/>
        <v>0.86199999999999999</v>
      </c>
      <c r="G122" s="3387">
        <f t="shared" si="37"/>
        <v>0.86199999999999999</v>
      </c>
      <c r="H122" s="3387">
        <f t="shared" si="37"/>
        <v>0.86199999999999999</v>
      </c>
      <c r="I122" s="3387">
        <f>ROUND(0.7632-0.0166*B116,4)</f>
        <v>0.72199999999999998</v>
      </c>
      <c r="J122" s="3387">
        <f t="shared" si="35"/>
        <v>0.72199999999999998</v>
      </c>
      <c r="K122" s="3387">
        <f t="shared" si="35"/>
        <v>0.72199999999999998</v>
      </c>
      <c r="L122" s="3387">
        <f t="shared" si="35"/>
        <v>0.72199999999999998</v>
      </c>
      <c r="M122" s="3410">
        <f t="shared" si="35"/>
        <v>0.72199999999999998</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0">
        <f>基准地价修正!G23</f>
        <v>45526</v>
      </c>
      <c r="B1" s="3209" t="s">
        <v>3371</v>
      </c>
      <c r="C1" s="3210"/>
      <c r="D1" s="3210"/>
      <c r="E1" s="3210"/>
      <c r="F1" s="3210"/>
      <c r="G1" s="3210"/>
      <c r="H1" s="3210"/>
      <c r="I1" s="3210"/>
      <c r="J1" s="3164"/>
      <c r="K1" s="3210" t="s">
        <v>454</v>
      </c>
      <c r="L1" s="3210"/>
      <c r="M1" s="3210"/>
      <c r="N1" s="3210"/>
      <c r="O1" s="3210"/>
      <c r="P1" s="3210"/>
      <c r="Q1" s="3164"/>
      <c r="R1" s="3814" t="s">
        <v>456</v>
      </c>
      <c r="S1" s="3815"/>
      <c r="T1" s="3815"/>
      <c r="U1" s="3815"/>
      <c r="V1" s="3815"/>
      <c r="W1" s="3815"/>
      <c r="X1" s="3164"/>
      <c r="Y1" s="3814" t="s">
        <v>457</v>
      </c>
      <c r="Z1" s="3815"/>
      <c r="AA1" s="3815"/>
      <c r="AB1" s="3815"/>
      <c r="AC1" s="3815"/>
      <c r="AD1" s="3815"/>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3378</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2.75">
      <c r="A7" s="3175" t="s">
        <v>3380</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2.75">
      <c r="A8" s="3175" t="s">
        <v>3375</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2.75">
      <c r="A9" s="3175" t="s">
        <v>3374</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2.75">
      <c r="A10" s="3175" t="s">
        <v>3370</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2.75">
      <c r="A11" s="3175" t="s">
        <v>3369</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2.75">
      <c r="A12" s="3175" t="s">
        <v>3368</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2.75">
      <c r="A13" s="3175" t="s">
        <v>3364</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2.75">
      <c r="A14" s="3175" t="s">
        <v>3355</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2.75">
      <c r="A15" s="3175" t="s">
        <v>2820</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2.75">
      <c r="A16" s="3175" t="s">
        <v>2821</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2.75">
      <c r="A17" s="3175" t="s">
        <v>2822</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2.75">
      <c r="A18" s="3175" t="s">
        <v>2823</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thickBot="1">
      <c r="A19" s="3196" t="s">
        <v>2824</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4.25" thickTop="1"/>
    <row r="21" spans="1:30" s="3008" customFormat="1">
      <c r="A21" s="3447" t="s">
        <v>3366</v>
      </c>
    </row>
    <row r="22" spans="1:30" s="3008" customFormat="1">
      <c r="I22" s="3207" t="s">
        <v>2825</v>
      </c>
    </row>
    <row r="23" spans="1:30" s="3008" customFormat="1"/>
    <row r="24" spans="1:30" s="3208" customFormat="1" ht="12.75">
      <c r="B24" s="3209" t="s">
        <v>3372</v>
      </c>
      <c r="C24" s="3210"/>
      <c r="D24" s="3210"/>
      <c r="E24" s="3210"/>
      <c r="F24" s="3210"/>
      <c r="G24" s="3210"/>
      <c r="H24" s="3210"/>
      <c r="I24" s="3210"/>
      <c r="J24" s="3164"/>
      <c r="K24" s="3210" t="s">
        <v>2826</v>
      </c>
      <c r="L24" s="3210"/>
      <c r="M24" s="3210"/>
      <c r="N24" s="3210"/>
      <c r="O24" s="3210"/>
      <c r="P24" s="3210"/>
      <c r="Q24" s="3164"/>
      <c r="R24" s="3814" t="s">
        <v>2827</v>
      </c>
      <c r="S24" s="3815"/>
      <c r="T24" s="3815"/>
      <c r="U24" s="3815"/>
      <c r="V24" s="3815"/>
      <c r="W24" s="3815"/>
      <c r="X24" s="3164"/>
      <c r="Y24" s="3814" t="s">
        <v>2828</v>
      </c>
      <c r="Z24" s="3815"/>
      <c r="AA24" s="3815"/>
      <c r="AB24" s="3815"/>
      <c r="AC24" s="3815"/>
      <c r="AD24" s="3815"/>
    </row>
    <row r="25" spans="1:30" s="3142" customFormat="1" ht="14.25" thickBot="1">
      <c r="B25" s="3143"/>
      <c r="C25" s="3144"/>
      <c r="D25" s="3145" t="s">
        <v>2829</v>
      </c>
      <c r="E25" s="3146" t="s">
        <v>2830</v>
      </c>
      <c r="F25" s="3146" t="s">
        <v>2831</v>
      </c>
      <c r="G25" s="3146" t="s">
        <v>2832</v>
      </c>
      <c r="H25" s="3146"/>
      <c r="I25" s="3146" t="s">
        <v>2833</v>
      </c>
      <c r="J25" s="3147"/>
      <c r="K25" s="3145" t="s">
        <v>2829</v>
      </c>
      <c r="L25" s="3146" t="s">
        <v>2830</v>
      </c>
      <c r="M25" s="3146" t="s">
        <v>2831</v>
      </c>
      <c r="N25" s="3146" t="s">
        <v>2832</v>
      </c>
      <c r="O25" s="3146"/>
      <c r="P25" s="3146" t="s">
        <v>2833</v>
      </c>
      <c r="Q25" s="3147"/>
      <c r="R25" s="3145" t="s">
        <v>2829</v>
      </c>
      <c r="S25" s="3146" t="s">
        <v>2830</v>
      </c>
      <c r="T25" s="3146" t="s">
        <v>2831</v>
      </c>
      <c r="U25" s="3146" t="s">
        <v>2832</v>
      </c>
      <c r="V25" s="3146"/>
      <c r="W25" s="3146" t="s">
        <v>2833</v>
      </c>
      <c r="X25" s="3147"/>
      <c r="Y25" s="3145" t="s">
        <v>2829</v>
      </c>
      <c r="Z25" s="3146" t="s">
        <v>2830</v>
      </c>
      <c r="AA25" s="3146" t="s">
        <v>2831</v>
      </c>
      <c r="AB25" s="3146" t="s">
        <v>2832</v>
      </c>
      <c r="AC25" s="3146"/>
      <c r="AD25" s="3146" t="s">
        <v>2833</v>
      </c>
    </row>
    <row r="26" spans="1:30" s="3160" customFormat="1" ht="12.75">
      <c r="A26" s="3148" t="s">
        <v>2834</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2.75">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2.75">
      <c r="A28" s="2204" t="s">
        <v>3377</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2.75">
      <c r="A29" s="3185" t="s">
        <v>3378</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2.75">
      <c r="A30" s="3175" t="s">
        <v>3379</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2.75">
      <c r="A31" s="3175" t="s">
        <v>3376</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2.75">
      <c r="A32" s="3175" t="s">
        <v>3374</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2.75">
      <c r="A33" s="3175" t="s">
        <v>3373</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2.75">
      <c r="A34" s="3175" t="s">
        <v>3369</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2.75">
      <c r="A35" s="3175" t="s">
        <v>3368</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2.75">
      <c r="A36" s="3175" t="s">
        <v>3365</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2.75">
      <c r="A37" s="3175" t="s">
        <v>3355</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2.75">
      <c r="A38" s="3175" t="s">
        <v>2835</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2.75">
      <c r="A39" s="3175" t="s">
        <v>2836</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2.75">
      <c r="A40" s="3175" t="s">
        <v>2837</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2.75">
      <c r="A41" s="3175" t="s">
        <v>2838</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thickBot="1">
      <c r="A42" s="3196" t="s">
        <v>2824</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4.25" thickTop="1"/>
    <row r="44" spans="1:30">
      <c r="A44" s="3447"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1" t="s">
        <v>452</v>
      </c>
      <c r="C1" s="3821"/>
      <c r="D1" s="3821"/>
      <c r="E1" s="3821"/>
      <c r="F1" s="3821"/>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2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45526</v>
      </c>
      <c r="D1" s="1301" t="s">
        <v>603</v>
      </c>
      <c r="E1" s="1296">
        <f>'数据-取费表'!B22</f>
        <v>2.5</v>
      </c>
      <c r="F1" s="1301" t="s">
        <v>604</v>
      </c>
      <c r="G1" s="1297">
        <f ca="1">INDIRECT("d"&amp;$K$1)/100</f>
        <v>3.3500000000000002E-2</v>
      </c>
      <c r="H1" s="1301" t="s">
        <v>634</v>
      </c>
      <c r="I1" s="1297">
        <f ca="1">F4/100</f>
        <v>1.4999999999999999E-2</v>
      </c>
      <c r="J1" s="1302">
        <f>IF(C1&gt;C13,0,MATCH(C1,C$13:C$113,-1))+IF(SUMIF(C13:C113,C1,D13:D113)=0,13,12)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3.35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3.35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3.35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3.35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3.85</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45495</v>
      </c>
      <c r="D13" s="2821">
        <v>3.35</v>
      </c>
      <c r="E13" s="2821">
        <f>D13</f>
        <v>3.35</v>
      </c>
      <c r="F13" s="2821">
        <f>D13</f>
        <v>3.35</v>
      </c>
      <c r="G13" s="2821">
        <f>D13</f>
        <v>3.35</v>
      </c>
      <c r="H13" s="2821">
        <v>3.85</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45342</v>
      </c>
      <c r="D14" s="2816">
        <v>3.45</v>
      </c>
      <c r="E14" s="2816">
        <f>D14</f>
        <v>3.45</v>
      </c>
      <c r="F14" s="2816">
        <f>D14</f>
        <v>3.45</v>
      </c>
      <c r="G14" s="2816">
        <f>D14</f>
        <v>3.45</v>
      </c>
      <c r="H14" s="2816">
        <v>3.95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45159</v>
      </c>
      <c r="D15" s="2816">
        <v>3.45</v>
      </c>
      <c r="E15" s="2816">
        <f>D15</f>
        <v>3.45</v>
      </c>
      <c r="F15" s="2816">
        <f>D15</f>
        <v>3.45</v>
      </c>
      <c r="G15" s="2816">
        <f>D15</f>
        <v>3.45</v>
      </c>
      <c r="H15" s="2816">
        <v>4.2</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45097</v>
      </c>
      <c r="D16" s="2816">
        <v>3.55</v>
      </c>
      <c r="E16" s="2816">
        <f>D16</f>
        <v>3.55</v>
      </c>
      <c r="F16" s="2816">
        <f>D16</f>
        <v>3.55</v>
      </c>
      <c r="G16" s="2816">
        <f>D16</f>
        <v>3.55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44795</v>
      </c>
      <c r="D17" s="2816">
        <v>3.65</v>
      </c>
      <c r="E17" s="2816">
        <v>3.65</v>
      </c>
      <c r="F17" s="2816">
        <v>3.65</v>
      </c>
      <c r="G17" s="2816">
        <v>3.65</v>
      </c>
      <c r="H17" s="2816">
        <v>4.3</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44581</v>
      </c>
      <c r="D19" s="2816">
        <v>3.7</v>
      </c>
      <c r="E19" s="2816">
        <f>D19</f>
        <v>3.7</v>
      </c>
      <c r="F19" s="2816">
        <f>D19</f>
        <v>3.7</v>
      </c>
      <c r="G19" s="2816">
        <f>D19</f>
        <v>3.7</v>
      </c>
      <c r="H19" s="2816">
        <v>4.5999999999999996</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44550</v>
      </c>
      <c r="D20" s="2816">
        <v>3.8</v>
      </c>
      <c r="E20" s="2816">
        <f>D20</f>
        <v>3.8</v>
      </c>
      <c r="F20" s="2816">
        <f>D20</f>
        <v>3.8</v>
      </c>
      <c r="G20" s="2816">
        <f>D20</f>
        <v>3.8</v>
      </c>
      <c r="H20" s="2816">
        <v>4.6500000000000004</v>
      </c>
      <c r="I20" s="2816"/>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43941</v>
      </c>
      <c r="D21" s="2816">
        <v>3.85</v>
      </c>
      <c r="E21" s="2816">
        <v>3.85</v>
      </c>
      <c r="F21" s="2816">
        <v>3.85</v>
      </c>
      <c r="G21" s="2816">
        <v>3.85</v>
      </c>
      <c r="H21" s="2816">
        <v>4.6500000000000004</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43881</v>
      </c>
      <c r="D22" s="2816">
        <v>4.05</v>
      </c>
      <c r="E22" s="2816">
        <v>4.05</v>
      </c>
      <c r="F22" s="2816">
        <v>4.05</v>
      </c>
      <c r="G22" s="2816">
        <v>4.05</v>
      </c>
      <c r="H22" s="2816">
        <v>4.75</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43789</v>
      </c>
      <c r="D23" s="2816">
        <v>4.1500000000000004</v>
      </c>
      <c r="E23" s="2816">
        <v>4.1500000000000004</v>
      </c>
      <c r="F23" s="2816">
        <v>4.1500000000000004</v>
      </c>
      <c r="G23" s="2816">
        <v>4.1500000000000004</v>
      </c>
      <c r="H23" s="2816">
        <v>4.8</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43728</v>
      </c>
      <c r="D24" s="2816">
        <v>4.2</v>
      </c>
      <c r="E24" s="2816">
        <v>4.2</v>
      </c>
      <c r="F24" s="2816">
        <v>4.2</v>
      </c>
      <c r="G24" s="2816">
        <v>4.2</v>
      </c>
      <c r="H24" s="2816">
        <v>4.8499999999999996</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ht="14.25">
      <c r="B25" s="2815" t="s">
        <v>2309</v>
      </c>
      <c r="C25" s="2818">
        <v>43697</v>
      </c>
      <c r="D25" s="2819">
        <v>4.25</v>
      </c>
      <c r="E25" s="2819">
        <v>4.25</v>
      </c>
      <c r="F25" s="2819">
        <v>4.25</v>
      </c>
      <c r="G25" s="2819">
        <v>4.25</v>
      </c>
      <c r="H25" s="2819">
        <v>4.8499999999999996</v>
      </c>
      <c r="I25" s="2819"/>
      <c r="J25" s="2819"/>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23"/>
      <c r="C26" s="2824">
        <v>42301</v>
      </c>
      <c r="D26" s="2825">
        <v>4.3499999999999996</v>
      </c>
      <c r="E26" s="2825">
        <v>4.3499999999999996</v>
      </c>
      <c r="F26" s="2825">
        <v>4.75</v>
      </c>
      <c r="G26" s="2825">
        <v>4.75</v>
      </c>
      <c r="H26" s="2825">
        <v>4.9000000000000004</v>
      </c>
      <c r="I26" s="2825"/>
      <c r="J26" s="2825"/>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42242</v>
      </c>
      <c r="D27" s="1289">
        <v>4.5999999999999996</v>
      </c>
      <c r="E27" s="1289">
        <v>4.5999999999999996</v>
      </c>
      <c r="F27" s="1289">
        <v>5</v>
      </c>
      <c r="G27" s="1289">
        <v>5</v>
      </c>
      <c r="H27" s="1289">
        <v>5.15</v>
      </c>
      <c r="I27" s="1289">
        <v>2.75</v>
      </c>
      <c r="J27" s="1289">
        <v>3.25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42183</v>
      </c>
      <c r="D28" s="1289">
        <v>4.8499999999999996</v>
      </c>
      <c r="E28" s="1289">
        <v>4.8499999999999996</v>
      </c>
      <c r="F28" s="1289">
        <v>5.25</v>
      </c>
      <c r="G28" s="1289">
        <v>5.25</v>
      </c>
      <c r="H28" s="1289">
        <v>5.4</v>
      </c>
      <c r="I28" s="1289">
        <v>3</v>
      </c>
      <c r="J28" s="1289">
        <v>3.5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42135</v>
      </c>
      <c r="D29" s="1289">
        <v>5.0999999999999996</v>
      </c>
      <c r="E29" s="1289">
        <v>5.0999999999999996</v>
      </c>
      <c r="F29" s="1289">
        <v>5.5</v>
      </c>
      <c r="G29" s="1289">
        <v>5.5</v>
      </c>
      <c r="H29" s="1289">
        <v>5.65</v>
      </c>
      <c r="I29" s="1289">
        <v>3.25</v>
      </c>
      <c r="J29" s="1289">
        <v>3.75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42064</v>
      </c>
      <c r="D30" s="1289">
        <v>5.35</v>
      </c>
      <c r="E30" s="1289">
        <v>5.35</v>
      </c>
      <c r="F30" s="1289">
        <v>5.75</v>
      </c>
      <c r="G30" s="1289">
        <v>5.75</v>
      </c>
      <c r="H30" s="1289">
        <v>5.9</v>
      </c>
      <c r="I30" s="1289"/>
      <c r="J30" s="1289"/>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41965</v>
      </c>
      <c r="D31" s="1289">
        <v>5.6</v>
      </c>
      <c r="E31" s="1289">
        <v>5.6</v>
      </c>
      <c r="F31" s="1289">
        <v>6</v>
      </c>
      <c r="G31" s="1289">
        <v>6</v>
      </c>
      <c r="H31" s="1289">
        <v>6.15</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41096</v>
      </c>
      <c r="D32" s="1289">
        <v>5.6</v>
      </c>
      <c r="E32" s="1289">
        <v>6</v>
      </c>
      <c r="F32" s="1289">
        <v>6.15</v>
      </c>
      <c r="G32" s="1289">
        <v>6.4</v>
      </c>
      <c r="H32" s="1289">
        <v>6.55</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41068</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40731</v>
      </c>
      <c r="D34" s="1289">
        <v>6.1</v>
      </c>
      <c r="E34" s="1289">
        <v>6.56</v>
      </c>
      <c r="F34" s="1289">
        <v>6.65</v>
      </c>
      <c r="G34" s="1289">
        <v>6.9</v>
      </c>
      <c r="H34" s="1289">
        <v>7.05</v>
      </c>
      <c r="I34" s="1289">
        <v>4.45</v>
      </c>
      <c r="J34" s="1289">
        <v>4.9000000000000004</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40639</v>
      </c>
      <c r="D35" s="1289">
        <v>5.85</v>
      </c>
      <c r="E35" s="1289">
        <v>6.31</v>
      </c>
      <c r="F35" s="1289">
        <v>6.4</v>
      </c>
      <c r="G35" s="1289">
        <v>6.65</v>
      </c>
      <c r="H35" s="1289">
        <v>6.8</v>
      </c>
      <c r="I35" s="1289">
        <v>4.2</v>
      </c>
      <c r="J35" s="1289">
        <v>4.7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40583</v>
      </c>
      <c r="D36" s="1289">
        <v>5.6</v>
      </c>
      <c r="E36" s="1289">
        <v>6.06</v>
      </c>
      <c r="F36" s="1289">
        <v>6.1</v>
      </c>
      <c r="G36" s="1289">
        <v>6.45</v>
      </c>
      <c r="H36" s="1289">
        <v>6.6</v>
      </c>
      <c r="I36" s="1289">
        <v>4</v>
      </c>
      <c r="J36" s="1289">
        <v>4.5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40538</v>
      </c>
      <c r="D37" s="1289">
        <v>5.35</v>
      </c>
      <c r="E37" s="1289">
        <v>5.81</v>
      </c>
      <c r="F37" s="1289">
        <v>5.85</v>
      </c>
      <c r="G37" s="1289">
        <v>6.22</v>
      </c>
      <c r="H37" s="1289">
        <v>6.4</v>
      </c>
      <c r="I37" s="1289">
        <v>3.75</v>
      </c>
      <c r="J37" s="1289">
        <v>4.3</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40471</v>
      </c>
      <c r="D38" s="1289">
        <v>5.0999999999999996</v>
      </c>
      <c r="E38" s="1289">
        <v>5.56</v>
      </c>
      <c r="F38" s="1289">
        <v>5.6</v>
      </c>
      <c r="G38" s="1289">
        <v>5.96</v>
      </c>
      <c r="H38" s="1289">
        <v>6.14</v>
      </c>
      <c r="I38" s="1289">
        <v>3.5</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39805</v>
      </c>
      <c r="D39" s="1289">
        <v>4.8600000000000003</v>
      </c>
      <c r="E39" s="1289">
        <v>5.31</v>
      </c>
      <c r="F39" s="1289">
        <v>5.4</v>
      </c>
      <c r="G39" s="1289">
        <v>5.76</v>
      </c>
      <c r="H39" s="1289">
        <v>5.94</v>
      </c>
      <c r="I39" s="1289">
        <v>3.33</v>
      </c>
      <c r="J39" s="1289">
        <v>3.87</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39779</v>
      </c>
      <c r="D40" s="1289">
        <v>5.04</v>
      </c>
      <c r="E40" s="1289">
        <v>5.58</v>
      </c>
      <c r="F40" s="1289">
        <v>5.67</v>
      </c>
      <c r="G40" s="1289">
        <v>5.94</v>
      </c>
      <c r="H40" s="1289">
        <v>6.12</v>
      </c>
      <c r="I40" s="1289">
        <v>3.51</v>
      </c>
      <c r="J40" s="1289">
        <v>4.05</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39751</v>
      </c>
      <c r="D41" s="1289">
        <v>6.03</v>
      </c>
      <c r="E41" s="1289">
        <v>6.66</v>
      </c>
      <c r="F41" s="1289">
        <v>6.75</v>
      </c>
      <c r="G41" s="1289">
        <v>7.02</v>
      </c>
      <c r="H41" s="1289">
        <v>7.2</v>
      </c>
      <c r="I41" s="1289">
        <v>4.05</v>
      </c>
      <c r="J41" s="1289">
        <v>4.59</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1">
        <v>39748</v>
      </c>
      <c r="D42" s="1289">
        <v>6.12</v>
      </c>
      <c r="E42" s="1289">
        <v>6.93</v>
      </c>
      <c r="F42" s="1289">
        <v>7.02</v>
      </c>
      <c r="G42" s="1289">
        <v>7.29</v>
      </c>
      <c r="H42" s="1289">
        <v>7.47</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39730</v>
      </c>
      <c r="D43" s="1289">
        <v>6.12</v>
      </c>
      <c r="E43" s="1289">
        <v>6.93</v>
      </c>
      <c r="F43" s="1289">
        <v>7.02</v>
      </c>
      <c r="G43" s="1289">
        <v>7.29</v>
      </c>
      <c r="H43" s="1289">
        <v>7.47</v>
      </c>
      <c r="I43" s="1289">
        <v>4.32</v>
      </c>
      <c r="J43" s="1289">
        <v>4.8600000000000003</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39707</v>
      </c>
      <c r="D44" s="1289">
        <v>6.21</v>
      </c>
      <c r="E44" s="1289">
        <v>7.2</v>
      </c>
      <c r="F44" s="1289">
        <v>7.29</v>
      </c>
      <c r="G44" s="1289">
        <v>7.56</v>
      </c>
      <c r="H44" s="1289">
        <v>7.74</v>
      </c>
      <c r="I44" s="1289">
        <v>4.59</v>
      </c>
      <c r="J44" s="1289">
        <v>5.13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39437</v>
      </c>
      <c r="D45" s="1289">
        <v>6.57</v>
      </c>
      <c r="E45" s="1289">
        <v>7.47</v>
      </c>
      <c r="F45" s="1289">
        <v>7.56</v>
      </c>
      <c r="G45" s="1289">
        <v>7.74</v>
      </c>
      <c r="H45" s="1289">
        <v>7.83</v>
      </c>
      <c r="I45" s="1289">
        <v>4.7699999999999996</v>
      </c>
      <c r="J45" s="1289">
        <v>5.22</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39340</v>
      </c>
      <c r="D46" s="1289">
        <v>6.48</v>
      </c>
      <c r="E46" s="1289">
        <v>7.29</v>
      </c>
      <c r="F46" s="1289">
        <v>7.47</v>
      </c>
      <c r="G46" s="1289">
        <v>7.65</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39316</v>
      </c>
      <c r="D47" s="1289">
        <v>6.21</v>
      </c>
      <c r="E47" s="1289">
        <v>7.02</v>
      </c>
      <c r="F47" s="1289">
        <v>7.2</v>
      </c>
      <c r="G47" s="1289">
        <v>7.38</v>
      </c>
      <c r="H47" s="1289">
        <v>7.56</v>
      </c>
      <c r="I47" s="1289">
        <v>4.59</v>
      </c>
      <c r="J47" s="1289">
        <v>5.04</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39284</v>
      </c>
      <c r="D48" s="1289">
        <v>6.03</v>
      </c>
      <c r="E48" s="1289">
        <v>6.84</v>
      </c>
      <c r="F48" s="1289">
        <v>7.02</v>
      </c>
      <c r="G48" s="1289">
        <v>7.2</v>
      </c>
      <c r="H48" s="1289">
        <v>7.38</v>
      </c>
      <c r="I48" s="1289">
        <v>4.5</v>
      </c>
      <c r="J48" s="1289">
        <v>4.95</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39221</v>
      </c>
      <c r="D49" s="1289">
        <v>5.85</v>
      </c>
      <c r="E49" s="1289">
        <v>6.57</v>
      </c>
      <c r="F49" s="1289">
        <v>6.75</v>
      </c>
      <c r="G49" s="1289">
        <v>6.93</v>
      </c>
      <c r="H49" s="1289">
        <v>7.2</v>
      </c>
      <c r="I49" s="1289">
        <v>4.41</v>
      </c>
      <c r="J49" s="1289">
        <v>4.8600000000000003</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39159</v>
      </c>
      <c r="D50" s="1289">
        <v>5.67</v>
      </c>
      <c r="E50" s="1289">
        <v>6.39</v>
      </c>
      <c r="F50" s="1289">
        <v>6.57</v>
      </c>
      <c r="G50" s="1289">
        <v>6.75</v>
      </c>
      <c r="H50" s="1289">
        <v>7.11</v>
      </c>
      <c r="I50" s="1289">
        <v>4.32</v>
      </c>
      <c r="J50" s="1289">
        <v>4.7699999999999996</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38948</v>
      </c>
      <c r="D51" s="1289">
        <v>5.58</v>
      </c>
      <c r="E51" s="1289">
        <v>6.12</v>
      </c>
      <c r="F51" s="1289">
        <v>6.3</v>
      </c>
      <c r="G51" s="1289">
        <v>6.48</v>
      </c>
      <c r="H51" s="1289">
        <v>6.84</v>
      </c>
      <c r="I51" s="1289">
        <v>4.1399999999999997</v>
      </c>
      <c r="J51" s="1289">
        <v>4.59</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38835</v>
      </c>
      <c r="D52" s="1289">
        <v>5.4</v>
      </c>
      <c r="E52" s="1289">
        <v>5.85</v>
      </c>
      <c r="F52" s="1289">
        <v>6.03</v>
      </c>
      <c r="G52" s="1289">
        <v>6.12</v>
      </c>
      <c r="H52" s="1289">
        <v>6.39</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38428</v>
      </c>
      <c r="D53" s="1289">
        <v>5.22</v>
      </c>
      <c r="E53" s="1289">
        <v>5.58</v>
      </c>
      <c r="F53" s="1289">
        <v>5.76</v>
      </c>
      <c r="G53" s="1289">
        <v>5.85</v>
      </c>
      <c r="H53" s="1289">
        <v>6.12</v>
      </c>
      <c r="I53" s="1289">
        <v>3.96</v>
      </c>
      <c r="J53" s="1289">
        <v>4.41</v>
      </c>
      <c r="L53" s="1289"/>
      <c r="M53" s="1290"/>
      <c r="N53" s="1289"/>
      <c r="O53" s="1289"/>
      <c r="P53" s="1289"/>
      <c r="Q53" s="1289"/>
      <c r="R53" s="1289"/>
      <c r="S53" s="1289"/>
      <c r="T53" s="1289"/>
      <c r="U53" s="1289"/>
      <c r="V53" s="1289"/>
      <c r="W53" s="1289"/>
      <c r="X53" s="1289"/>
      <c r="Y53" s="1289"/>
      <c r="Z53" s="1289"/>
    </row>
    <row r="54" spans="2:26">
      <c r="B54" s="1289"/>
      <c r="C54" s="1290">
        <v>38289</v>
      </c>
      <c r="D54" s="1289">
        <v>5.22</v>
      </c>
      <c r="E54" s="1289">
        <v>5.58</v>
      </c>
      <c r="F54" s="1289">
        <v>5.76</v>
      </c>
      <c r="G54" s="1289">
        <v>5.85</v>
      </c>
      <c r="H54" s="1289">
        <v>6.12</v>
      </c>
      <c r="I54" s="1289">
        <v>3.78</v>
      </c>
      <c r="J54" s="1289">
        <v>4.2300000000000004</v>
      </c>
      <c r="L54" s="1289"/>
      <c r="M54" s="1290"/>
      <c r="N54" s="1289"/>
      <c r="O54" s="1289"/>
      <c r="P54" s="1289"/>
      <c r="Q54" s="1289"/>
      <c r="R54" s="1289"/>
      <c r="S54" s="1289"/>
      <c r="T54" s="1289"/>
      <c r="U54" s="1289"/>
      <c r="V54" s="1289"/>
      <c r="W54" s="1289"/>
      <c r="X54" s="1289"/>
      <c r="Y54" s="1289"/>
      <c r="Z54" s="1289"/>
    </row>
    <row r="55" spans="2:26">
      <c r="B55" s="1289"/>
      <c r="C55" s="1290">
        <v>37308</v>
      </c>
      <c r="D55" s="1289">
        <v>5.04</v>
      </c>
      <c r="E55" s="1289">
        <v>5.31</v>
      </c>
      <c r="F55" s="1289">
        <v>5.49</v>
      </c>
      <c r="G55" s="1289">
        <v>5.58</v>
      </c>
      <c r="H55" s="1289">
        <v>5.76</v>
      </c>
      <c r="I55" s="1289">
        <v>3.6</v>
      </c>
      <c r="J55" s="1289">
        <v>4.05</v>
      </c>
      <c r="L55" s="1289"/>
      <c r="M55" s="1290"/>
      <c r="N55" s="1289"/>
      <c r="O55" s="1289"/>
      <c r="P55" s="1289"/>
      <c r="Q55" s="1289"/>
      <c r="R55" s="1289"/>
      <c r="S55" s="1289"/>
      <c r="T55" s="1289"/>
      <c r="U55" s="1289"/>
      <c r="V55" s="1289"/>
      <c r="W55" s="1289"/>
      <c r="X55" s="1289"/>
      <c r="Y55" s="1289"/>
      <c r="Z55" s="1289"/>
    </row>
    <row r="56" spans="2:26">
      <c r="B56" s="1289"/>
      <c r="C56" s="1290">
        <v>36321</v>
      </c>
      <c r="D56" s="1289">
        <v>5.58</v>
      </c>
      <c r="E56" s="1289">
        <v>5.85</v>
      </c>
      <c r="F56" s="1289">
        <v>5.94</v>
      </c>
      <c r="G56" s="1289">
        <v>6.03</v>
      </c>
      <c r="H56" s="1289">
        <v>6.21</v>
      </c>
      <c r="I56" s="1289">
        <v>4.1399999999999997</v>
      </c>
      <c r="J56" s="1289">
        <v>4.59</v>
      </c>
      <c r="L56" s="1289"/>
      <c r="M56" s="1290"/>
      <c r="N56" s="1289"/>
      <c r="O56" s="1289"/>
      <c r="P56" s="1289"/>
      <c r="Q56" s="1289"/>
      <c r="R56" s="1289"/>
      <c r="S56" s="1289"/>
      <c r="T56" s="1289"/>
      <c r="U56" s="1289"/>
      <c r="V56" s="1289"/>
      <c r="W56" s="1289"/>
      <c r="X56" s="1289"/>
      <c r="Y56" s="1289"/>
      <c r="Z56" s="1289"/>
    </row>
    <row r="57" spans="2:26">
      <c r="B57" s="1289"/>
      <c r="C57" s="1290">
        <v>36136</v>
      </c>
      <c r="D57" s="1289">
        <v>6.12</v>
      </c>
      <c r="E57" s="1289">
        <v>6.39</v>
      </c>
      <c r="F57" s="1289">
        <v>6.66</v>
      </c>
      <c r="G57" s="1289">
        <v>7.2</v>
      </c>
      <c r="H57" s="1289">
        <v>7.56</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35977</v>
      </c>
      <c r="D58" s="1289">
        <v>6.57</v>
      </c>
      <c r="E58" s="1289">
        <v>6.93</v>
      </c>
      <c r="F58" s="1289">
        <v>7.11</v>
      </c>
      <c r="G58" s="1289">
        <v>7.65</v>
      </c>
      <c r="H58" s="1289">
        <v>8.01</v>
      </c>
      <c r="I58" s="1289">
        <v>0</v>
      </c>
      <c r="J58" s="1289">
        <v>0</v>
      </c>
    </row>
    <row r="59" spans="2:26">
      <c r="B59" s="1289"/>
      <c r="C59" s="1290">
        <v>35879</v>
      </c>
      <c r="D59" s="1289">
        <v>7.02</v>
      </c>
      <c r="E59" s="1289">
        <v>7.92</v>
      </c>
      <c r="F59" s="1289">
        <v>9</v>
      </c>
      <c r="G59" s="1289">
        <v>9.7200000000000006</v>
      </c>
      <c r="H59" s="1289">
        <v>10.35</v>
      </c>
      <c r="I59" s="1289">
        <v>0</v>
      </c>
      <c r="J59" s="1289">
        <v>0</v>
      </c>
    </row>
    <row r="60" spans="2:26">
      <c r="B60" s="1289"/>
      <c r="C60" s="1290">
        <v>35726</v>
      </c>
      <c r="D60" s="1289">
        <v>7.65</v>
      </c>
      <c r="E60" s="1289">
        <v>8.64</v>
      </c>
      <c r="F60" s="1289">
        <v>9.36</v>
      </c>
      <c r="G60" s="1289">
        <v>9.9</v>
      </c>
      <c r="H60" s="1289">
        <v>10.53</v>
      </c>
      <c r="I60" s="1289">
        <v>0</v>
      </c>
      <c r="J60" s="1289">
        <v>0</v>
      </c>
    </row>
    <row r="61" spans="2:26">
      <c r="B61" s="1289"/>
      <c r="C61" s="1290">
        <v>35300</v>
      </c>
      <c r="D61" s="1289">
        <v>9.18</v>
      </c>
      <c r="E61" s="1289">
        <v>10.08</v>
      </c>
      <c r="F61" s="1289">
        <v>10.98</v>
      </c>
      <c r="G61" s="1289">
        <v>11.7</v>
      </c>
      <c r="H61" s="1289">
        <v>12.42</v>
      </c>
      <c r="I61" s="1289">
        <v>0</v>
      </c>
      <c r="J61" s="1289">
        <v>0</v>
      </c>
    </row>
    <row r="62" spans="2:26">
      <c r="B62" s="1289"/>
      <c r="C62" s="1290">
        <v>35186</v>
      </c>
      <c r="D62" s="1289">
        <v>9.7200000000000006</v>
      </c>
      <c r="E62" s="1289">
        <v>10.98</v>
      </c>
      <c r="F62" s="1289">
        <v>13.14</v>
      </c>
      <c r="G62" s="1289">
        <v>14.94</v>
      </c>
      <c r="H62" s="1289">
        <v>15.12</v>
      </c>
      <c r="I62" s="1289">
        <v>0</v>
      </c>
      <c r="J62" s="1289">
        <v>0</v>
      </c>
    </row>
    <row r="63" spans="2:26">
      <c r="B63" s="1289"/>
      <c r="C63" s="1290">
        <v>34881</v>
      </c>
      <c r="D63" s="1289">
        <v>10.08</v>
      </c>
      <c r="E63" s="1289">
        <v>12.06</v>
      </c>
      <c r="F63" s="1289">
        <v>13.5</v>
      </c>
      <c r="G63" s="1289">
        <v>15.12</v>
      </c>
      <c r="H63" s="1289">
        <v>15.3</v>
      </c>
      <c r="I63" s="1289">
        <v>0</v>
      </c>
      <c r="J63" s="1289">
        <v>0</v>
      </c>
    </row>
    <row r="64" spans="2:26">
      <c r="B64" s="1289"/>
      <c r="C64" s="1290">
        <v>34700</v>
      </c>
      <c r="D64" s="1289">
        <v>9</v>
      </c>
      <c r="E64" s="1289">
        <v>10.98</v>
      </c>
      <c r="F64" s="1289">
        <v>12.96</v>
      </c>
      <c r="G64" s="1289">
        <v>14.58</v>
      </c>
      <c r="H64" s="1289">
        <v>14.76</v>
      </c>
      <c r="I64" s="1289">
        <v>0</v>
      </c>
      <c r="J64" s="1289">
        <v>0</v>
      </c>
    </row>
    <row r="65" spans="2:10">
      <c r="B65" s="1289"/>
      <c r="C65" s="1290">
        <v>34161</v>
      </c>
      <c r="D65" s="1289">
        <v>9</v>
      </c>
      <c r="E65" s="1289">
        <v>10.98</v>
      </c>
      <c r="F65" s="1289">
        <v>12.24</v>
      </c>
      <c r="G65" s="1289">
        <v>13.86</v>
      </c>
      <c r="H65" s="1289">
        <v>14.04</v>
      </c>
      <c r="I65" s="1289">
        <v>0</v>
      </c>
      <c r="J65" s="1289">
        <v>0</v>
      </c>
    </row>
    <row r="66" spans="2:10">
      <c r="B66" s="1289"/>
      <c r="C66" s="1290">
        <v>34104</v>
      </c>
      <c r="D66" s="1289">
        <v>8.82</v>
      </c>
      <c r="E66" s="1289">
        <v>9.36</v>
      </c>
      <c r="F66" s="1289">
        <v>10.8</v>
      </c>
      <c r="G66" s="1289">
        <v>12.06</v>
      </c>
      <c r="H66" s="1289">
        <v>12.24</v>
      </c>
      <c r="I66" s="1289">
        <v>0</v>
      </c>
      <c r="J66" s="1289">
        <v>0</v>
      </c>
    </row>
    <row r="67" spans="2:10">
      <c r="B67" s="1289"/>
      <c r="C67" s="1290">
        <v>33349</v>
      </c>
      <c r="D67" s="1289">
        <v>8.1</v>
      </c>
      <c r="E67" s="1289">
        <v>8.64</v>
      </c>
      <c r="F67" s="1289">
        <v>9</v>
      </c>
      <c r="G67" s="1289">
        <v>9.5399999999999991</v>
      </c>
      <c r="H67" s="1289">
        <v>9.7200000000000006</v>
      </c>
      <c r="I67" s="1289">
        <v>0</v>
      </c>
      <c r="J67" s="1289">
        <v>0</v>
      </c>
    </row>
    <row r="68" spans="2:10">
      <c r="B68" s="1289"/>
      <c r="C68" s="1290">
        <v>33318</v>
      </c>
      <c r="D68" s="1289">
        <v>9</v>
      </c>
      <c r="E68" s="1289">
        <v>10.08</v>
      </c>
      <c r="F68" s="1289">
        <v>10.8</v>
      </c>
      <c r="G68" s="1289">
        <v>11.52</v>
      </c>
      <c r="H68" s="1289">
        <v>11.88</v>
      </c>
      <c r="I68" s="1289" t="s">
        <v>633</v>
      </c>
      <c r="J68" s="1289" t="s">
        <v>633</v>
      </c>
    </row>
    <row r="69" spans="2:10">
      <c r="B69" s="1289"/>
      <c r="C69" s="1290">
        <v>33106</v>
      </c>
      <c r="D69" s="1289">
        <v>8.64</v>
      </c>
      <c r="E69" s="1289">
        <v>9.36</v>
      </c>
      <c r="F69" s="1289">
        <v>10.08</v>
      </c>
      <c r="G69" s="1289">
        <v>10.8</v>
      </c>
      <c r="H69" s="1289">
        <v>11.16</v>
      </c>
      <c r="I69" s="1289">
        <v>0</v>
      </c>
      <c r="J69" s="1289">
        <v>0</v>
      </c>
    </row>
    <row r="70" spans="2:10">
      <c r="B70" s="1289"/>
      <c r="C70" s="1290">
        <v>32540</v>
      </c>
      <c r="D70" s="1289">
        <v>11.34</v>
      </c>
      <c r="E70" s="1289">
        <v>11.34</v>
      </c>
      <c r="F70" s="1289">
        <v>12.78</v>
      </c>
      <c r="G70" s="1289">
        <v>14.4</v>
      </c>
      <c r="H70" s="1289">
        <v>19.260000000000002</v>
      </c>
      <c r="I70" s="1289">
        <v>0</v>
      </c>
      <c r="J70" s="1289">
        <v>0</v>
      </c>
    </row>
    <row r="71" spans="2:10">
      <c r="B71" s="1289"/>
      <c r="C71" s="1290"/>
      <c r="D71" s="1289"/>
      <c r="E71" s="1289"/>
      <c r="F71" s="1289"/>
      <c r="G71" s="1289"/>
      <c r="H71" s="1289"/>
      <c r="I71" s="1289"/>
      <c r="J71" s="1289"/>
    </row>
    <row r="72" spans="2:10">
      <c r="B72" s="1292"/>
      <c r="C72" s="1293"/>
      <c r="D72" s="1292"/>
      <c r="E72" s="1292"/>
      <c r="F72" s="1292"/>
      <c r="G72" s="1292"/>
      <c r="H72" s="1292"/>
      <c r="I72" s="1292"/>
      <c r="J72" s="1292"/>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41"/>
      <c r="C75" s="1241"/>
      <c r="D75" s="1241"/>
      <c r="E75" s="1241"/>
      <c r="F75" s="1241"/>
      <c r="G75" s="1241"/>
      <c r="H75" s="1241"/>
      <c r="I75" s="1241"/>
      <c r="J75" s="1241"/>
    </row>
    <row r="76" spans="2:10">
      <c r="B76" s="1241"/>
      <c r="C76" s="1241"/>
      <c r="D76" s="1241"/>
      <c r="E76" s="1241"/>
      <c r="F76" s="1241"/>
      <c r="G76" s="1241"/>
      <c r="H76" s="1241"/>
      <c r="I76" s="1241"/>
      <c r="J76"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5" t="str">
        <f>IF(项目基本情况!B9="房地产市场价值","估价结果一览表","结果表-2")</f>
        <v>结果表-2</v>
      </c>
      <c r="B1" s="3505"/>
      <c r="C1" s="3505"/>
      <c r="D1" s="3505"/>
      <c r="E1" s="3505"/>
      <c r="F1" s="3505"/>
      <c r="G1" s="3505"/>
      <c r="H1" s="3505"/>
      <c r="I1" s="3505"/>
    </row>
    <row r="2" spans="1:9" ht="30" customHeight="1" thickTop="1">
      <c r="A2" s="3506" t="s">
        <v>928</v>
      </c>
      <c r="B2" s="3506" t="s">
        <v>929</v>
      </c>
      <c r="C2" s="3506" t="s">
        <v>930</v>
      </c>
      <c r="D2" s="3506" t="str">
        <f>结果表!D116</f>
        <v>出让国有建设用地使用权价值</v>
      </c>
      <c r="E2" s="3506"/>
      <c r="F2" s="3506" t="str">
        <f>结果表!F116</f>
        <v>在建建筑物价值</v>
      </c>
      <c r="G2" s="3506"/>
      <c r="H2" s="3506" t="str">
        <f>IF(项目基本情况!B9="房地产市场价值","房地产市场价值","房地产价值")</f>
        <v>房地产价值</v>
      </c>
      <c r="I2" s="3506"/>
    </row>
    <row r="3" spans="1:9" ht="15">
      <c r="A3" s="3501"/>
      <c r="B3" s="3501"/>
      <c r="C3" s="3501"/>
      <c r="D3" s="854" t="s">
        <v>925</v>
      </c>
      <c r="E3" s="854" t="s">
        <v>931</v>
      </c>
      <c r="F3" s="854" t="s">
        <v>925</v>
      </c>
      <c r="G3" s="854" t="s">
        <v>926</v>
      </c>
      <c r="H3" s="854" t="s">
        <v>925</v>
      </c>
      <c r="I3" s="854" t="s">
        <v>926</v>
      </c>
    </row>
    <row r="4" spans="1:9" ht="15">
      <c r="A4" s="1504" t="str">
        <f>项目基本情况!S2</f>
        <v>北京市房地产</v>
      </c>
      <c r="B4" s="854">
        <f>项目基本情况!C17</f>
        <v>17457.32</v>
      </c>
      <c r="C4" s="854">
        <f>项目基本情况!C18</f>
        <v>3862.4</v>
      </c>
      <c r="D4" s="854">
        <f ca="1">结果表!D118</f>
        <v>35658</v>
      </c>
      <c r="E4" s="854">
        <f ca="1">结果表!E118</f>
        <v>20426</v>
      </c>
      <c r="F4" s="854">
        <f ca="1">结果表!F118</f>
        <v>14992</v>
      </c>
      <c r="G4" s="854">
        <f ca="1">结果表!G118</f>
        <v>8588</v>
      </c>
      <c r="H4" s="854">
        <f ca="1">结果表!H118</f>
        <v>50650</v>
      </c>
      <c r="I4" s="854">
        <f ca="1">结果表!I118</f>
        <v>29014</v>
      </c>
    </row>
    <row r="5" spans="1:9" ht="30" customHeight="1">
      <c r="A5" s="3501" t="s">
        <v>927</v>
      </c>
      <c r="B5" s="3501"/>
      <c r="C5" s="3501"/>
      <c r="D5" s="3501" t="str">
        <f ca="1">结果表!D119</f>
        <v>叁亿伍仟陆佰伍拾捌万元整</v>
      </c>
      <c r="E5" s="3501"/>
      <c r="F5" s="3501" t="str">
        <f ca="1">结果表!F119</f>
        <v>壹亿肆仟玖佰玖拾贰万元整</v>
      </c>
      <c r="G5" s="3501"/>
      <c r="H5" s="3501" t="str">
        <f ca="1">结果表!H119</f>
        <v>伍亿零陆佰伍拾万元整</v>
      </c>
      <c r="I5" s="3501"/>
    </row>
    <row r="6" spans="1:9" ht="15.75">
      <c r="A6" s="3500" t="str">
        <f>结果表!A120</f>
        <v>估价师知悉的法定优先受偿款</v>
      </c>
      <c r="B6" s="3500"/>
      <c r="C6" s="3500"/>
      <c r="D6" s="3500">
        <f>结果表!D120</f>
        <v>0</v>
      </c>
      <c r="E6" s="3500"/>
      <c r="F6" s="3500"/>
      <c r="G6" s="3500"/>
      <c r="H6" s="3500"/>
      <c r="I6" s="3500"/>
    </row>
    <row r="7" spans="1:9" ht="15">
      <c r="A7" s="3501" t="s">
        <v>927</v>
      </c>
      <c r="B7" s="3501"/>
      <c r="C7" s="3501"/>
      <c r="D7" s="3502" t="str">
        <f>结果表!D121</f>
        <v>零元整</v>
      </c>
      <c r="E7" s="3503"/>
      <c r="F7" s="3503"/>
      <c r="G7" s="3503"/>
      <c r="H7" s="3503"/>
      <c r="I7" s="3504"/>
    </row>
    <row r="8" spans="1:9" ht="15.75">
      <c r="A8" s="3500" t="str">
        <f>结果表!A122</f>
        <v>房地产抵押价值</v>
      </c>
      <c r="B8" s="3500"/>
      <c r="C8" s="3500"/>
      <c r="D8" s="3500">
        <f ca="1">结果表!D122</f>
        <v>50650</v>
      </c>
      <c r="E8" s="3500"/>
      <c r="F8" s="3500"/>
      <c r="G8" s="3500"/>
      <c r="H8" s="3500"/>
      <c r="I8" s="3500"/>
    </row>
    <row r="9" spans="1:9" ht="15">
      <c r="A9" s="3501" t="s">
        <v>927</v>
      </c>
      <c r="B9" s="3501"/>
      <c r="C9" s="3501"/>
      <c r="D9" s="3501" t="str">
        <f ca="1">结果表!D123</f>
        <v>伍亿零陆佰伍拾万元整</v>
      </c>
      <c r="E9" s="3501"/>
      <c r="F9" s="3501"/>
      <c r="G9" s="3501"/>
      <c r="H9" s="3501"/>
      <c r="I9" s="3501"/>
    </row>
    <row r="10" spans="1:9" ht="15.75">
      <c r="A10" s="3500" t="str">
        <f>结果表!A124</f>
        <v/>
      </c>
      <c r="B10" s="3500"/>
      <c r="C10" s="3500"/>
      <c r="D10" s="3500" t="str">
        <f>结果表!D124</f>
        <v>——</v>
      </c>
      <c r="E10" s="3500"/>
      <c r="F10" s="3500"/>
      <c r="G10" s="3500"/>
      <c r="H10" s="3500"/>
      <c r="I10" s="3500"/>
    </row>
    <row r="11" spans="1:9" ht="15">
      <c r="A11" s="3501" t="s">
        <v>927</v>
      </c>
      <c r="B11" s="3501"/>
      <c r="C11" s="3501"/>
      <c r="D11" s="3501" t="e">
        <f>结果表!D125</f>
        <v>#VALUE!</v>
      </c>
      <c r="E11" s="3501"/>
      <c r="F11" s="3501"/>
      <c r="G11" s="3501"/>
      <c r="H11" s="3501"/>
      <c r="I11" s="3501"/>
    </row>
    <row r="12" spans="1:9" ht="15.75">
      <c r="A12" s="3500" t="str">
        <f>结果表!A126</f>
        <v>抵押净值</v>
      </c>
      <c r="B12" s="3500"/>
      <c r="C12" s="3500"/>
      <c r="D12" s="3500">
        <f ca="1">结果表!D126</f>
        <v>45512</v>
      </c>
      <c r="E12" s="3500"/>
      <c r="F12" s="3500"/>
      <c r="G12" s="3500"/>
      <c r="H12" s="3500"/>
      <c r="I12" s="3500"/>
    </row>
    <row r="13" spans="1:9" ht="15.75" thickBot="1">
      <c r="A13" s="3498" t="s">
        <v>927</v>
      </c>
      <c r="B13" s="3498"/>
      <c r="C13" s="3498"/>
      <c r="D13" s="3498" t="str">
        <f ca="1">结果表!D127</f>
        <v>肆亿伍仟伍佰壹拾贰万元整</v>
      </c>
      <c r="E13" s="3498"/>
      <c r="F13" s="3498"/>
      <c r="G13" s="3498"/>
      <c r="H13" s="3498"/>
      <c r="I13" s="3498"/>
    </row>
    <row r="14" spans="1:9" ht="15" thickTop="1">
      <c r="A14" s="3499" t="s">
        <v>932</v>
      </c>
      <c r="B14" s="3499"/>
      <c r="C14" s="3499"/>
      <c r="D14" s="3499"/>
      <c r="E14" s="3499"/>
      <c r="F14" s="3499"/>
      <c r="G14" s="3499"/>
      <c r="H14" s="3499"/>
      <c r="I14" s="3499"/>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3" t="s">
        <v>949</v>
      </c>
      <c r="B1" s="3513"/>
      <c r="C1" s="3513"/>
      <c r="D1" s="3513"/>
    </row>
    <row r="2" spans="1:4" ht="18">
      <c r="A2" s="3514" t="s">
        <v>933</v>
      </c>
      <c r="B2" s="3514"/>
      <c r="C2" s="3514"/>
      <c r="D2" s="351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4" t="s">
        <v>939</v>
      </c>
      <c r="B6" s="3514"/>
      <c r="C6" s="3514"/>
      <c r="D6" s="351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15"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07" t="str">
        <f>IF(项目基本情况!B8="抵押","4.本次评估估价师所知悉的法定优先受偿款情况说明如下：","——")</f>
        <v>4.本次评估估价师所知悉的法定优先受偿款情况说明如下：</v>
      </c>
      <c r="B14" s="3512"/>
      <c r="C14" s="3512"/>
      <c r="D14" s="3512"/>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09" t="s">
        <v>943</v>
      </c>
      <c r="B16" s="3509"/>
      <c r="C16" s="3509"/>
      <c r="D16" s="3509"/>
    </row>
    <row r="17" spans="1:4" ht="144" customHeight="1">
      <c r="A17" s="3509" t="s">
        <v>944</v>
      </c>
      <c r="B17" s="3509"/>
      <c r="C17" s="3509"/>
      <c r="D17" s="3509"/>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7"/>
      <c r="C20" s="3507"/>
      <c r="D20" s="3507"/>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0"/>
      <c r="C21" s="3510"/>
      <c r="D21" s="3510"/>
    </row>
    <row r="22" spans="1:4" ht="18.75" customHeight="1">
      <c r="A22" s="3511" t="s">
        <v>945</v>
      </c>
      <c r="B22" s="3511"/>
      <c r="C22" s="3511"/>
      <c r="D22" s="351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8">
        <v>42551</v>
      </c>
      <c r="D31" s="35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1" t="s">
        <v>956</v>
      </c>
      <c r="B15" s="3516" t="s">
        <v>109</v>
      </c>
      <c r="C15" s="3517"/>
    </row>
    <row r="16" spans="1:7" ht="13.5">
      <c r="A16" s="3522"/>
      <c r="B16" s="3516" t="s">
        <v>42</v>
      </c>
      <c r="C16" s="3517"/>
    </row>
    <row r="17" spans="1:3" ht="13.5">
      <c r="A17" s="3522"/>
      <c r="B17" s="3519" t="s">
        <v>957</v>
      </c>
      <c r="C17" s="1531" t="s">
        <v>956</v>
      </c>
    </row>
    <row r="18" spans="1:3" ht="13.5">
      <c r="A18" s="3522"/>
      <c r="B18" s="3519"/>
      <c r="C18" s="1531" t="s">
        <v>958</v>
      </c>
    </row>
    <row r="19" spans="1:3" ht="13.5">
      <c r="A19" s="3522"/>
      <c r="B19" s="3519"/>
      <c r="C19" s="1531" t="s">
        <v>959</v>
      </c>
    </row>
    <row r="20" spans="1:3" ht="13.5">
      <c r="A20" s="3523"/>
      <c r="B20" s="3518" t="s">
        <v>960</v>
      </c>
      <c r="C20" s="3517"/>
    </row>
    <row r="21" spans="1:3" ht="13.5">
      <c r="A21" s="1532" t="s">
        <v>961</v>
      </c>
      <c r="B21" s="1533"/>
      <c r="C21" s="1534"/>
    </row>
    <row r="22" spans="1:3" ht="13.5">
      <c r="A22" s="3520" t="s">
        <v>962</v>
      </c>
      <c r="B22" s="3518" t="s">
        <v>963</v>
      </c>
      <c r="C22" s="3517"/>
    </row>
    <row r="23" spans="1:3" ht="13.5">
      <c r="A23" s="3520"/>
      <c r="B23" s="3518" t="s">
        <v>964</v>
      </c>
      <c r="C23" s="3517"/>
    </row>
    <row r="24" spans="1:3" ht="13.5">
      <c r="A24" s="3520"/>
      <c r="B24" s="3518" t="s">
        <v>965</v>
      </c>
      <c r="C24" s="3517"/>
    </row>
    <row r="25" spans="1:3" ht="13.5">
      <c r="A25" s="3520"/>
      <c r="B25" s="3519" t="s">
        <v>966</v>
      </c>
      <c r="C25" s="1531" t="s">
        <v>967</v>
      </c>
    </row>
    <row r="26" spans="1:3" ht="13.5">
      <c r="A26" s="3520"/>
      <c r="B26" s="3519"/>
      <c r="C26" s="1531" t="s">
        <v>968</v>
      </c>
    </row>
    <row r="27" spans="1:3" ht="13.5">
      <c r="A27" s="3520"/>
      <c r="B27" s="3519"/>
      <c r="C27" s="1531" t="s">
        <v>969</v>
      </c>
    </row>
    <row r="28" spans="1:3" ht="13.5">
      <c r="A28" s="3520"/>
      <c r="B28" s="3519"/>
      <c r="C28" s="1531" t="s">
        <v>970</v>
      </c>
    </row>
    <row r="29" spans="1:3" ht="13.5">
      <c r="A29" s="3520"/>
      <c r="B29" s="3519"/>
      <c r="C29" s="1531" t="s">
        <v>971</v>
      </c>
    </row>
    <row r="30" spans="1:3" ht="13.5">
      <c r="A30" s="3520"/>
      <c r="B30" s="3519"/>
      <c r="C30" s="1531" t="s">
        <v>972</v>
      </c>
    </row>
    <row r="31" spans="1:3" ht="13.5">
      <c r="A31" s="3520"/>
      <c r="B31" s="3519"/>
      <c r="C31" s="1531" t="s">
        <v>973</v>
      </c>
    </row>
    <row r="32" spans="1:3" ht="13.5">
      <c r="A32" s="3520"/>
      <c r="B32" s="3519"/>
      <c r="C32" s="1531" t="s">
        <v>974</v>
      </c>
    </row>
    <row r="33" spans="1:3" ht="13.5">
      <c r="A33" s="3520"/>
      <c r="B33" s="351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45530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4" t="s">
        <v>2160</v>
      </c>
      <c r="B17" s="3524"/>
      <c r="C17" s="3524"/>
      <c r="D17" s="3524"/>
      <c r="E17" s="3524"/>
      <c r="F17" s="3524"/>
      <c r="G17" s="3524"/>
      <c r="H17" s="3524"/>
    </row>
    <row r="18" spans="1:8" ht="24" customHeight="1">
      <c r="A18" s="3525" t="s">
        <v>2161</v>
      </c>
      <c r="B18" s="3525"/>
      <c r="C18" s="3525"/>
      <c r="D18" s="2342"/>
      <c r="E18" s="3526" t="s">
        <v>2162</v>
      </c>
      <c r="F18" s="3525"/>
      <c r="G18" s="352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基准地价修正</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2024-08-26T05:29:29Z</dcterms:modified>
</cp:coreProperties>
</file>